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o2power.sharepoint.com/sites/O2PDMS/NewBusinesses/Shared Documents/Backup/"/>
    </mc:Choice>
  </mc:AlternateContent>
  <xr:revisionPtr revIDLastSave="0" documentId="8_{E4D39212-C2F0-40C1-B98D-3B3D26547567}" xr6:coauthVersionLast="47" xr6:coauthVersionMax="47" xr10:uidLastSave="{00000000-0000-0000-0000-000000000000}"/>
  <bookViews>
    <workbookView xWindow="-110" yWindow="-110" windowWidth="19420" windowHeight="10300" tabRatio="827" xr2:uid="{4B00613B-6AD8-4AD2-8FAC-FC48631B520F}"/>
  </bookViews>
  <sheets>
    <sheet name="O2Summary" sheetId="9" r:id="rId1"/>
    <sheet name="AnnualKPI" sheetId="8" r:id="rId2"/>
    <sheet name="MonthlyKPI" sheetId="7" r:id="rId3"/>
    <sheet name="SPV_Summary" sheetId="34" r:id="rId4"/>
    <sheet name="Daily KPI" sheetId="38" r:id="rId5"/>
    <sheet name="Input_Raw" sheetId="20" r:id="rId6"/>
    <sheet name="Modelling New" sheetId="39" r:id="rId7"/>
    <sheet name="Plant_BD" sheetId="27" r:id="rId8"/>
    <sheet name="Grid_BD" sheetId="24" r:id="rId9"/>
    <sheet name="Curtailment Records" sheetId="42" r:id="rId10"/>
    <sheet name="Inv_SY_B" sheetId="35" r:id="rId11"/>
    <sheet name="Inv_SY_D" sheetId="36" r:id="rId12"/>
    <sheet name="Inv_PR" sheetId="41" r:id="rId13"/>
    <sheet name="MC" sheetId="30" r:id="rId14"/>
    <sheet name="Wet MC " sheetId="32" r:id="rId15"/>
    <sheet name="GC" sheetId="31" r:id="rId16"/>
    <sheet name="Basic Data" sheetId="22" r:id="rId17"/>
  </sheets>
  <definedNames>
    <definedName name="_xlnm._FilterDatabase" localSheetId="16" hidden="1">'Basic Data'!$N$1:$V$707</definedName>
  </definedNames>
  <calcPr calcId="191028"/>
  <pivotCaches>
    <pivotCache cacheId="8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7" i="20" l="1"/>
  <c r="BJ16" i="20"/>
  <c r="BJ15" i="20"/>
  <c r="BI15" i="20"/>
  <c r="BI17" i="20"/>
  <c r="BI16" i="20"/>
  <c r="BG17" i="20"/>
  <c r="BG16" i="20"/>
  <c r="BD17" i="20"/>
  <c r="BD16" i="20"/>
  <c r="G1" i="20" l="1"/>
  <c r="H1" i="20" s="1"/>
  <c r="I1" i="20" s="1"/>
  <c r="J1" i="20" s="1"/>
  <c r="K1" i="20" s="1"/>
  <c r="L1" i="20" s="1"/>
  <c r="M1" i="20" s="1"/>
  <c r="N1" i="20" s="1"/>
  <c r="O1" i="20" s="1"/>
  <c r="P1" i="20" s="1"/>
  <c r="Q1" i="20" s="1"/>
  <c r="R1" i="20" s="1"/>
  <c r="S1" i="20" s="1"/>
  <c r="T1" i="20" s="1"/>
  <c r="U1" i="20" s="1"/>
  <c r="V1" i="20" s="1"/>
  <c r="W1" i="20" s="1"/>
  <c r="X1" i="20" s="1"/>
  <c r="Y1" i="20" s="1"/>
  <c r="Z1" i="20" s="1"/>
  <c r="AA1" i="20" s="1"/>
  <c r="AB1" i="20" s="1"/>
  <c r="AC1" i="20" s="1"/>
  <c r="AD1" i="20" s="1"/>
  <c r="AE1" i="20" s="1"/>
  <c r="AF1" i="20" s="1"/>
  <c r="AG1" i="20" s="1"/>
  <c r="AH1" i="20" s="1"/>
  <c r="AI1" i="20" s="1"/>
  <c r="AJ1" i="20" s="1"/>
  <c r="AK1" i="20" s="1"/>
  <c r="AL1" i="20" s="1"/>
  <c r="AM1" i="20" s="1"/>
  <c r="AN1" i="20" s="1"/>
  <c r="AO1" i="20" s="1"/>
  <c r="AP1" i="20" s="1"/>
  <c r="AQ1" i="20" s="1"/>
  <c r="AR1" i="20" s="1"/>
  <c r="AS1" i="20" s="1"/>
  <c r="AT1" i="20" s="1"/>
  <c r="AU1" i="20" s="1"/>
  <c r="AV1" i="20" s="1"/>
  <c r="AW1" i="20" s="1"/>
  <c r="AX1" i="20" s="1"/>
  <c r="AY1" i="20" s="1"/>
  <c r="AZ1" i="20" s="1"/>
  <c r="BA1" i="20" s="1"/>
  <c r="BB1" i="20" s="1"/>
  <c r="BC1" i="20" s="1"/>
  <c r="BD1" i="20" s="1"/>
  <c r="BE1" i="20" s="1"/>
  <c r="BF1" i="20" s="1"/>
  <c r="BG1" i="20" s="1"/>
  <c r="BH1" i="20" s="1"/>
  <c r="BI1" i="20" s="1"/>
  <c r="BJ1" i="20" s="1"/>
  <c r="BK1" i="20" s="1"/>
  <c r="BL1" i="20" s="1"/>
  <c r="BM1" i="20" s="1"/>
  <c r="BN1" i="20" s="1"/>
  <c r="BO1" i="20" s="1"/>
  <c r="BP1" i="20" s="1"/>
  <c r="BQ1" i="20" s="1"/>
  <c r="BR1" i="20" s="1"/>
  <c r="BS1" i="20" s="1"/>
  <c r="BN5" i="20"/>
  <c r="BN6" i="20"/>
  <c r="BN7" i="20"/>
  <c r="BN8" i="20"/>
  <c r="BN9" i="20"/>
  <c r="BN10" i="20"/>
  <c r="BN11" i="20"/>
  <c r="BN12" i="20"/>
  <c r="BN13" i="20"/>
  <c r="BN14" i="20"/>
  <c r="BN20" i="20"/>
  <c r="BN21" i="20"/>
  <c r="BN22" i="20"/>
  <c r="BN23" i="20"/>
  <c r="BN24" i="20"/>
  <c r="BN25" i="20"/>
  <c r="BN26" i="20"/>
  <c r="BN27" i="20"/>
  <c r="BN28" i="20"/>
  <c r="BN29" i="20"/>
  <c r="BN30" i="20"/>
  <c r="BN31" i="20"/>
  <c r="BN32" i="20"/>
  <c r="BN33" i="20"/>
  <c r="BN34" i="20"/>
  <c r="BN35" i="20"/>
  <c r="BN36" i="20"/>
  <c r="BN37" i="20"/>
  <c r="BN38" i="20"/>
  <c r="BN39" i="20"/>
  <c r="BN40" i="20"/>
  <c r="BN41" i="20"/>
  <c r="BN42" i="20"/>
  <c r="BN43" i="20"/>
  <c r="BN44" i="20"/>
  <c r="BN45" i="20"/>
  <c r="BN46" i="20"/>
  <c r="BN47" i="20"/>
  <c r="BN48" i="20"/>
  <c r="BN49" i="20"/>
  <c r="BN50" i="20"/>
  <c r="BN51" i="20"/>
  <c r="BN52" i="20"/>
  <c r="BN53" i="20"/>
  <c r="BN54" i="20"/>
  <c r="BN55" i="20"/>
  <c r="BN56" i="20"/>
  <c r="BN57" i="20"/>
  <c r="BN58" i="20"/>
  <c r="BN59" i="20"/>
  <c r="BN60" i="20"/>
  <c r="BN61" i="20"/>
  <c r="BN62" i="20"/>
  <c r="BN63" i="20"/>
  <c r="BN64" i="20"/>
  <c r="BN65" i="20"/>
  <c r="BN66" i="20"/>
  <c r="BN67" i="20"/>
  <c r="BN68" i="20"/>
  <c r="BN69" i="20"/>
  <c r="BN70" i="20"/>
  <c r="BN71" i="20"/>
  <c r="BN72" i="20"/>
  <c r="BN73" i="20"/>
  <c r="BN74" i="20"/>
  <c r="BN75" i="20"/>
  <c r="BN76" i="20"/>
  <c r="BN77" i="20"/>
  <c r="BN78" i="20"/>
  <c r="BN79" i="20"/>
  <c r="BN80" i="20"/>
  <c r="BN81" i="20"/>
  <c r="BN82" i="20"/>
  <c r="BN83" i="20"/>
  <c r="BN84" i="20"/>
  <c r="BN85" i="20"/>
  <c r="BN86" i="20"/>
  <c r="BN87" i="20"/>
  <c r="BN88" i="20"/>
  <c r="BN89" i="20"/>
  <c r="BN90" i="20"/>
  <c r="BN91" i="20"/>
  <c r="BN92" i="20"/>
  <c r="BN93" i="20"/>
  <c r="BN94" i="20"/>
  <c r="BN95" i="20"/>
  <c r="BN96" i="20"/>
  <c r="BN97" i="20"/>
  <c r="BN98" i="20"/>
  <c r="BN99" i="20"/>
  <c r="BN100" i="20"/>
  <c r="BN101" i="20"/>
  <c r="BN102" i="20"/>
  <c r="BN103" i="20"/>
  <c r="BN104" i="20"/>
  <c r="BN105" i="20"/>
  <c r="BN106" i="20"/>
  <c r="BN107" i="20"/>
  <c r="BN108" i="20"/>
  <c r="BN109" i="20"/>
  <c r="BN110" i="20"/>
  <c r="BN111" i="20"/>
  <c r="BN112" i="20"/>
  <c r="BN113" i="20"/>
  <c r="BN114" i="20"/>
  <c r="BN115" i="20"/>
  <c r="BN116" i="20"/>
  <c r="BN117" i="20"/>
  <c r="BN118" i="20"/>
  <c r="BN119" i="20"/>
  <c r="BN120" i="20"/>
  <c r="BN121" i="20"/>
  <c r="BN122" i="20"/>
  <c r="BN123" i="20"/>
  <c r="BN124" i="20"/>
  <c r="BN125" i="20"/>
  <c r="BN126" i="20"/>
  <c r="BN127" i="20"/>
  <c r="BN128" i="20"/>
  <c r="BN129" i="20"/>
  <c r="BN130" i="20"/>
  <c r="BN131" i="20"/>
  <c r="BN132" i="20"/>
  <c r="BN133" i="20"/>
  <c r="BN134" i="20"/>
  <c r="BN135" i="20"/>
  <c r="BN136" i="20"/>
  <c r="BN137" i="20"/>
  <c r="BN138" i="20"/>
  <c r="BN139" i="20"/>
  <c r="BN140" i="20"/>
  <c r="BN141" i="20"/>
  <c r="BN142" i="20"/>
  <c r="BN143" i="20"/>
  <c r="BN144" i="20"/>
  <c r="BN145" i="20"/>
  <c r="BN146" i="20"/>
  <c r="BN147" i="20"/>
  <c r="BN148" i="20"/>
  <c r="BN149" i="20"/>
  <c r="BN150" i="20"/>
  <c r="BN151" i="20"/>
  <c r="BN152" i="20"/>
  <c r="BN153" i="20"/>
  <c r="BN154" i="20"/>
  <c r="BN155" i="20"/>
  <c r="BN156" i="20"/>
  <c r="BN157" i="20"/>
  <c r="BN158" i="20"/>
  <c r="BN159" i="20"/>
  <c r="BN160" i="20"/>
  <c r="BN161" i="20"/>
  <c r="BN162" i="20"/>
  <c r="BN163" i="20"/>
  <c r="BN164" i="20"/>
  <c r="BN165" i="20"/>
  <c r="BN166" i="20"/>
  <c r="BN167" i="20"/>
  <c r="BN168" i="20"/>
  <c r="BN169" i="20"/>
  <c r="BN170" i="20"/>
  <c r="BN171" i="20"/>
  <c r="BN172" i="20"/>
  <c r="BN173" i="20"/>
  <c r="BN174" i="20"/>
  <c r="BN175" i="20"/>
  <c r="BN176" i="20"/>
  <c r="BN177" i="20"/>
  <c r="BN178" i="20"/>
  <c r="BN179" i="20"/>
  <c r="BN180" i="20"/>
  <c r="BN181" i="20"/>
  <c r="BN182" i="20"/>
  <c r="BN183" i="20"/>
  <c r="BN184" i="20"/>
  <c r="BN185" i="20"/>
  <c r="BN186" i="20"/>
  <c r="BN187" i="20"/>
  <c r="BN188" i="20"/>
  <c r="BN189" i="20"/>
  <c r="BN190" i="20"/>
  <c r="BN191" i="20"/>
  <c r="BN192" i="20"/>
  <c r="BN193" i="20"/>
  <c r="BN194" i="20"/>
  <c r="BN195" i="20"/>
  <c r="BN196" i="20"/>
  <c r="BN197" i="20"/>
  <c r="BN198" i="20"/>
  <c r="BN199" i="20"/>
  <c r="BN200" i="20"/>
  <c r="BN201" i="20"/>
  <c r="BN202" i="20"/>
  <c r="BN203" i="20"/>
  <c r="BN204" i="20"/>
  <c r="BN205" i="20"/>
  <c r="BN206" i="20"/>
  <c r="BN207" i="20"/>
  <c r="BN208" i="20"/>
  <c r="BN209" i="20"/>
  <c r="BN210" i="20"/>
  <c r="BN211" i="20"/>
  <c r="BN212" i="20"/>
  <c r="BN213" i="20"/>
  <c r="BN214" i="20"/>
  <c r="BN215" i="20"/>
  <c r="BN216" i="20"/>
  <c r="BN217" i="20"/>
  <c r="BN218" i="20"/>
  <c r="BN219" i="20"/>
  <c r="BN220" i="20"/>
  <c r="BN221" i="20"/>
  <c r="BN222" i="20"/>
  <c r="BN223" i="20"/>
  <c r="BN224" i="20"/>
  <c r="BN225" i="20"/>
  <c r="BN226" i="20"/>
  <c r="BN227" i="20"/>
  <c r="BN228" i="20"/>
  <c r="BN229" i="20"/>
  <c r="BN230" i="20"/>
  <c r="BN231" i="20"/>
  <c r="BN232" i="20"/>
  <c r="BN233" i="20"/>
  <c r="BN234" i="20"/>
  <c r="BN235" i="20"/>
  <c r="BN236" i="20"/>
  <c r="BN237" i="20"/>
  <c r="BN238" i="20"/>
  <c r="BN239" i="20"/>
  <c r="BN240" i="20"/>
  <c r="BN241" i="20"/>
  <c r="BN242" i="20"/>
  <c r="BN243" i="20"/>
  <c r="BN244" i="20"/>
  <c r="BN245" i="20"/>
  <c r="BN246" i="20"/>
  <c r="BN247" i="20"/>
  <c r="BN248" i="20"/>
  <c r="BN249" i="20"/>
  <c r="BN250" i="20"/>
  <c r="BN251" i="20"/>
  <c r="BN252" i="20"/>
  <c r="BN253" i="20"/>
  <c r="BN254" i="20"/>
  <c r="BN255" i="20"/>
  <c r="BN256" i="20"/>
  <c r="BN257" i="20"/>
  <c r="BN258" i="20"/>
  <c r="BN259" i="20"/>
  <c r="BN260" i="20"/>
  <c r="BN261" i="20"/>
  <c r="BN262" i="20"/>
  <c r="BN263" i="20"/>
  <c r="BN264" i="20"/>
  <c r="BN265" i="20"/>
  <c r="BN266" i="20"/>
  <c r="BN267" i="20"/>
  <c r="BN268" i="20"/>
  <c r="BN269" i="20"/>
  <c r="BN270" i="20"/>
  <c r="BN271" i="20"/>
  <c r="BN272" i="20"/>
  <c r="BN273" i="20"/>
  <c r="BN274" i="20"/>
  <c r="BN275" i="20"/>
  <c r="BN276" i="20"/>
  <c r="BN277" i="20"/>
  <c r="BN278" i="20"/>
  <c r="BN279" i="20"/>
  <c r="BN280" i="20"/>
  <c r="BN281" i="20"/>
  <c r="BN282" i="20"/>
  <c r="BK6" i="20"/>
  <c r="BK7" i="20"/>
  <c r="BK8" i="20"/>
  <c r="BK9" i="20"/>
  <c r="BK10" i="20"/>
  <c r="BK11" i="20"/>
  <c r="BK12" i="20"/>
  <c r="BK13" i="20"/>
  <c r="BK14" i="20"/>
  <c r="BK20" i="20"/>
  <c r="BK21" i="20"/>
  <c r="BK22" i="20"/>
  <c r="BK23" i="20"/>
  <c r="BK24" i="20"/>
  <c r="BK25" i="20"/>
  <c r="BK26" i="20"/>
  <c r="BK27" i="20"/>
  <c r="BK28" i="20"/>
  <c r="BK29" i="20"/>
  <c r="BK30" i="20"/>
  <c r="BK31" i="20"/>
  <c r="BK32" i="20"/>
  <c r="BK33" i="20"/>
  <c r="BK34" i="20"/>
  <c r="BK35" i="20"/>
  <c r="BK36" i="20"/>
  <c r="BK37" i="20"/>
  <c r="BK38" i="20"/>
  <c r="BK39" i="20"/>
  <c r="BK40" i="20"/>
  <c r="BK41" i="20"/>
  <c r="BK42" i="20"/>
  <c r="BK43" i="20"/>
  <c r="BK44" i="20"/>
  <c r="BK45" i="20"/>
  <c r="BK46" i="20"/>
  <c r="BK47" i="20"/>
  <c r="BK48" i="20"/>
  <c r="BK49" i="20"/>
  <c r="BK50" i="20"/>
  <c r="BK51" i="20"/>
  <c r="BK52" i="20"/>
  <c r="BK53" i="20"/>
  <c r="BK54" i="20"/>
  <c r="BK55" i="20"/>
  <c r="BK56" i="20"/>
  <c r="BK57" i="20"/>
  <c r="BK58" i="20"/>
  <c r="BK59" i="20"/>
  <c r="BK60" i="20"/>
  <c r="BK61" i="20"/>
  <c r="BK62" i="20"/>
  <c r="BK63" i="20"/>
  <c r="BK64" i="20"/>
  <c r="BK65" i="20"/>
  <c r="BK66" i="20"/>
  <c r="BK67" i="20"/>
  <c r="BK68" i="20"/>
  <c r="BK69" i="20"/>
  <c r="BK70" i="20"/>
  <c r="BK71" i="20"/>
  <c r="BK72" i="20"/>
  <c r="BK73" i="20"/>
  <c r="BK74" i="20"/>
  <c r="BK75" i="20"/>
  <c r="BK76" i="20"/>
  <c r="BK77" i="20"/>
  <c r="BK78" i="20"/>
  <c r="BK79" i="20"/>
  <c r="BK80" i="20"/>
  <c r="BK81" i="20"/>
  <c r="BK82" i="20"/>
  <c r="BK83" i="20"/>
  <c r="BK84" i="20"/>
  <c r="BK85" i="20"/>
  <c r="BK86" i="20"/>
  <c r="BK87" i="20"/>
  <c r="BK88" i="20"/>
  <c r="BK89" i="20"/>
  <c r="BK90" i="20"/>
  <c r="BK91" i="20"/>
  <c r="BK92" i="20"/>
  <c r="BK93" i="20"/>
  <c r="BK94" i="20"/>
  <c r="BK95" i="20"/>
  <c r="BK96" i="20"/>
  <c r="BK97" i="20"/>
  <c r="BK98" i="20"/>
  <c r="BK99" i="20"/>
  <c r="BK100" i="20"/>
  <c r="BK101" i="20"/>
  <c r="BK102" i="20"/>
  <c r="BK103" i="20"/>
  <c r="BK104" i="20"/>
  <c r="BK105" i="20"/>
  <c r="BK106" i="20"/>
  <c r="BK107" i="20"/>
  <c r="BK108" i="20"/>
  <c r="BK109" i="20"/>
  <c r="BK110" i="20"/>
  <c r="BK111" i="20"/>
  <c r="BK112" i="20"/>
  <c r="BK113" i="20"/>
  <c r="BK114" i="20"/>
  <c r="BK115" i="20"/>
  <c r="BK116" i="20"/>
  <c r="BK117" i="20"/>
  <c r="BK118" i="20"/>
  <c r="BK119" i="20"/>
  <c r="BK120" i="20"/>
  <c r="BK121" i="20"/>
  <c r="BK122" i="20"/>
  <c r="BK123" i="20"/>
  <c r="BK124" i="20"/>
  <c r="BK125" i="20"/>
  <c r="BK126" i="20"/>
  <c r="BK127" i="20"/>
  <c r="BK128" i="20"/>
  <c r="BK129" i="20"/>
  <c r="BK130" i="20"/>
  <c r="BK131" i="20"/>
  <c r="BK132" i="20"/>
  <c r="BK133" i="20"/>
  <c r="BK134" i="20"/>
  <c r="BK135" i="20"/>
  <c r="BK136" i="20"/>
  <c r="BK137" i="20"/>
  <c r="BK138" i="20"/>
  <c r="BK139" i="20"/>
  <c r="BK140" i="20"/>
  <c r="BK141" i="20"/>
  <c r="BK142" i="20"/>
  <c r="BK143" i="20"/>
  <c r="BK144" i="20"/>
  <c r="BK145" i="20"/>
  <c r="BK146" i="20"/>
  <c r="BK147" i="20"/>
  <c r="BK148" i="20"/>
  <c r="BK149" i="20"/>
  <c r="BK150" i="20"/>
  <c r="BK151" i="20"/>
  <c r="BK152" i="20"/>
  <c r="BK153" i="20"/>
  <c r="BK154" i="20"/>
  <c r="BK155" i="20"/>
  <c r="BK156" i="20"/>
  <c r="BK157" i="20"/>
  <c r="BK158" i="20"/>
  <c r="BK159" i="20"/>
  <c r="BK160" i="20"/>
  <c r="BK161" i="20"/>
  <c r="BK162" i="20"/>
  <c r="BK163" i="20"/>
  <c r="BK164" i="20"/>
  <c r="BK165" i="20"/>
  <c r="BK166" i="20"/>
  <c r="BK167" i="20"/>
  <c r="BK168" i="20"/>
  <c r="BK169" i="20"/>
  <c r="BK170" i="20"/>
  <c r="BK171" i="20"/>
  <c r="BK172" i="20"/>
  <c r="BK173" i="20"/>
  <c r="BK174" i="20"/>
  <c r="BK175" i="20"/>
  <c r="BK176" i="20"/>
  <c r="BK177" i="20"/>
  <c r="BK178" i="20"/>
  <c r="BK179" i="20"/>
  <c r="BK180" i="20"/>
  <c r="BK181" i="20"/>
  <c r="BK182" i="20"/>
  <c r="BK183" i="20"/>
  <c r="BK184" i="20"/>
  <c r="BK185" i="20"/>
  <c r="BK186" i="20"/>
  <c r="BK187" i="20"/>
  <c r="BK188" i="20"/>
  <c r="BK189" i="20"/>
  <c r="BK190" i="20"/>
  <c r="BK191" i="20"/>
  <c r="BK192" i="20"/>
  <c r="BK193" i="20"/>
  <c r="BK194" i="20"/>
  <c r="BK195" i="20"/>
  <c r="BK196" i="20"/>
  <c r="BK197" i="20"/>
  <c r="BK198" i="20"/>
  <c r="BK199" i="20"/>
  <c r="BK200" i="20"/>
  <c r="BK201" i="20"/>
  <c r="BK202" i="20"/>
  <c r="BK203" i="20"/>
  <c r="BK204" i="20"/>
  <c r="BK205" i="20"/>
  <c r="BK206" i="20"/>
  <c r="BK207" i="20"/>
  <c r="BK208" i="20"/>
  <c r="BK209" i="20"/>
  <c r="BK210" i="20"/>
  <c r="BK211" i="20"/>
  <c r="BK212" i="20"/>
  <c r="BK213" i="20"/>
  <c r="BK214" i="20"/>
  <c r="BK215" i="20"/>
  <c r="BK216" i="20"/>
  <c r="BK217" i="20"/>
  <c r="BK218" i="20"/>
  <c r="BK219" i="20"/>
  <c r="BK220" i="20"/>
  <c r="BK221" i="20"/>
  <c r="BK222" i="20"/>
  <c r="BK223" i="20"/>
  <c r="BK224" i="20"/>
  <c r="BK225" i="20"/>
  <c r="BK226" i="20"/>
  <c r="BK227" i="20"/>
  <c r="BK228" i="20"/>
  <c r="BK229" i="20"/>
  <c r="BK230" i="20"/>
  <c r="BK231" i="20"/>
  <c r="BK232" i="20"/>
  <c r="BK233" i="20"/>
  <c r="BK234" i="20"/>
  <c r="BK235" i="20"/>
  <c r="BK236" i="20"/>
  <c r="BK237" i="20"/>
  <c r="BK238" i="20"/>
  <c r="BK239" i="20"/>
  <c r="BK240" i="20"/>
  <c r="BK241" i="20"/>
  <c r="BK242" i="20"/>
  <c r="BK243" i="20"/>
  <c r="BK244" i="20"/>
  <c r="BK245" i="20"/>
  <c r="BK246" i="20"/>
  <c r="BK247" i="20"/>
  <c r="BK248" i="20"/>
  <c r="BK249" i="20"/>
  <c r="BK250" i="20"/>
  <c r="BK251" i="20"/>
  <c r="BK252" i="20"/>
  <c r="BK253" i="20"/>
  <c r="BK254" i="20"/>
  <c r="BK255" i="20"/>
  <c r="BK256" i="20"/>
  <c r="BK257" i="20"/>
  <c r="BK258" i="20"/>
  <c r="BK259" i="20"/>
  <c r="BK260" i="20"/>
  <c r="BK261" i="20"/>
  <c r="BK262" i="20"/>
  <c r="BK263" i="20"/>
  <c r="BK264" i="20"/>
  <c r="BK265" i="20"/>
  <c r="BK266" i="20"/>
  <c r="BK267" i="20"/>
  <c r="BK268" i="20"/>
  <c r="BK269" i="20"/>
  <c r="BK270" i="20"/>
  <c r="BK271" i="20"/>
  <c r="BK272" i="20"/>
  <c r="BK273" i="20"/>
  <c r="BK274" i="20"/>
  <c r="BK275" i="20"/>
  <c r="BK276" i="20"/>
  <c r="BK277" i="20"/>
  <c r="BK278" i="20"/>
  <c r="BK279" i="20"/>
  <c r="BK280" i="20"/>
  <c r="BK281" i="20"/>
  <c r="BK282" i="20"/>
  <c r="BK5" i="20"/>
  <c r="BI7" i="20"/>
  <c r="BI8" i="20"/>
  <c r="BI9" i="20"/>
  <c r="BI10" i="20"/>
  <c r="BI11" i="20"/>
  <c r="BI12" i="20"/>
  <c r="BI13" i="20"/>
  <c r="BI14" i="20"/>
  <c r="BI18" i="20"/>
  <c r="BI19" i="20"/>
  <c r="BI20" i="20"/>
  <c r="BI21" i="20"/>
  <c r="BI22" i="20"/>
  <c r="BI23" i="20"/>
  <c r="BI24" i="20"/>
  <c r="BI25" i="20"/>
  <c r="BI26" i="20"/>
  <c r="BI27" i="20"/>
  <c r="BI28" i="20"/>
  <c r="BI29" i="20"/>
  <c r="BI30" i="20"/>
  <c r="BI31" i="20"/>
  <c r="BI32" i="20"/>
  <c r="BI33" i="20"/>
  <c r="BI34" i="20"/>
  <c r="BI35" i="20"/>
  <c r="BI36" i="20"/>
  <c r="BI37" i="20"/>
  <c r="BI38" i="20"/>
  <c r="BI39" i="20"/>
  <c r="BI40" i="20"/>
  <c r="BI41" i="20"/>
  <c r="BI42" i="20"/>
  <c r="BI43" i="20"/>
  <c r="BI44" i="20"/>
  <c r="BI45" i="20"/>
  <c r="BI46" i="20"/>
  <c r="BI47" i="20"/>
  <c r="BI48" i="20"/>
  <c r="BI49" i="20"/>
  <c r="BI50" i="20"/>
  <c r="BI51" i="20"/>
  <c r="BI52" i="20"/>
  <c r="BI53" i="20"/>
  <c r="BI54" i="20"/>
  <c r="BI55" i="20"/>
  <c r="BI56" i="20"/>
  <c r="BI57" i="20"/>
  <c r="BI58" i="20"/>
  <c r="BI59" i="20"/>
  <c r="BI60" i="20"/>
  <c r="BI61" i="20"/>
  <c r="BI62" i="20"/>
  <c r="BI63" i="20"/>
  <c r="BI64" i="20"/>
  <c r="BI65" i="20"/>
  <c r="BI66" i="20"/>
  <c r="BI67" i="20"/>
  <c r="BI68" i="20"/>
  <c r="BI69" i="20"/>
  <c r="BI70" i="20"/>
  <c r="BI71" i="20"/>
  <c r="BI72" i="20"/>
  <c r="BI73" i="20"/>
  <c r="BI74" i="20"/>
  <c r="BI75" i="20"/>
  <c r="BI76" i="20"/>
  <c r="BI77" i="20"/>
  <c r="BI78" i="20"/>
  <c r="BI79" i="20"/>
  <c r="BI80" i="20"/>
  <c r="BI81" i="20"/>
  <c r="BI82" i="20"/>
  <c r="BI83" i="20"/>
  <c r="BI84" i="20"/>
  <c r="BI85" i="20"/>
  <c r="BI86" i="20"/>
  <c r="BI87" i="20"/>
  <c r="BI88" i="20"/>
  <c r="BI89" i="20"/>
  <c r="BI90" i="20"/>
  <c r="BI91" i="20"/>
  <c r="BI92" i="20"/>
  <c r="BI93" i="20"/>
  <c r="BI94" i="20"/>
  <c r="BI95" i="20"/>
  <c r="BI96" i="20"/>
  <c r="BI97" i="20"/>
  <c r="BI98" i="20"/>
  <c r="BI99" i="20"/>
  <c r="BI100" i="20"/>
  <c r="BI101" i="20"/>
  <c r="BI102" i="20"/>
  <c r="BI103" i="20"/>
  <c r="BI104" i="20"/>
  <c r="BI105" i="20"/>
  <c r="BI106" i="20"/>
  <c r="BI107" i="20"/>
  <c r="BI108" i="20"/>
  <c r="BI109" i="20"/>
  <c r="BI110" i="20"/>
  <c r="BI111" i="20"/>
  <c r="BI112" i="20"/>
  <c r="BI113" i="20"/>
  <c r="BI114" i="20"/>
  <c r="BI115" i="20"/>
  <c r="BI116" i="20"/>
  <c r="BI117" i="20"/>
  <c r="BI118" i="20"/>
  <c r="BI119" i="20"/>
  <c r="BI120" i="20"/>
  <c r="BI121" i="20"/>
  <c r="BI122" i="20"/>
  <c r="BI123" i="20"/>
  <c r="BI124" i="20"/>
  <c r="BI125" i="20"/>
  <c r="BI126" i="20"/>
  <c r="BI127" i="20"/>
  <c r="BI128" i="20"/>
  <c r="BI129" i="20"/>
  <c r="BI130" i="20"/>
  <c r="BI131" i="20"/>
  <c r="BI132" i="20"/>
  <c r="BI133" i="20"/>
  <c r="BI134" i="20"/>
  <c r="BI135" i="20"/>
  <c r="BI136" i="20"/>
  <c r="BI137" i="20"/>
  <c r="BI138" i="20"/>
  <c r="BI139" i="20"/>
  <c r="BI140" i="20"/>
  <c r="BI141" i="20"/>
  <c r="BI142" i="20"/>
  <c r="BI143" i="20"/>
  <c r="BI144" i="20"/>
  <c r="BI145" i="20"/>
  <c r="BI146" i="20"/>
  <c r="BI147" i="20"/>
  <c r="BI148" i="20"/>
  <c r="BI149" i="20"/>
  <c r="BI150" i="20"/>
  <c r="BI151" i="20"/>
  <c r="BI152" i="20"/>
  <c r="BI153" i="20"/>
  <c r="BI154" i="20"/>
  <c r="BI155" i="20"/>
  <c r="BI156" i="20"/>
  <c r="BI157" i="20"/>
  <c r="BI158" i="20"/>
  <c r="BI159" i="20"/>
  <c r="BI160" i="20"/>
  <c r="BI161" i="20"/>
  <c r="BI162" i="20"/>
  <c r="BI163" i="20"/>
  <c r="BI164" i="20"/>
  <c r="BI165" i="20"/>
  <c r="BI166" i="20"/>
  <c r="BI167" i="20"/>
  <c r="BI168" i="20"/>
  <c r="BI169" i="20"/>
  <c r="BI170" i="20"/>
  <c r="BI171" i="20"/>
  <c r="BI172" i="20"/>
  <c r="BI173" i="20"/>
  <c r="BI174" i="20"/>
  <c r="BI175" i="20"/>
  <c r="BI176" i="20"/>
  <c r="BI177" i="20"/>
  <c r="BI178" i="20"/>
  <c r="BI179" i="20"/>
  <c r="BI180" i="20"/>
  <c r="BI181" i="20"/>
  <c r="BI182" i="20"/>
  <c r="BI183" i="20"/>
  <c r="BI184" i="20"/>
  <c r="BI185" i="20"/>
  <c r="BI186" i="20"/>
  <c r="BI187" i="20"/>
  <c r="BI188" i="20"/>
  <c r="BI189" i="20"/>
  <c r="BI190" i="20"/>
  <c r="BI191" i="20"/>
  <c r="BI192" i="20"/>
  <c r="BI193" i="20"/>
  <c r="BI194" i="20"/>
  <c r="BI195" i="20"/>
  <c r="BI196" i="20"/>
  <c r="BI197" i="20"/>
  <c r="BI198" i="20"/>
  <c r="BI199" i="20"/>
  <c r="BI200" i="20"/>
  <c r="BI201" i="20"/>
  <c r="BI202" i="20"/>
  <c r="BI203" i="20"/>
  <c r="BI204" i="20"/>
  <c r="BI205" i="20"/>
  <c r="BI206" i="20"/>
  <c r="BI207" i="20"/>
  <c r="BI208" i="20"/>
  <c r="BI209" i="20"/>
  <c r="BI210" i="20"/>
  <c r="BI211" i="20"/>
  <c r="BI212" i="20"/>
  <c r="BI213" i="20"/>
  <c r="BI214" i="20"/>
  <c r="BI215" i="20"/>
  <c r="BI216" i="20"/>
  <c r="BI217" i="20"/>
  <c r="BI218" i="20"/>
  <c r="BI219" i="20"/>
  <c r="BI220" i="20"/>
  <c r="BI221" i="20"/>
  <c r="BI222" i="20"/>
  <c r="BI223" i="20"/>
  <c r="BI224" i="20"/>
  <c r="BI225" i="20"/>
  <c r="BI226" i="20"/>
  <c r="BI227" i="20"/>
  <c r="BI228" i="20"/>
  <c r="BI229" i="20"/>
  <c r="BI230" i="20"/>
  <c r="BI231" i="20"/>
  <c r="BI232" i="20"/>
  <c r="BI233" i="20"/>
  <c r="BI234" i="20"/>
  <c r="BI235" i="20"/>
  <c r="BI236" i="20"/>
  <c r="BI237" i="20"/>
  <c r="BI238" i="20"/>
  <c r="BI239" i="20"/>
  <c r="BI240" i="20"/>
  <c r="BI241" i="20"/>
  <c r="BI242" i="20"/>
  <c r="BI243" i="20"/>
  <c r="BI244" i="20"/>
  <c r="BI245" i="20"/>
  <c r="BI246" i="20"/>
  <c r="BI247" i="20"/>
  <c r="BI248" i="20"/>
  <c r="BI249" i="20"/>
  <c r="BI250" i="20"/>
  <c r="BI251" i="20"/>
  <c r="BI252" i="20"/>
  <c r="BI253" i="20"/>
  <c r="BI254" i="20"/>
  <c r="BI255" i="20"/>
  <c r="BI256" i="20"/>
  <c r="BI257" i="20"/>
  <c r="BI258" i="20"/>
  <c r="BI259" i="20"/>
  <c r="BI260" i="20"/>
  <c r="BI261" i="20"/>
  <c r="BI262" i="20"/>
  <c r="BI263" i="20"/>
  <c r="BI264" i="20"/>
  <c r="BI265" i="20"/>
  <c r="BI266" i="20"/>
  <c r="BI267" i="20"/>
  <c r="BI268" i="20"/>
  <c r="BI269" i="20"/>
  <c r="BI270" i="20"/>
  <c r="BI271" i="20"/>
  <c r="BI272" i="20"/>
  <c r="BI273" i="20"/>
  <c r="BI274" i="20"/>
  <c r="BI275" i="20"/>
  <c r="BI276" i="20"/>
  <c r="BI277" i="20"/>
  <c r="BI278" i="20"/>
  <c r="BI279" i="20"/>
  <c r="BI280" i="20"/>
  <c r="BI281" i="20"/>
  <c r="BI282" i="20"/>
  <c r="BH7" i="20"/>
  <c r="BH8" i="20"/>
  <c r="BH9" i="20"/>
  <c r="BH10" i="20"/>
  <c r="BH11" i="20"/>
  <c r="BH12" i="20"/>
  <c r="BH13" i="20"/>
  <c r="BH14" i="20"/>
  <c r="BH15" i="20"/>
  <c r="BN15" i="20" s="1"/>
  <c r="BH16" i="20"/>
  <c r="BH17" i="20"/>
  <c r="BH18" i="20"/>
  <c r="BN18" i="20" s="1"/>
  <c r="BH19" i="20"/>
  <c r="BK19" i="20" s="1"/>
  <c r="BH20" i="20"/>
  <c r="BH21" i="20"/>
  <c r="BH22" i="20"/>
  <c r="BH23" i="20"/>
  <c r="BH24" i="20"/>
  <c r="BH25" i="20"/>
  <c r="BH26" i="20"/>
  <c r="BH27" i="20"/>
  <c r="BH28" i="20"/>
  <c r="BH29" i="20"/>
  <c r="BH30" i="20"/>
  <c r="BH31" i="20"/>
  <c r="BH32" i="20"/>
  <c r="BH33" i="20"/>
  <c r="BH34" i="20"/>
  <c r="BH35" i="20"/>
  <c r="BH36" i="20"/>
  <c r="BH37" i="20"/>
  <c r="BH38" i="20"/>
  <c r="BH39" i="20"/>
  <c r="BH40" i="20"/>
  <c r="BH41" i="20"/>
  <c r="BH42" i="20"/>
  <c r="BH43" i="20"/>
  <c r="BH44" i="20"/>
  <c r="BH45" i="20"/>
  <c r="BH46" i="20"/>
  <c r="BH47" i="20"/>
  <c r="BH48" i="20"/>
  <c r="BH49" i="20"/>
  <c r="BH50" i="20"/>
  <c r="BH51" i="20"/>
  <c r="BH52" i="20"/>
  <c r="BH53" i="20"/>
  <c r="BH54" i="20"/>
  <c r="BH55" i="20"/>
  <c r="BH56" i="20"/>
  <c r="BH57" i="20"/>
  <c r="BH58" i="20"/>
  <c r="BH59" i="20"/>
  <c r="BH60" i="20"/>
  <c r="BH61" i="20"/>
  <c r="BH62" i="20"/>
  <c r="BH63" i="20"/>
  <c r="BH64" i="20"/>
  <c r="BH65" i="20"/>
  <c r="BH66" i="20"/>
  <c r="BH67" i="20"/>
  <c r="BH68" i="20"/>
  <c r="BH69" i="20"/>
  <c r="BH70" i="20"/>
  <c r="BH71" i="20"/>
  <c r="BH72" i="20"/>
  <c r="BH73" i="20"/>
  <c r="BH74" i="20"/>
  <c r="BH75" i="20"/>
  <c r="BH76" i="20"/>
  <c r="BH77" i="20"/>
  <c r="BH78" i="20"/>
  <c r="BH79" i="20"/>
  <c r="BH80" i="20"/>
  <c r="BH81" i="20"/>
  <c r="BH82" i="20"/>
  <c r="BH83" i="20"/>
  <c r="BH84" i="20"/>
  <c r="BH85" i="20"/>
  <c r="BH86" i="20"/>
  <c r="BH87" i="20"/>
  <c r="BH88" i="20"/>
  <c r="BH89" i="20"/>
  <c r="BH90" i="20"/>
  <c r="BH91" i="20"/>
  <c r="BH92" i="20"/>
  <c r="BH93" i="20"/>
  <c r="BH94" i="20"/>
  <c r="BH95" i="20"/>
  <c r="BH96" i="20"/>
  <c r="BH97" i="20"/>
  <c r="BH98" i="20"/>
  <c r="BH99" i="20"/>
  <c r="BH100" i="20"/>
  <c r="BH101" i="20"/>
  <c r="BH102" i="20"/>
  <c r="BH103" i="20"/>
  <c r="BH104" i="20"/>
  <c r="BH105" i="20"/>
  <c r="BH106" i="20"/>
  <c r="BH107" i="20"/>
  <c r="BH108" i="20"/>
  <c r="BH109" i="20"/>
  <c r="BH110" i="20"/>
  <c r="BH111" i="20"/>
  <c r="BH112" i="20"/>
  <c r="BH113" i="20"/>
  <c r="BH114" i="20"/>
  <c r="BH115" i="20"/>
  <c r="BH116" i="20"/>
  <c r="BH117" i="20"/>
  <c r="BH118" i="20"/>
  <c r="BH119" i="20"/>
  <c r="BH120" i="20"/>
  <c r="BH121" i="20"/>
  <c r="BH122" i="20"/>
  <c r="BH123" i="20"/>
  <c r="BH124" i="20"/>
  <c r="BH125" i="20"/>
  <c r="BH126" i="20"/>
  <c r="BH127" i="20"/>
  <c r="BH128" i="20"/>
  <c r="BH129" i="20"/>
  <c r="BH130" i="20"/>
  <c r="BH131" i="20"/>
  <c r="BH132" i="20"/>
  <c r="BH133" i="20"/>
  <c r="BH134" i="20"/>
  <c r="BH135" i="20"/>
  <c r="BH136" i="20"/>
  <c r="BH137" i="20"/>
  <c r="BH138" i="20"/>
  <c r="BH139" i="20"/>
  <c r="BH140" i="20"/>
  <c r="BH141" i="20"/>
  <c r="BH142" i="20"/>
  <c r="BH143" i="20"/>
  <c r="BH144" i="20"/>
  <c r="BH145" i="20"/>
  <c r="BH146" i="20"/>
  <c r="BH147" i="20"/>
  <c r="BH148" i="20"/>
  <c r="BH149" i="20"/>
  <c r="BH150" i="20"/>
  <c r="BH151" i="20"/>
  <c r="BH152" i="20"/>
  <c r="BH153" i="20"/>
  <c r="BH154" i="20"/>
  <c r="BH155" i="20"/>
  <c r="BH156" i="20"/>
  <c r="BH157" i="20"/>
  <c r="BH158" i="20"/>
  <c r="BH159" i="20"/>
  <c r="BH160" i="20"/>
  <c r="BH161" i="20"/>
  <c r="BH162" i="20"/>
  <c r="BH163" i="20"/>
  <c r="BH164" i="20"/>
  <c r="BH165" i="20"/>
  <c r="BH166" i="20"/>
  <c r="BH167" i="20"/>
  <c r="BH168" i="20"/>
  <c r="BH169" i="20"/>
  <c r="BH170" i="20"/>
  <c r="BH171" i="20"/>
  <c r="BH172" i="20"/>
  <c r="BH173" i="20"/>
  <c r="BH174" i="20"/>
  <c r="BH175" i="20"/>
  <c r="BH176" i="20"/>
  <c r="BH177" i="20"/>
  <c r="BH178" i="20"/>
  <c r="BH179" i="20"/>
  <c r="BH180" i="20"/>
  <c r="BH181" i="20"/>
  <c r="BH182" i="20"/>
  <c r="BH183" i="20"/>
  <c r="BH184" i="20"/>
  <c r="BH185" i="20"/>
  <c r="BH186" i="20"/>
  <c r="BH187" i="20"/>
  <c r="BH188" i="20"/>
  <c r="BH189" i="20"/>
  <c r="BH190" i="20"/>
  <c r="BH191" i="20"/>
  <c r="BH192" i="20"/>
  <c r="BH193" i="20"/>
  <c r="BH194" i="20"/>
  <c r="BH195" i="20"/>
  <c r="BH196" i="20"/>
  <c r="BH197" i="20"/>
  <c r="BH198" i="20"/>
  <c r="BH199" i="20"/>
  <c r="BH200" i="20"/>
  <c r="BH201" i="20"/>
  <c r="BH202" i="20"/>
  <c r="BH203" i="20"/>
  <c r="BH204" i="20"/>
  <c r="BH205" i="20"/>
  <c r="BH206" i="20"/>
  <c r="BH207" i="20"/>
  <c r="BH208" i="20"/>
  <c r="BH209" i="20"/>
  <c r="BH210" i="20"/>
  <c r="BH211" i="20"/>
  <c r="BH212" i="20"/>
  <c r="BH213" i="20"/>
  <c r="BH214" i="20"/>
  <c r="BH215" i="20"/>
  <c r="BH216" i="20"/>
  <c r="BH217" i="20"/>
  <c r="BH218" i="20"/>
  <c r="BH219" i="20"/>
  <c r="BH220" i="20"/>
  <c r="BH221" i="20"/>
  <c r="BH222" i="20"/>
  <c r="BH223" i="20"/>
  <c r="BH224" i="20"/>
  <c r="BH225" i="20"/>
  <c r="BH226" i="20"/>
  <c r="BH227" i="20"/>
  <c r="BH228" i="20"/>
  <c r="BH229" i="20"/>
  <c r="BH230" i="20"/>
  <c r="BH231" i="20"/>
  <c r="BH232" i="20"/>
  <c r="BH233" i="20"/>
  <c r="BH234" i="20"/>
  <c r="BH235" i="20"/>
  <c r="BH236" i="20"/>
  <c r="BH237" i="20"/>
  <c r="BH238" i="20"/>
  <c r="BH239" i="20"/>
  <c r="BH240" i="20"/>
  <c r="BH241" i="20"/>
  <c r="BH242" i="20"/>
  <c r="BH243" i="20"/>
  <c r="BH244" i="20"/>
  <c r="BH245" i="20"/>
  <c r="BH246" i="20"/>
  <c r="BH247" i="20"/>
  <c r="BH248" i="20"/>
  <c r="BH249" i="20"/>
  <c r="BH250" i="20"/>
  <c r="BH251" i="20"/>
  <c r="BH252" i="20"/>
  <c r="BH253" i="20"/>
  <c r="BH254" i="20"/>
  <c r="BH255" i="20"/>
  <c r="BH256" i="20"/>
  <c r="BH257" i="20"/>
  <c r="BH258" i="20"/>
  <c r="BH259" i="20"/>
  <c r="BH260" i="20"/>
  <c r="BH261" i="20"/>
  <c r="BH262" i="20"/>
  <c r="BH263" i="20"/>
  <c r="BH264" i="20"/>
  <c r="BH265" i="20"/>
  <c r="BH266" i="20"/>
  <c r="BH267" i="20"/>
  <c r="BH268" i="20"/>
  <c r="BH269" i="20"/>
  <c r="BH270" i="20"/>
  <c r="BH271" i="20"/>
  <c r="BH272" i="20"/>
  <c r="BH273" i="20"/>
  <c r="BH274" i="20"/>
  <c r="BH275" i="20"/>
  <c r="BH276" i="20"/>
  <c r="BH277" i="20"/>
  <c r="BH278" i="20"/>
  <c r="BH279" i="20"/>
  <c r="BH280" i="20"/>
  <c r="BH281" i="20"/>
  <c r="BH282" i="20"/>
  <c r="BI6" i="20"/>
  <c r="BH6" i="20"/>
  <c r="BG7" i="20"/>
  <c r="BG8" i="20"/>
  <c r="BG9" i="20"/>
  <c r="BG10" i="20"/>
  <c r="BG11" i="20"/>
  <c r="BG12" i="20"/>
  <c r="BG13" i="20"/>
  <c r="BG14" i="20"/>
  <c r="BG18" i="20"/>
  <c r="BG19" i="20"/>
  <c r="BG20" i="20"/>
  <c r="BG21" i="20"/>
  <c r="BG22" i="20"/>
  <c r="BG23" i="20"/>
  <c r="BG24" i="20"/>
  <c r="BG25" i="20"/>
  <c r="BG26" i="20"/>
  <c r="BG27" i="20"/>
  <c r="BG28" i="20"/>
  <c r="BG29" i="20"/>
  <c r="BG30" i="20"/>
  <c r="BG31" i="20"/>
  <c r="BG32" i="20"/>
  <c r="BG33" i="20"/>
  <c r="BG34" i="20"/>
  <c r="BG35" i="20"/>
  <c r="BG36" i="20"/>
  <c r="BG37" i="20"/>
  <c r="BG38" i="20"/>
  <c r="BG39" i="20"/>
  <c r="BG40" i="20"/>
  <c r="BG41" i="20"/>
  <c r="BG42" i="20"/>
  <c r="BG43" i="20"/>
  <c r="BG44" i="20"/>
  <c r="BG45" i="20"/>
  <c r="BG46" i="20"/>
  <c r="BG47" i="20"/>
  <c r="BG48" i="20"/>
  <c r="BG49" i="20"/>
  <c r="BG50" i="20"/>
  <c r="BG51" i="20"/>
  <c r="BG52" i="20"/>
  <c r="BG53" i="20"/>
  <c r="BG54" i="20"/>
  <c r="BG55" i="20"/>
  <c r="BG56" i="20"/>
  <c r="BG57" i="20"/>
  <c r="BG58" i="20"/>
  <c r="BG59" i="20"/>
  <c r="BG60" i="20"/>
  <c r="BG61" i="20"/>
  <c r="BG62" i="20"/>
  <c r="BG63" i="20"/>
  <c r="BG64" i="20"/>
  <c r="BG65" i="20"/>
  <c r="BG66" i="20"/>
  <c r="BG67" i="20"/>
  <c r="BG68" i="20"/>
  <c r="BG69" i="20"/>
  <c r="BG70" i="20"/>
  <c r="BG71" i="20"/>
  <c r="BG72" i="20"/>
  <c r="BG73" i="20"/>
  <c r="BG74" i="20"/>
  <c r="BG75" i="20"/>
  <c r="BG76" i="20"/>
  <c r="BG77" i="20"/>
  <c r="BG78" i="20"/>
  <c r="BG79" i="20"/>
  <c r="BG80" i="20"/>
  <c r="BG81" i="20"/>
  <c r="BG82" i="20"/>
  <c r="BG83" i="20"/>
  <c r="BG84" i="20"/>
  <c r="BG85" i="20"/>
  <c r="BG86" i="20"/>
  <c r="BG87" i="20"/>
  <c r="BG88" i="20"/>
  <c r="BG89" i="20"/>
  <c r="BG90" i="20"/>
  <c r="BG91" i="20"/>
  <c r="BG92" i="20"/>
  <c r="BG93" i="20"/>
  <c r="BG94" i="20"/>
  <c r="BG95" i="20"/>
  <c r="BG96" i="20"/>
  <c r="BG97" i="20"/>
  <c r="BG98" i="20"/>
  <c r="BG99" i="20"/>
  <c r="BG100" i="20"/>
  <c r="BG101" i="20"/>
  <c r="BG102" i="20"/>
  <c r="BG103" i="20"/>
  <c r="BG104" i="20"/>
  <c r="BG105" i="20"/>
  <c r="BG106" i="20"/>
  <c r="BG107" i="20"/>
  <c r="BG108" i="20"/>
  <c r="BG109" i="20"/>
  <c r="BG110" i="20"/>
  <c r="BG111" i="20"/>
  <c r="BG112" i="20"/>
  <c r="BG113" i="20"/>
  <c r="BG114" i="20"/>
  <c r="BG115" i="20"/>
  <c r="BG116" i="20"/>
  <c r="BG117" i="20"/>
  <c r="BG118" i="20"/>
  <c r="BG119" i="20"/>
  <c r="BG120" i="20"/>
  <c r="BG121" i="20"/>
  <c r="BG122" i="20"/>
  <c r="BG123" i="20"/>
  <c r="BG124" i="20"/>
  <c r="BG125" i="20"/>
  <c r="BG126" i="20"/>
  <c r="BG127" i="20"/>
  <c r="BG128" i="20"/>
  <c r="BG129" i="20"/>
  <c r="BG130" i="20"/>
  <c r="BG131" i="20"/>
  <c r="BG132" i="20"/>
  <c r="BG133" i="20"/>
  <c r="BG134" i="20"/>
  <c r="BG135" i="20"/>
  <c r="BG136" i="20"/>
  <c r="BG137" i="20"/>
  <c r="BG138" i="20"/>
  <c r="BG139" i="20"/>
  <c r="BG140" i="20"/>
  <c r="BG141" i="20"/>
  <c r="BG142" i="20"/>
  <c r="BG143" i="20"/>
  <c r="BG144" i="20"/>
  <c r="BG145" i="20"/>
  <c r="BG146" i="20"/>
  <c r="BG147" i="20"/>
  <c r="BG148" i="20"/>
  <c r="BG149" i="20"/>
  <c r="BG150" i="20"/>
  <c r="BG151" i="20"/>
  <c r="BG152" i="20"/>
  <c r="BG153" i="20"/>
  <c r="BG154" i="20"/>
  <c r="BG155" i="20"/>
  <c r="BG156" i="20"/>
  <c r="BG157" i="20"/>
  <c r="BG158" i="20"/>
  <c r="BG159" i="20"/>
  <c r="BG160" i="20"/>
  <c r="BG161" i="20"/>
  <c r="BG162" i="20"/>
  <c r="BG163" i="20"/>
  <c r="BG164" i="20"/>
  <c r="BG165" i="20"/>
  <c r="BG166" i="20"/>
  <c r="BG167" i="20"/>
  <c r="BG168" i="20"/>
  <c r="BG169" i="20"/>
  <c r="BG170" i="20"/>
  <c r="BG171" i="20"/>
  <c r="BG172" i="20"/>
  <c r="BG173" i="20"/>
  <c r="BG174" i="20"/>
  <c r="BG175" i="20"/>
  <c r="BG176" i="20"/>
  <c r="BG177" i="20"/>
  <c r="BG178" i="20"/>
  <c r="BG179" i="20"/>
  <c r="BG180" i="20"/>
  <c r="BG181" i="20"/>
  <c r="BG182" i="20"/>
  <c r="BG183" i="20"/>
  <c r="BG184" i="20"/>
  <c r="BG185" i="20"/>
  <c r="BG186" i="20"/>
  <c r="BG187" i="20"/>
  <c r="BG188" i="20"/>
  <c r="BG189" i="20"/>
  <c r="BG190" i="20"/>
  <c r="BG191" i="20"/>
  <c r="BG192" i="20"/>
  <c r="BG193" i="20"/>
  <c r="BG194" i="20"/>
  <c r="BG195" i="20"/>
  <c r="BG196" i="20"/>
  <c r="BG197" i="20"/>
  <c r="BG198" i="20"/>
  <c r="BG199" i="20"/>
  <c r="BG200" i="20"/>
  <c r="BG201" i="20"/>
  <c r="BG202" i="20"/>
  <c r="BG203" i="20"/>
  <c r="BG204" i="20"/>
  <c r="BG205" i="20"/>
  <c r="BG206" i="20"/>
  <c r="BG207" i="20"/>
  <c r="BG208" i="20"/>
  <c r="BG209" i="20"/>
  <c r="BG210" i="20"/>
  <c r="BG211" i="20"/>
  <c r="BG212" i="20"/>
  <c r="BG213" i="20"/>
  <c r="BG214" i="20"/>
  <c r="BG215" i="20"/>
  <c r="BG216" i="20"/>
  <c r="BG217" i="20"/>
  <c r="BG218" i="20"/>
  <c r="BG219" i="20"/>
  <c r="BG220" i="20"/>
  <c r="BG221" i="20"/>
  <c r="BG222" i="20"/>
  <c r="BG223" i="20"/>
  <c r="BG224" i="20"/>
  <c r="BG225" i="20"/>
  <c r="BG226" i="20"/>
  <c r="BG227" i="20"/>
  <c r="BG228" i="20"/>
  <c r="BG229" i="20"/>
  <c r="BG230" i="20"/>
  <c r="BG231" i="20"/>
  <c r="BG232" i="20"/>
  <c r="BG233" i="20"/>
  <c r="BG234" i="20"/>
  <c r="BG235" i="20"/>
  <c r="BG236" i="20"/>
  <c r="BG237" i="20"/>
  <c r="BG238" i="20"/>
  <c r="BG239" i="20"/>
  <c r="BG240" i="20"/>
  <c r="BG241" i="20"/>
  <c r="BG242" i="20"/>
  <c r="BG243" i="20"/>
  <c r="BG244" i="20"/>
  <c r="BG245" i="20"/>
  <c r="BG246" i="20"/>
  <c r="BG247" i="20"/>
  <c r="BG248" i="20"/>
  <c r="BG249" i="20"/>
  <c r="BG250" i="20"/>
  <c r="BG251" i="20"/>
  <c r="BG252" i="20"/>
  <c r="BG253" i="20"/>
  <c r="BG254" i="20"/>
  <c r="BG255" i="20"/>
  <c r="BG256" i="20"/>
  <c r="BG257" i="20"/>
  <c r="BG258" i="20"/>
  <c r="BG259" i="20"/>
  <c r="BG260" i="20"/>
  <c r="BG261" i="20"/>
  <c r="BG262" i="20"/>
  <c r="BG263" i="20"/>
  <c r="BG264" i="20"/>
  <c r="BG265" i="20"/>
  <c r="BG266" i="20"/>
  <c r="BG267" i="20"/>
  <c r="BG268" i="20"/>
  <c r="BG269" i="20"/>
  <c r="BG270" i="20"/>
  <c r="BG271" i="20"/>
  <c r="BG272" i="20"/>
  <c r="BG273" i="20"/>
  <c r="BG274" i="20"/>
  <c r="BG275" i="20"/>
  <c r="BG276" i="20"/>
  <c r="BG277" i="20"/>
  <c r="BG278" i="20"/>
  <c r="BG279" i="20"/>
  <c r="BG280" i="20"/>
  <c r="BG281" i="20"/>
  <c r="BG282" i="20"/>
  <c r="BG6" i="20"/>
  <c r="BF6" i="20"/>
  <c r="AV5" i="20"/>
  <c r="AV6" i="20"/>
  <c r="AV7" i="20"/>
  <c r="AV8" i="20"/>
  <c r="AV9" i="20"/>
  <c r="AV10" i="20"/>
  <c r="AV11" i="20"/>
  <c r="AV12" i="20"/>
  <c r="AV13" i="20"/>
  <c r="AV14" i="20"/>
  <c r="AV15" i="20"/>
  <c r="AV16" i="20"/>
  <c r="AV17" i="20"/>
  <c r="AV18" i="20"/>
  <c r="AV19" i="20"/>
  <c r="AV20" i="20"/>
  <c r="AV21" i="20"/>
  <c r="AV22" i="20"/>
  <c r="AV23" i="20"/>
  <c r="AV24" i="20"/>
  <c r="AV25" i="20"/>
  <c r="AV26" i="20"/>
  <c r="AV27" i="20"/>
  <c r="AV28" i="20"/>
  <c r="AV29" i="20"/>
  <c r="AV30" i="20"/>
  <c r="AV31" i="20"/>
  <c r="AV32" i="20"/>
  <c r="AV33" i="20"/>
  <c r="AV34" i="20"/>
  <c r="AV35" i="20"/>
  <c r="AV36" i="20"/>
  <c r="AV37" i="20"/>
  <c r="AV38" i="20"/>
  <c r="AV39" i="20"/>
  <c r="AV40" i="20"/>
  <c r="AV41" i="20"/>
  <c r="AV42" i="20"/>
  <c r="AV43" i="20"/>
  <c r="AV44" i="20"/>
  <c r="AV45" i="20"/>
  <c r="AV46" i="20"/>
  <c r="AV47" i="20"/>
  <c r="AV48" i="20"/>
  <c r="AV49" i="20"/>
  <c r="AV50" i="20"/>
  <c r="AV51" i="20"/>
  <c r="AV52" i="20"/>
  <c r="AV53" i="20"/>
  <c r="AV54" i="20"/>
  <c r="AV55" i="20"/>
  <c r="AV56" i="20"/>
  <c r="AV57" i="20"/>
  <c r="AV58" i="20"/>
  <c r="AV59" i="20"/>
  <c r="AV60" i="20"/>
  <c r="AV61" i="20"/>
  <c r="AV62" i="20"/>
  <c r="AV63" i="20"/>
  <c r="AV64" i="20"/>
  <c r="AV65" i="20"/>
  <c r="AV66" i="20"/>
  <c r="AV67" i="20"/>
  <c r="AV68" i="20"/>
  <c r="AV69" i="20"/>
  <c r="AV70" i="20"/>
  <c r="AV71" i="20"/>
  <c r="AV72" i="20"/>
  <c r="AV73" i="20"/>
  <c r="AV74" i="20"/>
  <c r="AV75" i="20"/>
  <c r="AV76" i="20"/>
  <c r="AV77" i="20"/>
  <c r="AV78" i="20"/>
  <c r="AV79" i="20"/>
  <c r="AV80" i="20"/>
  <c r="AV81" i="20"/>
  <c r="AV82" i="20"/>
  <c r="AV83" i="20"/>
  <c r="AV84" i="20"/>
  <c r="AV85" i="20"/>
  <c r="AV86" i="20"/>
  <c r="AV87" i="20"/>
  <c r="AV88" i="20"/>
  <c r="AV89" i="20"/>
  <c r="AV90" i="20"/>
  <c r="AV91" i="20"/>
  <c r="AV92" i="20"/>
  <c r="AV93" i="20"/>
  <c r="AV94" i="20"/>
  <c r="AV95" i="20"/>
  <c r="AV96" i="20"/>
  <c r="AV97" i="20"/>
  <c r="AV98" i="20"/>
  <c r="AV99" i="20"/>
  <c r="AV100" i="20"/>
  <c r="AV101" i="20"/>
  <c r="AV102" i="20"/>
  <c r="AV103" i="20"/>
  <c r="AV104" i="20"/>
  <c r="AV105" i="20"/>
  <c r="AV106" i="20"/>
  <c r="AV107" i="20"/>
  <c r="AV108" i="20"/>
  <c r="AV109" i="20"/>
  <c r="AV110" i="20"/>
  <c r="AV111" i="20"/>
  <c r="AV112" i="20"/>
  <c r="AV113" i="20"/>
  <c r="AV114" i="20"/>
  <c r="AV115" i="20"/>
  <c r="AV116" i="20"/>
  <c r="AV117" i="20"/>
  <c r="AV118" i="20"/>
  <c r="AV119" i="20"/>
  <c r="AV120" i="20"/>
  <c r="AV121" i="20"/>
  <c r="AV122" i="20"/>
  <c r="AV123" i="20"/>
  <c r="AV124" i="20"/>
  <c r="AV125" i="20"/>
  <c r="AV126" i="20"/>
  <c r="AV127" i="20"/>
  <c r="AV128" i="20"/>
  <c r="AV129" i="20"/>
  <c r="AV130" i="20"/>
  <c r="AV131" i="20"/>
  <c r="AV132" i="20"/>
  <c r="AV133" i="20"/>
  <c r="AV134" i="20"/>
  <c r="AV135" i="20"/>
  <c r="AV136" i="20"/>
  <c r="AV137" i="20"/>
  <c r="AV138" i="20"/>
  <c r="AV139" i="20"/>
  <c r="AV140" i="20"/>
  <c r="AV141" i="20"/>
  <c r="AV142" i="20"/>
  <c r="AV143" i="20"/>
  <c r="AV144" i="20"/>
  <c r="AV145" i="20"/>
  <c r="AV146" i="20"/>
  <c r="AV147" i="20"/>
  <c r="AV148" i="20"/>
  <c r="AV149" i="20"/>
  <c r="AV150" i="20"/>
  <c r="AV151" i="20"/>
  <c r="AV152" i="20"/>
  <c r="AV153" i="20"/>
  <c r="AV154" i="20"/>
  <c r="AV155" i="20"/>
  <c r="AV156" i="20"/>
  <c r="AV157" i="20"/>
  <c r="AV158" i="20"/>
  <c r="AV159" i="20"/>
  <c r="AV160" i="20"/>
  <c r="AV161" i="20"/>
  <c r="AV162" i="20"/>
  <c r="AV163" i="20"/>
  <c r="AV164" i="20"/>
  <c r="AV165" i="20"/>
  <c r="AV166" i="20"/>
  <c r="AV167" i="20"/>
  <c r="AV168" i="20"/>
  <c r="AV169" i="20"/>
  <c r="AV170" i="20"/>
  <c r="AV171" i="20"/>
  <c r="AV172" i="20"/>
  <c r="AV173" i="20"/>
  <c r="AV174" i="20"/>
  <c r="AV175" i="20"/>
  <c r="AV176" i="20"/>
  <c r="AV177" i="20"/>
  <c r="AV178" i="20"/>
  <c r="AV179" i="20"/>
  <c r="AV180" i="20"/>
  <c r="AV181" i="20"/>
  <c r="AV182" i="20"/>
  <c r="AV183" i="20"/>
  <c r="AV184" i="20"/>
  <c r="AV185" i="20"/>
  <c r="AV186" i="20"/>
  <c r="AV187" i="20"/>
  <c r="AV188" i="20"/>
  <c r="AV189" i="20"/>
  <c r="AV190" i="20"/>
  <c r="AV191" i="20"/>
  <c r="AV192" i="20"/>
  <c r="AV193" i="20"/>
  <c r="AV194" i="20"/>
  <c r="AV195" i="20"/>
  <c r="AV196" i="20"/>
  <c r="AV197" i="20"/>
  <c r="AV198" i="20"/>
  <c r="AV199" i="20"/>
  <c r="AV200" i="20"/>
  <c r="AV201" i="20"/>
  <c r="AV202" i="20"/>
  <c r="AV203" i="20"/>
  <c r="AV204" i="20"/>
  <c r="AV205" i="20"/>
  <c r="AV206" i="20"/>
  <c r="AV207" i="20"/>
  <c r="AV208" i="20"/>
  <c r="AV209" i="20"/>
  <c r="AV210" i="20"/>
  <c r="AV211" i="20"/>
  <c r="AV212" i="20"/>
  <c r="AV213" i="20"/>
  <c r="AV214" i="20"/>
  <c r="AV215" i="20"/>
  <c r="AV216" i="20"/>
  <c r="AV217" i="20"/>
  <c r="AV218" i="20"/>
  <c r="AV219" i="20"/>
  <c r="AV220" i="20"/>
  <c r="AV221" i="20"/>
  <c r="AV222" i="20"/>
  <c r="AV223" i="20"/>
  <c r="AV224" i="20"/>
  <c r="AV225" i="20"/>
  <c r="AV226" i="20"/>
  <c r="AV227" i="20"/>
  <c r="AV228" i="20"/>
  <c r="AV229" i="20"/>
  <c r="AV230" i="20"/>
  <c r="AV231" i="20"/>
  <c r="AV232" i="20"/>
  <c r="AV233" i="20"/>
  <c r="AV234" i="20"/>
  <c r="AV235" i="20"/>
  <c r="AV236" i="20"/>
  <c r="AV237" i="20"/>
  <c r="AV238" i="20"/>
  <c r="AV239" i="20"/>
  <c r="AV240" i="20"/>
  <c r="AV241" i="20"/>
  <c r="AV242" i="20"/>
  <c r="AV243" i="20"/>
  <c r="AV244" i="20"/>
  <c r="AV245" i="20"/>
  <c r="AV246" i="20"/>
  <c r="AV247" i="20"/>
  <c r="AV248" i="20"/>
  <c r="AV249" i="20"/>
  <c r="AV250" i="20"/>
  <c r="AV251" i="20"/>
  <c r="AV252" i="20"/>
  <c r="AV253" i="20"/>
  <c r="AV254" i="20"/>
  <c r="AV255" i="20"/>
  <c r="AV256" i="20"/>
  <c r="AV257" i="20"/>
  <c r="AV258" i="20"/>
  <c r="AV259" i="20"/>
  <c r="AV260" i="20"/>
  <c r="AV261" i="20"/>
  <c r="AV262" i="20"/>
  <c r="AV263" i="20"/>
  <c r="AV264" i="20"/>
  <c r="AV265" i="20"/>
  <c r="AV266" i="20"/>
  <c r="AV267" i="20"/>
  <c r="AV268" i="20"/>
  <c r="AV269" i="20"/>
  <c r="AV270" i="20"/>
  <c r="AV271" i="20"/>
  <c r="AV272" i="20"/>
  <c r="AV273" i="20"/>
  <c r="AV274" i="20"/>
  <c r="AV275" i="20"/>
  <c r="AV276" i="20"/>
  <c r="AV277" i="20"/>
  <c r="AV278" i="20"/>
  <c r="AV279" i="20"/>
  <c r="AV280" i="20"/>
  <c r="AV281" i="20"/>
  <c r="AV282" i="20"/>
  <c r="AU5" i="20"/>
  <c r="AU6" i="20"/>
  <c r="AU7" i="20"/>
  <c r="AU8" i="20"/>
  <c r="AU9" i="20"/>
  <c r="AU10" i="20"/>
  <c r="AU11" i="20"/>
  <c r="AU12" i="20"/>
  <c r="AU13" i="20"/>
  <c r="AU14" i="20"/>
  <c r="AU15" i="20"/>
  <c r="AU16" i="20"/>
  <c r="AU17" i="20"/>
  <c r="AU18" i="20"/>
  <c r="AU19" i="20"/>
  <c r="AU20" i="20"/>
  <c r="AU21" i="20"/>
  <c r="AU22" i="20"/>
  <c r="AU23" i="20"/>
  <c r="AU24" i="20"/>
  <c r="AU25" i="20"/>
  <c r="AU26" i="20"/>
  <c r="AU27" i="20"/>
  <c r="AU28" i="20"/>
  <c r="AU29" i="20"/>
  <c r="AU30" i="20"/>
  <c r="AU31" i="20"/>
  <c r="AU32" i="20"/>
  <c r="AU33" i="20"/>
  <c r="AU34" i="20"/>
  <c r="AU35" i="20"/>
  <c r="AU36" i="20"/>
  <c r="AU37" i="20"/>
  <c r="AU38" i="20"/>
  <c r="AU39" i="20"/>
  <c r="AU40" i="20"/>
  <c r="AU41" i="20"/>
  <c r="AU42" i="20"/>
  <c r="AU43" i="20"/>
  <c r="AU44" i="20"/>
  <c r="AU45" i="20"/>
  <c r="AU46" i="20"/>
  <c r="AU47" i="20"/>
  <c r="AU48" i="20"/>
  <c r="AU49" i="20"/>
  <c r="AU50" i="20"/>
  <c r="AU51" i="20"/>
  <c r="AU52" i="20"/>
  <c r="AU53" i="20"/>
  <c r="AU54" i="20"/>
  <c r="AU55" i="20"/>
  <c r="AU56" i="20"/>
  <c r="AU57" i="20"/>
  <c r="AU58" i="20"/>
  <c r="AU59" i="20"/>
  <c r="AU60" i="20"/>
  <c r="AU61" i="20"/>
  <c r="AU62" i="20"/>
  <c r="AU63" i="20"/>
  <c r="AU64" i="20"/>
  <c r="AU65" i="20"/>
  <c r="AU66" i="20"/>
  <c r="AU67" i="20"/>
  <c r="AU68" i="20"/>
  <c r="AU69" i="20"/>
  <c r="AU70" i="20"/>
  <c r="AU71" i="20"/>
  <c r="AU72" i="20"/>
  <c r="AU73" i="20"/>
  <c r="AU74" i="20"/>
  <c r="AU75" i="20"/>
  <c r="AU76" i="20"/>
  <c r="AU77" i="20"/>
  <c r="AU78" i="20"/>
  <c r="AU79" i="20"/>
  <c r="AU80" i="20"/>
  <c r="AU81" i="20"/>
  <c r="AU82" i="20"/>
  <c r="AU83" i="20"/>
  <c r="AU84" i="20"/>
  <c r="AU85" i="20"/>
  <c r="AU86" i="20"/>
  <c r="AU87" i="20"/>
  <c r="AU88" i="20"/>
  <c r="AU89" i="20"/>
  <c r="AU90" i="20"/>
  <c r="AU91" i="20"/>
  <c r="AU92" i="20"/>
  <c r="AU93" i="20"/>
  <c r="AU94" i="20"/>
  <c r="AU95" i="20"/>
  <c r="AU96" i="20"/>
  <c r="AU97" i="20"/>
  <c r="AU98" i="20"/>
  <c r="AU99" i="20"/>
  <c r="AU100" i="20"/>
  <c r="AU101" i="20"/>
  <c r="AU102" i="20"/>
  <c r="AU103" i="20"/>
  <c r="AU104" i="20"/>
  <c r="AU105" i="20"/>
  <c r="AU106" i="20"/>
  <c r="AU107" i="20"/>
  <c r="AU108" i="20"/>
  <c r="AU109" i="20"/>
  <c r="AU110" i="20"/>
  <c r="AU111" i="20"/>
  <c r="AU112" i="20"/>
  <c r="AU113" i="20"/>
  <c r="AU114" i="20"/>
  <c r="AU115" i="20"/>
  <c r="AU116" i="20"/>
  <c r="AU117" i="20"/>
  <c r="AU118" i="20"/>
  <c r="AU119" i="20"/>
  <c r="AU120" i="20"/>
  <c r="AU121" i="20"/>
  <c r="AU122" i="20"/>
  <c r="AU123" i="20"/>
  <c r="AU124" i="20"/>
  <c r="AU125" i="20"/>
  <c r="AU126" i="20"/>
  <c r="AU127" i="20"/>
  <c r="AU128" i="20"/>
  <c r="AU129" i="20"/>
  <c r="AU130" i="20"/>
  <c r="AU131" i="20"/>
  <c r="AU132" i="20"/>
  <c r="AU133" i="20"/>
  <c r="AU134" i="20"/>
  <c r="AU135" i="20"/>
  <c r="AU136" i="20"/>
  <c r="AU137" i="20"/>
  <c r="AU138" i="20"/>
  <c r="AU139" i="20"/>
  <c r="AU140" i="20"/>
  <c r="AU141" i="20"/>
  <c r="AU142" i="20"/>
  <c r="AU143" i="20"/>
  <c r="AU144" i="20"/>
  <c r="AU145" i="20"/>
  <c r="AU146" i="20"/>
  <c r="AU147" i="20"/>
  <c r="AU148" i="20"/>
  <c r="AU149" i="20"/>
  <c r="AU150" i="20"/>
  <c r="AU151" i="20"/>
  <c r="AU152" i="20"/>
  <c r="AU153" i="20"/>
  <c r="AU154" i="20"/>
  <c r="AU155" i="20"/>
  <c r="AU156" i="20"/>
  <c r="AU157" i="20"/>
  <c r="AU158" i="20"/>
  <c r="AU159" i="20"/>
  <c r="AU160" i="20"/>
  <c r="AU161" i="20"/>
  <c r="AU162" i="20"/>
  <c r="AU163" i="20"/>
  <c r="AU164" i="20"/>
  <c r="AU165" i="20"/>
  <c r="AU166" i="20"/>
  <c r="AU167" i="20"/>
  <c r="AU168" i="20"/>
  <c r="AU169" i="20"/>
  <c r="AU170" i="20"/>
  <c r="AU171" i="20"/>
  <c r="AU172" i="20"/>
  <c r="AU173" i="20"/>
  <c r="AU174" i="20"/>
  <c r="AU175" i="20"/>
  <c r="AU176" i="20"/>
  <c r="AU177" i="20"/>
  <c r="AU178" i="20"/>
  <c r="AU179" i="20"/>
  <c r="AU180" i="20"/>
  <c r="AU181" i="20"/>
  <c r="AU182" i="20"/>
  <c r="AU183" i="20"/>
  <c r="AU184" i="20"/>
  <c r="AU185" i="20"/>
  <c r="AU186" i="20"/>
  <c r="AU187" i="20"/>
  <c r="AU188" i="20"/>
  <c r="AU189" i="20"/>
  <c r="AU190" i="20"/>
  <c r="AU191" i="20"/>
  <c r="AU192" i="20"/>
  <c r="AU193" i="20"/>
  <c r="AU194" i="20"/>
  <c r="AU195" i="20"/>
  <c r="AU196" i="20"/>
  <c r="AU197" i="20"/>
  <c r="AU198" i="20"/>
  <c r="AU199" i="20"/>
  <c r="AU200" i="20"/>
  <c r="AU201" i="20"/>
  <c r="AU202" i="20"/>
  <c r="AU203" i="20"/>
  <c r="AU204" i="20"/>
  <c r="AU205" i="20"/>
  <c r="AU206" i="20"/>
  <c r="AU207" i="20"/>
  <c r="AU208" i="20"/>
  <c r="AU209" i="20"/>
  <c r="AU210" i="20"/>
  <c r="AU211" i="20"/>
  <c r="AU212" i="20"/>
  <c r="AU213" i="20"/>
  <c r="AU214" i="20"/>
  <c r="AU215" i="20"/>
  <c r="AU216" i="20"/>
  <c r="AU217" i="20"/>
  <c r="AU218" i="20"/>
  <c r="AU219" i="20"/>
  <c r="AU220" i="20"/>
  <c r="AU221" i="20"/>
  <c r="AU222" i="20"/>
  <c r="AU223" i="20"/>
  <c r="AU224" i="20"/>
  <c r="AU225" i="20"/>
  <c r="AU226" i="20"/>
  <c r="AU227" i="20"/>
  <c r="AU228" i="20"/>
  <c r="AU229" i="20"/>
  <c r="AU230" i="20"/>
  <c r="AU231" i="20"/>
  <c r="AU232" i="20"/>
  <c r="AU233" i="20"/>
  <c r="AU234" i="20"/>
  <c r="AU235" i="20"/>
  <c r="AU236" i="20"/>
  <c r="AU237" i="20"/>
  <c r="AU238" i="20"/>
  <c r="AU239" i="20"/>
  <c r="AU240" i="20"/>
  <c r="AU241" i="20"/>
  <c r="AU242" i="20"/>
  <c r="AU243" i="20"/>
  <c r="AU244" i="20"/>
  <c r="AU245" i="20"/>
  <c r="AU246" i="20"/>
  <c r="AU247" i="20"/>
  <c r="AU248" i="20"/>
  <c r="AU249" i="20"/>
  <c r="AU250" i="20"/>
  <c r="AU251" i="20"/>
  <c r="AU252" i="20"/>
  <c r="AU253" i="20"/>
  <c r="AU254" i="20"/>
  <c r="AU255" i="20"/>
  <c r="AU256" i="20"/>
  <c r="AU257" i="20"/>
  <c r="AU258" i="20"/>
  <c r="AU259" i="20"/>
  <c r="AU260" i="20"/>
  <c r="AU261" i="20"/>
  <c r="AU262" i="20"/>
  <c r="AU263" i="20"/>
  <c r="AU264" i="20"/>
  <c r="AU265" i="20"/>
  <c r="AU266" i="20"/>
  <c r="AU267" i="20"/>
  <c r="AU268" i="20"/>
  <c r="AU269" i="20"/>
  <c r="AU270" i="20"/>
  <c r="AU271" i="20"/>
  <c r="AU272" i="20"/>
  <c r="AU273" i="20"/>
  <c r="AU274" i="20"/>
  <c r="AU275" i="20"/>
  <c r="AU276" i="20"/>
  <c r="AU277" i="20"/>
  <c r="AU278" i="20"/>
  <c r="AU279" i="20"/>
  <c r="AU280" i="20"/>
  <c r="AU281" i="20"/>
  <c r="AU282" i="20"/>
  <c r="R2" i="27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T34" i="27" s="1"/>
  <c r="R35" i="27"/>
  <c r="R36" i="27"/>
  <c r="R37" i="27"/>
  <c r="R38" i="27"/>
  <c r="R39" i="27"/>
  <c r="R40" i="27"/>
  <c r="R41" i="27"/>
  <c r="T41" i="27" s="1"/>
  <c r="R42" i="27"/>
  <c r="R43" i="27"/>
  <c r="R44" i="27"/>
  <c r="R45" i="27"/>
  <c r="T45" i="27" s="1"/>
  <c r="U45" i="27" s="1"/>
  <c r="R46" i="27"/>
  <c r="R47" i="27"/>
  <c r="R48" i="27"/>
  <c r="R49" i="27"/>
  <c r="R50" i="27"/>
  <c r="R51" i="27"/>
  <c r="R52" i="27"/>
  <c r="R53" i="27"/>
  <c r="R54" i="27"/>
  <c r="R55" i="27"/>
  <c r="R56" i="27"/>
  <c r="R57" i="27"/>
  <c r="R58" i="27"/>
  <c r="R59" i="27"/>
  <c r="R60" i="27"/>
  <c r="R61" i="27"/>
  <c r="R62" i="27"/>
  <c r="R63" i="27"/>
  <c r="R64" i="27"/>
  <c r="R65" i="27"/>
  <c r="R66" i="27"/>
  <c r="R67" i="27"/>
  <c r="R68" i="27"/>
  <c r="R69" i="27"/>
  <c r="R70" i="27"/>
  <c r="R71" i="27"/>
  <c r="R72" i="27"/>
  <c r="R73" i="27"/>
  <c r="R74" i="27"/>
  <c r="R75" i="27"/>
  <c r="R76" i="27"/>
  <c r="R77" i="27"/>
  <c r="R78" i="27"/>
  <c r="R79" i="27"/>
  <c r="R80" i="27"/>
  <c r="R81" i="27"/>
  <c r="R82" i="27"/>
  <c r="R83" i="27"/>
  <c r="R84" i="27"/>
  <c r="R85" i="27"/>
  <c r="R86" i="27"/>
  <c r="R87" i="27"/>
  <c r="R88" i="27"/>
  <c r="R89" i="27"/>
  <c r="R90" i="27"/>
  <c r="R91" i="27"/>
  <c r="R92" i="27"/>
  <c r="R93" i="27"/>
  <c r="R94" i="27"/>
  <c r="R95" i="27"/>
  <c r="R96" i="27"/>
  <c r="R97" i="27"/>
  <c r="R98" i="27"/>
  <c r="R99" i="27"/>
  <c r="R100" i="27"/>
  <c r="R101" i="27"/>
  <c r="R102" i="27"/>
  <c r="R103" i="27"/>
  <c r="R104" i="27"/>
  <c r="R105" i="27"/>
  <c r="R106" i="27"/>
  <c r="R107" i="27"/>
  <c r="R108" i="27"/>
  <c r="R109" i="27"/>
  <c r="R110" i="27"/>
  <c r="R111" i="27"/>
  <c r="R112" i="27"/>
  <c r="R113" i="27"/>
  <c r="R114" i="27"/>
  <c r="R115" i="27"/>
  <c r="R116" i="27"/>
  <c r="R117" i="27"/>
  <c r="R118" i="27"/>
  <c r="R119" i="27"/>
  <c r="R120" i="27"/>
  <c r="R121" i="27"/>
  <c r="R122" i="27"/>
  <c r="R123" i="27"/>
  <c r="R124" i="27"/>
  <c r="R125" i="27"/>
  <c r="R126" i="27"/>
  <c r="R127" i="27"/>
  <c r="R128" i="27"/>
  <c r="R129" i="27"/>
  <c r="R130" i="27"/>
  <c r="R131" i="27"/>
  <c r="R132" i="27"/>
  <c r="R133" i="27"/>
  <c r="R134" i="27"/>
  <c r="R135" i="27"/>
  <c r="R136" i="27"/>
  <c r="R137" i="27"/>
  <c r="R138" i="27"/>
  <c r="R139" i="27"/>
  <c r="R140" i="27"/>
  <c r="R141" i="27"/>
  <c r="R142" i="27"/>
  <c r="R143" i="27"/>
  <c r="R144" i="27"/>
  <c r="R145" i="27"/>
  <c r="R146" i="27"/>
  <c r="R147" i="27"/>
  <c r="R148" i="27"/>
  <c r="R149" i="27"/>
  <c r="R150" i="27"/>
  <c r="R151" i="27"/>
  <c r="R152" i="27"/>
  <c r="R153" i="27"/>
  <c r="R154" i="27"/>
  <c r="R155" i="27"/>
  <c r="R156" i="27"/>
  <c r="R157" i="27"/>
  <c r="R158" i="27"/>
  <c r="R159" i="27"/>
  <c r="R160" i="27"/>
  <c r="R161" i="27"/>
  <c r="R162" i="27"/>
  <c r="R163" i="27"/>
  <c r="R164" i="27"/>
  <c r="R165" i="27"/>
  <c r="R166" i="27"/>
  <c r="R167" i="27"/>
  <c r="R168" i="27"/>
  <c r="R169" i="27"/>
  <c r="R170" i="27"/>
  <c r="R171" i="27"/>
  <c r="R172" i="27"/>
  <c r="R173" i="27"/>
  <c r="R174" i="27"/>
  <c r="R175" i="27"/>
  <c r="R176" i="27"/>
  <c r="R177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G29" i="27"/>
  <c r="G30" i="27"/>
  <c r="G31" i="27"/>
  <c r="G32" i="27"/>
  <c r="H32" i="27" s="1"/>
  <c r="G33" i="27"/>
  <c r="H33" i="27" s="1"/>
  <c r="G34" i="27"/>
  <c r="H34" i="27" s="1"/>
  <c r="G35" i="27"/>
  <c r="H35" i="27" s="1"/>
  <c r="G36" i="27"/>
  <c r="H36" i="27" s="1"/>
  <c r="G37" i="27"/>
  <c r="H37" i="27" s="1"/>
  <c r="G38" i="27"/>
  <c r="H38" i="27" s="1"/>
  <c r="G39" i="27"/>
  <c r="H39" i="27" s="1"/>
  <c r="G40" i="27"/>
  <c r="H40" i="27" s="1"/>
  <c r="G41" i="27"/>
  <c r="G42" i="27"/>
  <c r="G43" i="27"/>
  <c r="G44" i="27"/>
  <c r="G45" i="27"/>
  <c r="H45" i="27" s="1"/>
  <c r="G46" i="27"/>
  <c r="C30" i="27"/>
  <c r="C31" i="27"/>
  <c r="C32" i="27"/>
  <c r="C33" i="27"/>
  <c r="C34" i="27"/>
  <c r="C35" i="27"/>
  <c r="C36" i="27"/>
  <c r="D30" i="27"/>
  <c r="D31" i="27"/>
  <c r="D32" i="27"/>
  <c r="D33" i="27"/>
  <c r="D34" i="27"/>
  <c r="D35" i="27"/>
  <c r="D36" i="27"/>
  <c r="H30" i="27"/>
  <c r="H31" i="27"/>
  <c r="T31" i="27"/>
  <c r="T32" i="27"/>
  <c r="T33" i="27"/>
  <c r="S30" i="27"/>
  <c r="S31" i="27"/>
  <c r="S32" i="27"/>
  <c r="S33" i="27"/>
  <c r="S34" i="27"/>
  <c r="S35" i="27"/>
  <c r="S36" i="27"/>
  <c r="T30" i="27"/>
  <c r="AD30" i="27"/>
  <c r="AD31" i="27"/>
  <c r="AD32" i="27"/>
  <c r="AD33" i="27"/>
  <c r="AD34" i="27"/>
  <c r="AD35" i="27"/>
  <c r="AD36" i="27"/>
  <c r="AE30" i="27"/>
  <c r="AE31" i="27"/>
  <c r="AE32" i="27"/>
  <c r="AE33" i="27"/>
  <c r="AE34" i="27"/>
  <c r="AE35" i="27"/>
  <c r="AE36" i="27"/>
  <c r="AF30" i="27"/>
  <c r="AF31" i="27"/>
  <c r="AF32" i="27"/>
  <c r="AF33" i="27"/>
  <c r="AF34" i="27"/>
  <c r="AF35" i="27"/>
  <c r="AF36" i="27"/>
  <c r="AG30" i="27"/>
  <c r="AG31" i="27"/>
  <c r="AG32" i="27"/>
  <c r="AG33" i="27"/>
  <c r="AG34" i="27"/>
  <c r="AG35" i="27"/>
  <c r="AG36" i="27"/>
  <c r="C29" i="27"/>
  <c r="C37" i="27"/>
  <c r="C38" i="27"/>
  <c r="C39" i="27"/>
  <c r="C40" i="27"/>
  <c r="C41" i="27"/>
  <c r="C42" i="27"/>
  <c r="C43" i="27"/>
  <c r="C44" i="27"/>
  <c r="D29" i="27"/>
  <c r="D37" i="27"/>
  <c r="D38" i="27"/>
  <c r="D39" i="27"/>
  <c r="D40" i="27"/>
  <c r="D41" i="27"/>
  <c r="D42" i="27"/>
  <c r="D43" i="27"/>
  <c r="D44" i="27"/>
  <c r="H29" i="27"/>
  <c r="H41" i="27"/>
  <c r="H42" i="27"/>
  <c r="H43" i="27"/>
  <c r="H44" i="27"/>
  <c r="T40" i="27"/>
  <c r="S29" i="27"/>
  <c r="S37" i="27"/>
  <c r="S38" i="27"/>
  <c r="S39" i="27"/>
  <c r="T39" i="27" s="1"/>
  <c r="S40" i="27"/>
  <c r="S41" i="27"/>
  <c r="S42" i="27"/>
  <c r="T42" i="27" s="1"/>
  <c r="S43" i="27"/>
  <c r="T43" i="27" s="1"/>
  <c r="S44" i="27"/>
  <c r="T44" i="27" s="1"/>
  <c r="AD29" i="27"/>
  <c r="AD37" i="27"/>
  <c r="AD38" i="27"/>
  <c r="AD39" i="27"/>
  <c r="AD40" i="27"/>
  <c r="AD41" i="27"/>
  <c r="AD42" i="27"/>
  <c r="AD43" i="27"/>
  <c r="AD44" i="27"/>
  <c r="AE29" i="27"/>
  <c r="AE37" i="27"/>
  <c r="AE38" i="27"/>
  <c r="AE39" i="27"/>
  <c r="AE40" i="27"/>
  <c r="AE41" i="27"/>
  <c r="AE42" i="27"/>
  <c r="AE43" i="27"/>
  <c r="AE44" i="27"/>
  <c r="AF29" i="27"/>
  <c r="AF37" i="27"/>
  <c r="AF38" i="27"/>
  <c r="AF39" i="27"/>
  <c r="AF40" i="27"/>
  <c r="AF41" i="27"/>
  <c r="AF42" i="27"/>
  <c r="AF43" i="27"/>
  <c r="AF44" i="27"/>
  <c r="AG29" i="27"/>
  <c r="AG37" i="27"/>
  <c r="AG38" i="27"/>
  <c r="AG39" i="27"/>
  <c r="AG40" i="27"/>
  <c r="AG41" i="27"/>
  <c r="AG42" i="27"/>
  <c r="AG43" i="27"/>
  <c r="AG44" i="27"/>
  <c r="C45" i="27"/>
  <c r="D45" i="27"/>
  <c r="S45" i="27"/>
  <c r="AD45" i="27"/>
  <c r="AE45" i="27"/>
  <c r="AF45" i="27"/>
  <c r="AG45" i="27"/>
  <c r="Q3" i="42"/>
  <c r="Q4" i="42"/>
  <c r="Q5" i="42"/>
  <c r="Q6" i="42"/>
  <c r="O6" i="42"/>
  <c r="J6" i="42"/>
  <c r="K6" i="42" s="1"/>
  <c r="B6" i="42"/>
  <c r="O5" i="42"/>
  <c r="J5" i="42"/>
  <c r="K5" i="42" s="1"/>
  <c r="B5" i="42"/>
  <c r="O4" i="42"/>
  <c r="J4" i="42"/>
  <c r="K4" i="42" s="1"/>
  <c r="B4" i="42"/>
  <c r="O3" i="42"/>
  <c r="J3" i="42"/>
  <c r="K3" i="42" s="1"/>
  <c r="B3" i="42"/>
  <c r="O2" i="42"/>
  <c r="J2" i="42"/>
  <c r="K2" i="42" s="1"/>
  <c r="B2" i="42"/>
  <c r="BN19" i="20" l="1"/>
  <c r="BK18" i="20"/>
  <c r="BK15" i="20"/>
  <c r="AW277" i="20"/>
  <c r="BL277" i="20" s="1"/>
  <c r="AW265" i="20"/>
  <c r="BL265" i="20" s="1"/>
  <c r="AW253" i="20"/>
  <c r="BL253" i="20" s="1"/>
  <c r="AW241" i="20"/>
  <c r="BL241" i="20" s="1"/>
  <c r="AW229" i="20"/>
  <c r="BL229" i="20" s="1"/>
  <c r="AW217" i="20"/>
  <c r="BL217" i="20" s="1"/>
  <c r="AW205" i="20"/>
  <c r="BL205" i="20" s="1"/>
  <c r="AW193" i="20"/>
  <c r="BL193" i="20" s="1"/>
  <c r="AW181" i="20"/>
  <c r="BL181" i="20" s="1"/>
  <c r="AW169" i="20"/>
  <c r="BL169" i="20" s="1"/>
  <c r="AW157" i="20"/>
  <c r="BL157" i="20" s="1"/>
  <c r="AW145" i="20"/>
  <c r="BL145" i="20" s="1"/>
  <c r="AW121" i="20"/>
  <c r="BL121" i="20" s="1"/>
  <c r="AW109" i="20"/>
  <c r="BL109" i="20" s="1"/>
  <c r="AW97" i="20"/>
  <c r="BL97" i="20" s="1"/>
  <c r="AW85" i="20"/>
  <c r="BL85" i="20" s="1"/>
  <c r="AW73" i="20"/>
  <c r="BL73" i="20" s="1"/>
  <c r="AW49" i="20"/>
  <c r="BL49" i="20" s="1"/>
  <c r="AW37" i="20"/>
  <c r="BL37" i="20" s="1"/>
  <c r="AW25" i="20"/>
  <c r="BL25" i="20" s="1"/>
  <c r="AW281" i="20"/>
  <c r="BL281" i="20" s="1"/>
  <c r="AW269" i="20"/>
  <c r="BL269" i="20" s="1"/>
  <c r="AW257" i="20"/>
  <c r="BL257" i="20" s="1"/>
  <c r="AW245" i="20"/>
  <c r="BL245" i="20" s="1"/>
  <c r="AW233" i="20"/>
  <c r="BL233" i="20" s="1"/>
  <c r="AW221" i="20"/>
  <c r="BL221" i="20" s="1"/>
  <c r="AW209" i="20"/>
  <c r="BL209" i="20" s="1"/>
  <c r="AW197" i="20"/>
  <c r="BL197" i="20" s="1"/>
  <c r="AW185" i="20"/>
  <c r="BL185" i="20" s="1"/>
  <c r="AW173" i="20"/>
  <c r="BL173" i="20" s="1"/>
  <c r="AW161" i="20"/>
  <c r="BL161" i="20" s="1"/>
  <c r="AW149" i="20"/>
  <c r="BL149" i="20" s="1"/>
  <c r="AW137" i="20"/>
  <c r="BL137" i="20" s="1"/>
  <c r="AW125" i="20"/>
  <c r="BL125" i="20" s="1"/>
  <c r="AW113" i="20"/>
  <c r="BL113" i="20" s="1"/>
  <c r="AW101" i="20"/>
  <c r="BL101" i="20" s="1"/>
  <c r="AW89" i="20"/>
  <c r="BL89" i="20" s="1"/>
  <c r="AW77" i="20"/>
  <c r="BL77" i="20" s="1"/>
  <c r="AW65" i="20"/>
  <c r="BL65" i="20" s="1"/>
  <c r="AW53" i="20"/>
  <c r="BL53" i="20" s="1"/>
  <c r="AW41" i="20"/>
  <c r="BL41" i="20" s="1"/>
  <c r="AW6" i="20"/>
  <c r="BL6" i="20" s="1"/>
  <c r="AW144" i="20"/>
  <c r="BL144" i="20" s="1"/>
  <c r="AW132" i="20"/>
  <c r="BL132" i="20" s="1"/>
  <c r="AW120" i="20"/>
  <c r="BL120" i="20" s="1"/>
  <c r="AW108" i="20"/>
  <c r="BL108" i="20" s="1"/>
  <c r="AW96" i="20"/>
  <c r="BL96" i="20" s="1"/>
  <c r="AW84" i="20"/>
  <c r="BL84" i="20" s="1"/>
  <c r="AW72" i="20"/>
  <c r="BL72" i="20" s="1"/>
  <c r="AW60" i="20"/>
  <c r="BL60" i="20" s="1"/>
  <c r="AW48" i="20"/>
  <c r="BL48" i="20" s="1"/>
  <c r="AW36" i="20"/>
  <c r="BL36" i="20" s="1"/>
  <c r="AW24" i="20"/>
  <c r="BL24" i="20" s="1"/>
  <c r="AW12" i="20"/>
  <c r="BL12" i="20" s="1"/>
  <c r="AW29" i="20"/>
  <c r="BL29" i="20" s="1"/>
  <c r="AW17" i="20"/>
  <c r="AW5" i="20"/>
  <c r="BL5" i="20" s="1"/>
  <c r="AW263" i="20"/>
  <c r="BL263" i="20" s="1"/>
  <c r="AW251" i="20"/>
  <c r="BL251" i="20" s="1"/>
  <c r="AW239" i="20"/>
  <c r="BL239" i="20" s="1"/>
  <c r="AW215" i="20"/>
  <c r="BL215" i="20" s="1"/>
  <c r="AW203" i="20"/>
  <c r="BL203" i="20" s="1"/>
  <c r="AW191" i="20"/>
  <c r="BL191" i="20" s="1"/>
  <c r="AW179" i="20"/>
  <c r="BL179" i="20" s="1"/>
  <c r="AW167" i="20"/>
  <c r="BL167" i="20" s="1"/>
  <c r="AW155" i="20"/>
  <c r="BL155" i="20" s="1"/>
  <c r="AW143" i="20"/>
  <c r="BL143" i="20" s="1"/>
  <c r="AW131" i="20"/>
  <c r="BL131" i="20" s="1"/>
  <c r="AW119" i="20"/>
  <c r="BL119" i="20" s="1"/>
  <c r="AW107" i="20"/>
  <c r="BL107" i="20" s="1"/>
  <c r="AW95" i="20"/>
  <c r="BL95" i="20" s="1"/>
  <c r="AW83" i="20"/>
  <c r="BL83" i="20" s="1"/>
  <c r="AW71" i="20"/>
  <c r="BL71" i="20" s="1"/>
  <c r="AW59" i="20"/>
  <c r="BL59" i="20" s="1"/>
  <c r="AW47" i="20"/>
  <c r="BL47" i="20" s="1"/>
  <c r="AW35" i="20"/>
  <c r="BL35" i="20" s="1"/>
  <c r="AW23" i="20"/>
  <c r="BL23" i="20" s="1"/>
  <c r="AW11" i="20"/>
  <c r="BL11" i="20" s="1"/>
  <c r="AW275" i="20"/>
  <c r="BL275" i="20" s="1"/>
  <c r="AW227" i="20"/>
  <c r="BL227" i="20" s="1"/>
  <c r="AW260" i="20"/>
  <c r="BL260" i="20" s="1"/>
  <c r="AW236" i="20"/>
  <c r="BL236" i="20" s="1"/>
  <c r="AW224" i="20"/>
  <c r="BL224" i="20" s="1"/>
  <c r="AW212" i="20"/>
  <c r="BL212" i="20" s="1"/>
  <c r="AW188" i="20"/>
  <c r="BL188" i="20" s="1"/>
  <c r="AW176" i="20"/>
  <c r="BL176" i="20" s="1"/>
  <c r="AW164" i="20"/>
  <c r="BL164" i="20" s="1"/>
  <c r="AW152" i="20"/>
  <c r="BL152" i="20" s="1"/>
  <c r="AW140" i="20"/>
  <c r="BL140" i="20" s="1"/>
  <c r="AW116" i="20"/>
  <c r="BL116" i="20" s="1"/>
  <c r="AW104" i="20"/>
  <c r="BL104" i="20" s="1"/>
  <c r="AW92" i="20"/>
  <c r="BL92" i="20" s="1"/>
  <c r="AW80" i="20"/>
  <c r="BL80" i="20" s="1"/>
  <c r="AW68" i="20"/>
  <c r="BL68" i="20" s="1"/>
  <c r="AW44" i="20"/>
  <c r="BL44" i="20" s="1"/>
  <c r="AW32" i="20"/>
  <c r="BL32" i="20" s="1"/>
  <c r="AW20" i="20"/>
  <c r="BL20" i="20" s="1"/>
  <c r="AW278" i="20"/>
  <c r="BL278" i="20" s="1"/>
  <c r="AW266" i="20"/>
  <c r="BL266" i="20" s="1"/>
  <c r="AW254" i="20"/>
  <c r="BL254" i="20" s="1"/>
  <c r="AW242" i="20"/>
  <c r="BL242" i="20" s="1"/>
  <c r="AW230" i="20"/>
  <c r="BL230" i="20" s="1"/>
  <c r="AW218" i="20"/>
  <c r="BL218" i="20" s="1"/>
  <c r="AW206" i="20"/>
  <c r="BL206" i="20" s="1"/>
  <c r="AW194" i="20"/>
  <c r="BL194" i="20" s="1"/>
  <c r="AW182" i="20"/>
  <c r="BL182" i="20" s="1"/>
  <c r="AW170" i="20"/>
  <c r="BL170" i="20" s="1"/>
  <c r="AW158" i="20"/>
  <c r="BL158" i="20" s="1"/>
  <c r="AW146" i="20"/>
  <c r="BL146" i="20" s="1"/>
  <c r="AW134" i="20"/>
  <c r="BL134" i="20" s="1"/>
  <c r="AW122" i="20"/>
  <c r="BL122" i="20" s="1"/>
  <c r="AW110" i="20"/>
  <c r="BL110" i="20" s="1"/>
  <c r="AW98" i="20"/>
  <c r="BL98" i="20" s="1"/>
  <c r="AW86" i="20"/>
  <c r="BL86" i="20" s="1"/>
  <c r="AW74" i="20"/>
  <c r="BL74" i="20" s="1"/>
  <c r="AW62" i="20"/>
  <c r="BL62" i="20" s="1"/>
  <c r="AW50" i="20"/>
  <c r="BL50" i="20" s="1"/>
  <c r="AW38" i="20"/>
  <c r="BL38" i="20" s="1"/>
  <c r="AW26" i="20"/>
  <c r="BL26" i="20" s="1"/>
  <c r="AW14" i="20"/>
  <c r="BL14" i="20" s="1"/>
  <c r="AW61" i="20"/>
  <c r="BL61" i="20" s="1"/>
  <c r="AW133" i="20"/>
  <c r="BL133" i="20" s="1"/>
  <c r="AW274" i="20"/>
  <c r="BL274" i="20" s="1"/>
  <c r="AW262" i="20"/>
  <c r="BL262" i="20" s="1"/>
  <c r="AW250" i="20"/>
  <c r="BL250" i="20" s="1"/>
  <c r="AW238" i="20"/>
  <c r="BL238" i="20" s="1"/>
  <c r="AW226" i="20"/>
  <c r="BL226" i="20" s="1"/>
  <c r="AW214" i="20"/>
  <c r="BL214" i="20" s="1"/>
  <c r="AW202" i="20"/>
  <c r="BL202" i="20" s="1"/>
  <c r="AW190" i="20"/>
  <c r="BL190" i="20" s="1"/>
  <c r="AW178" i="20"/>
  <c r="BL178" i="20" s="1"/>
  <c r="AW166" i="20"/>
  <c r="BL166" i="20" s="1"/>
  <c r="AW154" i="20"/>
  <c r="BL154" i="20" s="1"/>
  <c r="AW142" i="20"/>
  <c r="BL142" i="20" s="1"/>
  <c r="AW130" i="20"/>
  <c r="BL130" i="20" s="1"/>
  <c r="AW118" i="20"/>
  <c r="BL118" i="20" s="1"/>
  <c r="AW106" i="20"/>
  <c r="BL106" i="20" s="1"/>
  <c r="AW94" i="20"/>
  <c r="BL94" i="20" s="1"/>
  <c r="AW82" i="20"/>
  <c r="BL82" i="20" s="1"/>
  <c r="AW70" i="20"/>
  <c r="BL70" i="20" s="1"/>
  <c r="AW58" i="20"/>
  <c r="BL58" i="20" s="1"/>
  <c r="AW46" i="20"/>
  <c r="BL46" i="20" s="1"/>
  <c r="AW34" i="20"/>
  <c r="BL34" i="20" s="1"/>
  <c r="AW22" i="20"/>
  <c r="BL22" i="20" s="1"/>
  <c r="AW10" i="20"/>
  <c r="BL10" i="20" s="1"/>
  <c r="AW273" i="20"/>
  <c r="BL273" i="20" s="1"/>
  <c r="AW261" i="20"/>
  <c r="BL261" i="20" s="1"/>
  <c r="AW249" i="20"/>
  <c r="BL249" i="20" s="1"/>
  <c r="AW237" i="20"/>
  <c r="BL237" i="20" s="1"/>
  <c r="AW225" i="20"/>
  <c r="BL225" i="20" s="1"/>
  <c r="AW213" i="20"/>
  <c r="BL213" i="20" s="1"/>
  <c r="AW201" i="20"/>
  <c r="BL201" i="20" s="1"/>
  <c r="AW189" i="20"/>
  <c r="BL189" i="20" s="1"/>
  <c r="AW177" i="20"/>
  <c r="BL177" i="20" s="1"/>
  <c r="AW165" i="20"/>
  <c r="BL165" i="20" s="1"/>
  <c r="AW153" i="20"/>
  <c r="BL153" i="20" s="1"/>
  <c r="AW141" i="20"/>
  <c r="BL141" i="20" s="1"/>
  <c r="AW129" i="20"/>
  <c r="BL129" i="20" s="1"/>
  <c r="AW117" i="20"/>
  <c r="BL117" i="20" s="1"/>
  <c r="AW105" i="20"/>
  <c r="BL105" i="20" s="1"/>
  <c r="AW93" i="20"/>
  <c r="BL93" i="20" s="1"/>
  <c r="AW81" i="20"/>
  <c r="BL81" i="20" s="1"/>
  <c r="AW69" i="20"/>
  <c r="BL69" i="20" s="1"/>
  <c r="AW57" i="20"/>
  <c r="BL57" i="20" s="1"/>
  <c r="AW45" i="20"/>
  <c r="BL45" i="20" s="1"/>
  <c r="AW33" i="20"/>
  <c r="BL33" i="20" s="1"/>
  <c r="AW21" i="20"/>
  <c r="BL21" i="20" s="1"/>
  <c r="AW9" i="20"/>
  <c r="BL9" i="20" s="1"/>
  <c r="AW271" i="20"/>
  <c r="BL271" i="20" s="1"/>
  <c r="AW259" i="20"/>
  <c r="BL259" i="20" s="1"/>
  <c r="AW247" i="20"/>
  <c r="BL247" i="20" s="1"/>
  <c r="AW235" i="20"/>
  <c r="BL235" i="20" s="1"/>
  <c r="AW223" i="20"/>
  <c r="BL223" i="20" s="1"/>
  <c r="AW211" i="20"/>
  <c r="BL211" i="20" s="1"/>
  <c r="AW199" i="20"/>
  <c r="BL199" i="20" s="1"/>
  <c r="AW187" i="20"/>
  <c r="BL187" i="20" s="1"/>
  <c r="AW175" i="20"/>
  <c r="BL175" i="20" s="1"/>
  <c r="AW163" i="20"/>
  <c r="BL163" i="20" s="1"/>
  <c r="AW151" i="20"/>
  <c r="BL151" i="20" s="1"/>
  <c r="AW139" i="20"/>
  <c r="BL139" i="20" s="1"/>
  <c r="AW127" i="20"/>
  <c r="BL127" i="20" s="1"/>
  <c r="AW115" i="20"/>
  <c r="BL115" i="20" s="1"/>
  <c r="AW103" i="20"/>
  <c r="BL103" i="20" s="1"/>
  <c r="AW91" i="20"/>
  <c r="BL91" i="20" s="1"/>
  <c r="AW79" i="20"/>
  <c r="BL79" i="20" s="1"/>
  <c r="AW67" i="20"/>
  <c r="BL67" i="20" s="1"/>
  <c r="AW55" i="20"/>
  <c r="BL55" i="20" s="1"/>
  <c r="AW43" i="20"/>
  <c r="BL43" i="20" s="1"/>
  <c r="AW31" i="20"/>
  <c r="BL31" i="20" s="1"/>
  <c r="AW19" i="20"/>
  <c r="BL19" i="20" s="1"/>
  <c r="AW7" i="20"/>
  <c r="BL7" i="20" s="1"/>
  <c r="AW272" i="20"/>
  <c r="BL272" i="20" s="1"/>
  <c r="AW248" i="20"/>
  <c r="BL248" i="20" s="1"/>
  <c r="AW200" i="20"/>
  <c r="BL200" i="20" s="1"/>
  <c r="AW128" i="20"/>
  <c r="BL128" i="20" s="1"/>
  <c r="AW56" i="20"/>
  <c r="BL56" i="20" s="1"/>
  <c r="AW280" i="20"/>
  <c r="BL280" i="20" s="1"/>
  <c r="AW268" i="20"/>
  <c r="BL268" i="20" s="1"/>
  <c r="AW256" i="20"/>
  <c r="BL256" i="20" s="1"/>
  <c r="AW244" i="20"/>
  <c r="BL244" i="20" s="1"/>
  <c r="AW232" i="20"/>
  <c r="BL232" i="20" s="1"/>
  <c r="AW220" i="20"/>
  <c r="BL220" i="20" s="1"/>
  <c r="AW208" i="20"/>
  <c r="BL208" i="20" s="1"/>
  <c r="AW196" i="20"/>
  <c r="BL196" i="20" s="1"/>
  <c r="AW184" i="20"/>
  <c r="BL184" i="20" s="1"/>
  <c r="AW172" i="20"/>
  <c r="BL172" i="20" s="1"/>
  <c r="AW160" i="20"/>
  <c r="BL160" i="20" s="1"/>
  <c r="AW148" i="20"/>
  <c r="BL148" i="20" s="1"/>
  <c r="AW136" i="20"/>
  <c r="BL136" i="20" s="1"/>
  <c r="AW124" i="20"/>
  <c r="BL124" i="20" s="1"/>
  <c r="AW112" i="20"/>
  <c r="BL112" i="20" s="1"/>
  <c r="AW100" i="20"/>
  <c r="BL100" i="20" s="1"/>
  <c r="AW88" i="20"/>
  <c r="BL88" i="20" s="1"/>
  <c r="AW76" i="20"/>
  <c r="BL76" i="20" s="1"/>
  <c r="AW64" i="20"/>
  <c r="BL64" i="20" s="1"/>
  <c r="AW52" i="20"/>
  <c r="BL52" i="20" s="1"/>
  <c r="AW40" i="20"/>
  <c r="BL40" i="20" s="1"/>
  <c r="AW28" i="20"/>
  <c r="BL28" i="20" s="1"/>
  <c r="AW16" i="20"/>
  <c r="AW282" i="20"/>
  <c r="BL282" i="20" s="1"/>
  <c r="AW270" i="20"/>
  <c r="BL270" i="20" s="1"/>
  <c r="AW258" i="20"/>
  <c r="BL258" i="20" s="1"/>
  <c r="AW246" i="20"/>
  <c r="BL246" i="20" s="1"/>
  <c r="AW234" i="20"/>
  <c r="BL234" i="20" s="1"/>
  <c r="AW222" i="20"/>
  <c r="BL222" i="20" s="1"/>
  <c r="AW210" i="20"/>
  <c r="BL210" i="20" s="1"/>
  <c r="AW198" i="20"/>
  <c r="BL198" i="20" s="1"/>
  <c r="AW186" i="20"/>
  <c r="BL186" i="20" s="1"/>
  <c r="AW174" i="20"/>
  <c r="BL174" i="20" s="1"/>
  <c r="AW162" i="20"/>
  <c r="BL162" i="20" s="1"/>
  <c r="AW150" i="20"/>
  <c r="BL150" i="20" s="1"/>
  <c r="AW138" i="20"/>
  <c r="BL138" i="20" s="1"/>
  <c r="AW126" i="20"/>
  <c r="BL126" i="20" s="1"/>
  <c r="AW114" i="20"/>
  <c r="BL114" i="20" s="1"/>
  <c r="AW102" i="20"/>
  <c r="BL102" i="20" s="1"/>
  <c r="AW90" i="20"/>
  <c r="BL90" i="20" s="1"/>
  <c r="AW78" i="20"/>
  <c r="BL78" i="20" s="1"/>
  <c r="AW66" i="20"/>
  <c r="BL66" i="20" s="1"/>
  <c r="AW54" i="20"/>
  <c r="BL54" i="20" s="1"/>
  <c r="AW42" i="20"/>
  <c r="BL42" i="20" s="1"/>
  <c r="AW30" i="20"/>
  <c r="BL30" i="20" s="1"/>
  <c r="AW18" i="20"/>
  <c r="BL18" i="20" s="1"/>
  <c r="AW279" i="20"/>
  <c r="BL279" i="20" s="1"/>
  <c r="AW267" i="20"/>
  <c r="BL267" i="20" s="1"/>
  <c r="AW255" i="20"/>
  <c r="BL255" i="20" s="1"/>
  <c r="AW243" i="20"/>
  <c r="BL243" i="20" s="1"/>
  <c r="AW231" i="20"/>
  <c r="BL231" i="20" s="1"/>
  <c r="AW219" i="20"/>
  <c r="BL219" i="20" s="1"/>
  <c r="AW207" i="20"/>
  <c r="BL207" i="20" s="1"/>
  <c r="AW195" i="20"/>
  <c r="BL195" i="20" s="1"/>
  <c r="AW183" i="20"/>
  <c r="BL183" i="20" s="1"/>
  <c r="AW171" i="20"/>
  <c r="BL171" i="20" s="1"/>
  <c r="AW159" i="20"/>
  <c r="BL159" i="20" s="1"/>
  <c r="AW147" i="20"/>
  <c r="BL147" i="20" s="1"/>
  <c r="AW135" i="20"/>
  <c r="BL135" i="20" s="1"/>
  <c r="AW123" i="20"/>
  <c r="BL123" i="20" s="1"/>
  <c r="AW111" i="20"/>
  <c r="BL111" i="20" s="1"/>
  <c r="AW99" i="20"/>
  <c r="BL99" i="20" s="1"/>
  <c r="AW87" i="20"/>
  <c r="BL87" i="20" s="1"/>
  <c r="AW75" i="20"/>
  <c r="BL75" i="20" s="1"/>
  <c r="AW63" i="20"/>
  <c r="BL63" i="20" s="1"/>
  <c r="AW51" i="20"/>
  <c r="BL51" i="20" s="1"/>
  <c r="AW39" i="20"/>
  <c r="BL39" i="20" s="1"/>
  <c r="AW27" i="20"/>
  <c r="BL27" i="20" s="1"/>
  <c r="AW15" i="20"/>
  <c r="BL15" i="20" s="1"/>
  <c r="AW13" i="20"/>
  <c r="BL13" i="20" s="1"/>
  <c r="AW276" i="20"/>
  <c r="BL276" i="20" s="1"/>
  <c r="AW264" i="20"/>
  <c r="BL264" i="20" s="1"/>
  <c r="AW252" i="20"/>
  <c r="BL252" i="20" s="1"/>
  <c r="AW240" i="20"/>
  <c r="BL240" i="20" s="1"/>
  <c r="AW228" i="20"/>
  <c r="BL228" i="20" s="1"/>
  <c r="AW216" i="20"/>
  <c r="BL216" i="20" s="1"/>
  <c r="AW204" i="20"/>
  <c r="BL204" i="20" s="1"/>
  <c r="AW192" i="20"/>
  <c r="BL192" i="20" s="1"/>
  <c r="AW180" i="20"/>
  <c r="BL180" i="20" s="1"/>
  <c r="AW168" i="20"/>
  <c r="BL168" i="20" s="1"/>
  <c r="AW156" i="20"/>
  <c r="BL156" i="20" s="1"/>
  <c r="AW8" i="20"/>
  <c r="BL8" i="20" s="1"/>
  <c r="T29" i="27"/>
  <c r="U29" i="27" s="1"/>
  <c r="AL29" i="27" s="1"/>
  <c r="T36" i="27"/>
  <c r="T35" i="27"/>
  <c r="U35" i="27"/>
  <c r="AL35" i="27" s="1"/>
  <c r="U33" i="27"/>
  <c r="AL33" i="27" s="1"/>
  <c r="U36" i="27"/>
  <c r="AL36" i="27" s="1"/>
  <c r="U34" i="27"/>
  <c r="AL34" i="27" s="1"/>
  <c r="T38" i="27"/>
  <c r="U38" i="27" s="1"/>
  <c r="AL38" i="27" s="1"/>
  <c r="T37" i="27"/>
  <c r="AL45" i="27"/>
  <c r="U32" i="27"/>
  <c r="AL32" i="27" s="1"/>
  <c r="U31" i="27"/>
  <c r="AL31" i="27" s="1"/>
  <c r="U30" i="27"/>
  <c r="AL30" i="27" s="1"/>
  <c r="U44" i="27"/>
  <c r="AL44" i="27" s="1"/>
  <c r="U43" i="27"/>
  <c r="AL43" i="27" s="1"/>
  <c r="U42" i="27"/>
  <c r="AL42" i="27" s="1"/>
  <c r="U41" i="27"/>
  <c r="AL41" i="27" s="1"/>
  <c r="U40" i="27"/>
  <c r="AL40" i="27" s="1"/>
  <c r="U39" i="27"/>
  <c r="AL39" i="27" s="1"/>
  <c r="U37" i="27"/>
  <c r="AL37" i="27" s="1"/>
  <c r="R5" i="42"/>
  <c r="R6" i="42"/>
  <c r="R3" i="42"/>
  <c r="R4" i="42"/>
  <c r="C109" i="27"/>
  <c r="D109" i="27"/>
  <c r="G109" i="27"/>
  <c r="H109" i="27" s="1"/>
  <c r="K109" i="27"/>
  <c r="S109" i="27"/>
  <c r="AD109" i="27"/>
  <c r="AE109" i="27"/>
  <c r="AF109" i="27"/>
  <c r="AG109" i="27"/>
  <c r="C110" i="27"/>
  <c r="D110" i="27"/>
  <c r="G110" i="27"/>
  <c r="H110" i="27" s="1"/>
  <c r="K110" i="27"/>
  <c r="S110" i="27"/>
  <c r="AD110" i="27"/>
  <c r="AE110" i="27"/>
  <c r="AF110" i="27"/>
  <c r="AG110" i="27"/>
  <c r="C111" i="27"/>
  <c r="D111" i="27"/>
  <c r="G111" i="27"/>
  <c r="H111" i="27" s="1"/>
  <c r="K111" i="27"/>
  <c r="S111" i="27"/>
  <c r="AD111" i="27"/>
  <c r="AE111" i="27"/>
  <c r="AF111" i="27"/>
  <c r="AG111" i="27"/>
  <c r="C112" i="27"/>
  <c r="D112" i="27"/>
  <c r="G112" i="27"/>
  <c r="H112" i="27"/>
  <c r="K112" i="27"/>
  <c r="S112" i="27"/>
  <c r="AD112" i="27"/>
  <c r="AE112" i="27"/>
  <c r="AF112" i="27"/>
  <c r="AG112" i="27"/>
  <c r="T112" i="27" l="1"/>
  <c r="U112" i="27" s="1"/>
  <c r="AL112" i="27" s="1"/>
  <c r="T111" i="27"/>
  <c r="U111" i="27" s="1"/>
  <c r="AL111" i="27" s="1"/>
  <c r="T110" i="27"/>
  <c r="U110" i="27" s="1"/>
  <c r="AL110" i="27" s="1"/>
  <c r="T109" i="27"/>
  <c r="U109" i="27" s="1"/>
  <c r="AL109" i="27" s="1"/>
  <c r="S113" i="27" l="1"/>
  <c r="S114" i="27"/>
  <c r="K54" i="27"/>
  <c r="K55" i="27"/>
  <c r="K56" i="27"/>
  <c r="K57" i="27"/>
  <c r="K58" i="27"/>
  <c r="K59" i="27"/>
  <c r="K60" i="27"/>
  <c r="K464" i="27"/>
  <c r="K465" i="27"/>
  <c r="K466" i="27"/>
  <c r="K467" i="27"/>
  <c r="K468" i="27"/>
  <c r="G464" i="27"/>
  <c r="H464" i="27" s="1"/>
  <c r="G465" i="27"/>
  <c r="H465" i="27" s="1"/>
  <c r="G466" i="27"/>
  <c r="H466" i="27" s="1"/>
  <c r="G467" i="27"/>
  <c r="H467" i="27" s="1"/>
  <c r="G468" i="27"/>
  <c r="H468" i="27" s="1"/>
  <c r="C464" i="27"/>
  <c r="C465" i="27"/>
  <c r="C466" i="27"/>
  <c r="C467" i="27"/>
  <c r="C468" i="27"/>
  <c r="D468" i="27"/>
  <c r="R468" i="27"/>
  <c r="T468" i="27" s="1"/>
  <c r="S468" i="27"/>
  <c r="AD468" i="27"/>
  <c r="AE468" i="27"/>
  <c r="AF468" i="27"/>
  <c r="AG468" i="27"/>
  <c r="D467" i="27"/>
  <c r="R467" i="27"/>
  <c r="T467" i="27" s="1"/>
  <c r="S467" i="27"/>
  <c r="AD467" i="27"/>
  <c r="AE467" i="27"/>
  <c r="AF467" i="27"/>
  <c r="AG467" i="27"/>
  <c r="D466" i="27"/>
  <c r="R466" i="27"/>
  <c r="T466" i="27" s="1"/>
  <c r="S466" i="27"/>
  <c r="AD466" i="27"/>
  <c r="AE466" i="27"/>
  <c r="AF466" i="27"/>
  <c r="AG466" i="27"/>
  <c r="D465" i="27"/>
  <c r="R465" i="27"/>
  <c r="T465" i="27" s="1"/>
  <c r="U465" i="27" s="1"/>
  <c r="S465" i="27"/>
  <c r="AD465" i="27"/>
  <c r="AE465" i="27"/>
  <c r="AF465" i="27"/>
  <c r="AG465" i="27"/>
  <c r="D464" i="27"/>
  <c r="R464" i="27"/>
  <c r="T464" i="27" s="1"/>
  <c r="S464" i="27"/>
  <c r="AD464" i="27"/>
  <c r="AE464" i="27"/>
  <c r="AF464" i="27"/>
  <c r="AG464" i="27"/>
  <c r="A162" i="27" l="1"/>
  <c r="A163" i="27" s="1"/>
  <c r="A164" i="27" s="1"/>
  <c r="A165" i="27" s="1"/>
  <c r="A166" i="27" s="1"/>
  <c r="A167" i="27" s="1"/>
  <c r="A168" i="27" s="1"/>
  <c r="A169" i="27" s="1"/>
  <c r="A170" i="27" s="1"/>
  <c r="A171" i="27" s="1"/>
  <c r="A172" i="27" s="1"/>
  <c r="A173" i="27" s="1"/>
  <c r="A174" i="27" s="1"/>
  <c r="A175" i="27" s="1"/>
  <c r="A176" i="27" s="1"/>
  <c r="A177" i="27" s="1"/>
  <c r="A178" i="27" s="1"/>
  <c r="A179" i="27" s="1"/>
  <c r="A180" i="27" s="1"/>
  <c r="A181" i="27" s="1"/>
  <c r="A182" i="27" s="1"/>
  <c r="A183" i="27" s="1"/>
  <c r="A184" i="27" s="1"/>
  <c r="A185" i="27" s="1"/>
  <c r="A186" i="27" s="1"/>
  <c r="A187" i="27" s="1"/>
  <c r="A188" i="27" s="1"/>
  <c r="A189" i="27" s="1"/>
  <c r="A190" i="27" s="1"/>
  <c r="A191" i="27" s="1"/>
  <c r="A192" i="27" s="1"/>
  <c r="A193" i="27" s="1"/>
  <c r="A194" i="27" s="1"/>
  <c r="A195" i="27" s="1"/>
  <c r="A196" i="27" s="1"/>
  <c r="A197" i="27" s="1"/>
  <c r="A198" i="27" s="1"/>
  <c r="A199" i="27" s="1"/>
  <c r="A200" i="27" s="1"/>
  <c r="A201" i="27" s="1"/>
  <c r="A202" i="27" s="1"/>
  <c r="A203" i="27" s="1"/>
  <c r="A204" i="27" s="1"/>
  <c r="A205" i="27" s="1"/>
  <c r="A206" i="27" s="1"/>
  <c r="A207" i="27" s="1"/>
  <c r="A208" i="27" s="1"/>
  <c r="A209" i="27" s="1"/>
  <c r="A210" i="27" s="1"/>
  <c r="A211" i="27" s="1"/>
  <c r="A212" i="27" s="1"/>
  <c r="A213" i="27" s="1"/>
  <c r="A214" i="27" s="1"/>
  <c r="A215" i="27" s="1"/>
  <c r="A216" i="27" s="1"/>
  <c r="A217" i="27" s="1"/>
  <c r="A218" i="27" s="1"/>
  <c r="A219" i="27" s="1"/>
  <c r="A220" i="27" s="1"/>
  <c r="A221" i="27" s="1"/>
  <c r="A222" i="27" s="1"/>
  <c r="A223" i="27" s="1"/>
  <c r="A224" i="27" s="1"/>
  <c r="A225" i="27" s="1"/>
  <c r="A226" i="27" s="1"/>
  <c r="A227" i="27" s="1"/>
  <c r="A228" i="27" s="1"/>
  <c r="A229" i="27" s="1"/>
  <c r="A230" i="27" s="1"/>
  <c r="A231" i="27" s="1"/>
  <c r="A232" i="27" s="1"/>
  <c r="A233" i="27" s="1"/>
  <c r="A234" i="27" s="1"/>
  <c r="A235" i="27" s="1"/>
  <c r="A236" i="27" s="1"/>
  <c r="A237" i="27" s="1"/>
  <c r="A238" i="27" s="1"/>
  <c r="A239" i="27" s="1"/>
  <c r="A240" i="27" s="1"/>
  <c r="A241" i="27" s="1"/>
  <c r="A242" i="27" s="1"/>
  <c r="A243" i="27" s="1"/>
  <c r="A244" i="27" s="1"/>
  <c r="A245" i="27" s="1"/>
  <c r="A246" i="27" s="1"/>
  <c r="A247" i="27" s="1"/>
  <c r="A248" i="27" s="1"/>
  <c r="A249" i="27" s="1"/>
  <c r="A250" i="27" s="1"/>
  <c r="A251" i="27" s="1"/>
  <c r="A252" i="27" s="1"/>
  <c r="A253" i="27" s="1"/>
  <c r="A254" i="27" s="1"/>
  <c r="A255" i="27" s="1"/>
  <c r="A256" i="27" s="1"/>
  <c r="A257" i="27" s="1"/>
  <c r="A258" i="27" s="1"/>
  <c r="A259" i="27" s="1"/>
  <c r="A260" i="27" s="1"/>
  <c r="A261" i="27" s="1"/>
  <c r="A262" i="27" s="1"/>
  <c r="A263" i="27" s="1"/>
  <c r="A264" i="27" s="1"/>
  <c r="A265" i="27" s="1"/>
  <c r="A266" i="27" s="1"/>
  <c r="A267" i="27" s="1"/>
  <c r="A268" i="27" s="1"/>
  <c r="A269" i="27" s="1"/>
  <c r="A270" i="27" s="1"/>
  <c r="A271" i="27" s="1"/>
  <c r="A272" i="27" s="1"/>
  <c r="A273" i="27" s="1"/>
  <c r="A274" i="27" s="1"/>
  <c r="A275" i="27" s="1"/>
  <c r="A276" i="27" s="1"/>
  <c r="A277" i="27" s="1"/>
  <c r="A278" i="27" s="1"/>
  <c r="A279" i="27" s="1"/>
  <c r="A280" i="27" s="1"/>
  <c r="A281" i="27" s="1"/>
  <c r="A282" i="27" s="1"/>
  <c r="A283" i="27" s="1"/>
  <c r="A284" i="27" s="1"/>
  <c r="A285" i="27" s="1"/>
  <c r="A286" i="27" s="1"/>
  <c r="A287" i="27" s="1"/>
  <c r="A288" i="27" s="1"/>
  <c r="A289" i="27" s="1"/>
  <c r="A290" i="27" s="1"/>
  <c r="A291" i="27" s="1"/>
  <c r="A292" i="27" s="1"/>
  <c r="A293" i="27" s="1"/>
  <c r="A294" i="27" s="1"/>
  <c r="A295" i="27" s="1"/>
  <c r="A296" i="27" s="1"/>
  <c r="A297" i="27" s="1"/>
  <c r="A298" i="27" s="1"/>
  <c r="A299" i="27" s="1"/>
  <c r="A300" i="27" s="1"/>
  <c r="A301" i="27" s="1"/>
  <c r="A302" i="27" s="1"/>
  <c r="A303" i="27" s="1"/>
  <c r="A304" i="27" s="1"/>
  <c r="A305" i="27" s="1"/>
  <c r="A306" i="27" s="1"/>
  <c r="A307" i="27" s="1"/>
  <c r="A308" i="27" s="1"/>
  <c r="A309" i="27" s="1"/>
  <c r="A310" i="27" s="1"/>
  <c r="A311" i="27" s="1"/>
  <c r="A312" i="27" s="1"/>
  <c r="A313" i="27" s="1"/>
  <c r="A314" i="27" s="1"/>
  <c r="A315" i="27" s="1"/>
  <c r="A316" i="27" s="1"/>
  <c r="A317" i="27" s="1"/>
  <c r="A318" i="27" s="1"/>
  <c r="A319" i="27" s="1"/>
  <c r="A320" i="27" s="1"/>
  <c r="A321" i="27" s="1"/>
  <c r="A322" i="27" s="1"/>
  <c r="A323" i="27" s="1"/>
  <c r="A324" i="27" s="1"/>
  <c r="A325" i="27" s="1"/>
  <c r="A326" i="27" s="1"/>
  <c r="A327" i="27" s="1"/>
  <c r="A328" i="27" s="1"/>
  <c r="A329" i="27" s="1"/>
  <c r="A330" i="27" s="1"/>
  <c r="A331" i="27" s="1"/>
  <c r="A332" i="27" s="1"/>
  <c r="A333" i="27" s="1"/>
  <c r="A334" i="27" s="1"/>
  <c r="A335" i="27" s="1"/>
  <c r="A336" i="27" s="1"/>
  <c r="A337" i="27" s="1"/>
  <c r="A338" i="27" s="1"/>
  <c r="A339" i="27" s="1"/>
  <c r="A340" i="27" s="1"/>
  <c r="A341" i="27" s="1"/>
  <c r="A342" i="27" s="1"/>
  <c r="A343" i="27" s="1"/>
  <c r="A344" i="27" s="1"/>
  <c r="A345" i="27" s="1"/>
  <c r="A346" i="27" s="1"/>
  <c r="A347" i="27" s="1"/>
  <c r="A348" i="27" s="1"/>
  <c r="A349" i="27" s="1"/>
  <c r="A350" i="27" s="1"/>
  <c r="A351" i="27" s="1"/>
  <c r="A352" i="27" s="1"/>
  <c r="A353" i="27" s="1"/>
  <c r="A354" i="27" s="1"/>
  <c r="A355" i="27" s="1"/>
  <c r="A356" i="27" s="1"/>
  <c r="A357" i="27" s="1"/>
  <c r="A358" i="27" s="1"/>
  <c r="A359" i="27" s="1"/>
  <c r="A360" i="27" s="1"/>
  <c r="A361" i="27" s="1"/>
  <c r="A362" i="27" s="1"/>
  <c r="A363" i="27" s="1"/>
  <c r="A364" i="27" s="1"/>
  <c r="A365" i="27" s="1"/>
  <c r="A366" i="27" s="1"/>
  <c r="A367" i="27" s="1"/>
  <c r="A368" i="27" s="1"/>
  <c r="A369" i="27" s="1"/>
  <c r="A370" i="27" s="1"/>
  <c r="A371" i="27" s="1"/>
  <c r="A372" i="27" s="1"/>
  <c r="A373" i="27" s="1"/>
  <c r="A374" i="27" s="1"/>
  <c r="A375" i="27" s="1"/>
  <c r="A376" i="27" s="1"/>
  <c r="A377" i="27" s="1"/>
  <c r="A378" i="27" s="1"/>
  <c r="A379" i="27" s="1"/>
  <c r="A380" i="27" s="1"/>
  <c r="A381" i="27" s="1"/>
  <c r="A382" i="27" s="1"/>
  <c r="A383" i="27" s="1"/>
  <c r="A384" i="27" s="1"/>
  <c r="A385" i="27" s="1"/>
  <c r="A386" i="27" s="1"/>
  <c r="A387" i="27" s="1"/>
  <c r="A388" i="27" s="1"/>
  <c r="A389" i="27" s="1"/>
  <c r="A390" i="27" s="1"/>
  <c r="A391" i="27" s="1"/>
  <c r="A392" i="27" s="1"/>
  <c r="A393" i="27" s="1"/>
  <c r="A394" i="27" s="1"/>
  <c r="A395" i="27" s="1"/>
  <c r="A396" i="27" s="1"/>
  <c r="A397" i="27" s="1"/>
  <c r="A398" i="27" s="1"/>
  <c r="A399" i="27" s="1"/>
  <c r="A400" i="27" s="1"/>
  <c r="A401" i="27" s="1"/>
  <c r="A402" i="27" s="1"/>
  <c r="A403" i="27" s="1"/>
  <c r="A404" i="27" s="1"/>
  <c r="A405" i="27" s="1"/>
  <c r="A406" i="27" s="1"/>
  <c r="A407" i="27" s="1"/>
  <c r="A408" i="27" s="1"/>
  <c r="A409" i="27" s="1"/>
  <c r="A410" i="27" s="1"/>
  <c r="A411" i="27" s="1"/>
  <c r="A412" i="27" s="1"/>
  <c r="A413" i="27" s="1"/>
  <c r="A414" i="27" s="1"/>
  <c r="A415" i="27" s="1"/>
  <c r="A416" i="27" s="1"/>
  <c r="A417" i="27" s="1"/>
  <c r="A418" i="27" s="1"/>
  <c r="A419" i="27" s="1"/>
  <c r="A420" i="27" s="1"/>
  <c r="A421" i="27" s="1"/>
  <c r="A422" i="27" s="1"/>
  <c r="A423" i="27" s="1"/>
  <c r="A424" i="27" s="1"/>
  <c r="A425" i="27" s="1"/>
  <c r="A426" i="27" s="1"/>
  <c r="A427" i="27" s="1"/>
  <c r="A428" i="27" s="1"/>
  <c r="A429" i="27" s="1"/>
  <c r="A430" i="27" s="1"/>
  <c r="A431" i="27" s="1"/>
  <c r="A432" i="27" s="1"/>
  <c r="A433" i="27" s="1"/>
  <c r="A434" i="27" s="1"/>
  <c r="A435" i="27" s="1"/>
  <c r="A436" i="27" s="1"/>
  <c r="A437" i="27" s="1"/>
  <c r="A438" i="27" s="1"/>
  <c r="A439" i="27" s="1"/>
  <c r="A440" i="27" s="1"/>
  <c r="A441" i="27" s="1"/>
  <c r="A442" i="27" s="1"/>
  <c r="A443" i="27" s="1"/>
  <c r="A444" i="27" s="1"/>
  <c r="A445" i="27" s="1"/>
  <c r="A446" i="27" s="1"/>
  <c r="A447" i="27" s="1"/>
  <c r="A448" i="27" s="1"/>
  <c r="A449" i="27" s="1"/>
  <c r="A450" i="27" s="1"/>
  <c r="A451" i="27" s="1"/>
  <c r="A452" i="27" s="1"/>
  <c r="A453" i="27" s="1"/>
  <c r="A454" i="27" s="1"/>
  <c r="A455" i="27" s="1"/>
  <c r="A456" i="27" s="1"/>
  <c r="A457" i="27" s="1"/>
  <c r="A458" i="27" s="1"/>
  <c r="A459" i="27" s="1"/>
  <c r="A460" i="27" s="1"/>
  <c r="A461" i="27" s="1"/>
  <c r="A462" i="27" s="1"/>
  <c r="A463" i="27" s="1"/>
  <c r="A464" i="27" s="1"/>
  <c r="A465" i="27" s="1"/>
  <c r="A466" i="27" s="1"/>
  <c r="A467" i="27" s="1"/>
  <c r="A468" i="27" s="1"/>
  <c r="U466" i="27"/>
  <c r="U468" i="27"/>
  <c r="U467" i="27"/>
  <c r="U464" i="27"/>
  <c r="K462" i="27"/>
  <c r="K463" i="27"/>
  <c r="G462" i="27"/>
  <c r="H462" i="27" s="1"/>
  <c r="G463" i="27"/>
  <c r="H463" i="27" s="1"/>
  <c r="C462" i="27"/>
  <c r="C463" i="27"/>
  <c r="D463" i="27"/>
  <c r="R463" i="27"/>
  <c r="T463" i="27" s="1"/>
  <c r="S463" i="27"/>
  <c r="AD463" i="27"/>
  <c r="AE463" i="27"/>
  <c r="AF463" i="27"/>
  <c r="AG463" i="27"/>
  <c r="D462" i="27"/>
  <c r="R462" i="27"/>
  <c r="T462" i="27" s="1"/>
  <c r="U462" i="27" s="1"/>
  <c r="S462" i="27"/>
  <c r="AD462" i="27"/>
  <c r="AE462" i="27"/>
  <c r="AF462" i="27"/>
  <c r="AG462" i="27"/>
  <c r="U463" i="27" l="1"/>
  <c r="K458" i="27" l="1"/>
  <c r="K459" i="27"/>
  <c r="K460" i="27"/>
  <c r="K461" i="27"/>
  <c r="G459" i="27"/>
  <c r="H459" i="27" s="1"/>
  <c r="G460" i="27"/>
  <c r="H460" i="27" s="1"/>
  <c r="G461" i="27"/>
  <c r="H461" i="27" s="1"/>
  <c r="C459" i="27"/>
  <c r="C460" i="27"/>
  <c r="C461" i="27"/>
  <c r="D461" i="27"/>
  <c r="R461" i="27"/>
  <c r="S461" i="27"/>
  <c r="AD461" i="27"/>
  <c r="AE461" i="27"/>
  <c r="AF461" i="27"/>
  <c r="AG461" i="27"/>
  <c r="D460" i="27"/>
  <c r="R460" i="27"/>
  <c r="S460" i="27"/>
  <c r="AD460" i="27"/>
  <c r="AE460" i="27"/>
  <c r="AF460" i="27"/>
  <c r="AG460" i="27"/>
  <c r="D459" i="27"/>
  <c r="R459" i="27"/>
  <c r="S459" i="27"/>
  <c r="AD459" i="27"/>
  <c r="AE459" i="27"/>
  <c r="AF459" i="27"/>
  <c r="AG459" i="27"/>
  <c r="C458" i="27"/>
  <c r="C457" i="27"/>
  <c r="K457" i="27"/>
  <c r="K456" i="27"/>
  <c r="K455" i="27"/>
  <c r="K454" i="27"/>
  <c r="K453" i="27"/>
  <c r="K452" i="27"/>
  <c r="G458" i="27"/>
  <c r="H458" i="27" s="1"/>
  <c r="G457" i="27"/>
  <c r="H457" i="27" s="1"/>
  <c r="D458" i="27"/>
  <c r="R458" i="27"/>
  <c r="T458" i="27" s="1"/>
  <c r="U458" i="27" s="1"/>
  <c r="S458" i="27"/>
  <c r="AD458" i="27"/>
  <c r="AE458" i="27"/>
  <c r="AF458" i="27"/>
  <c r="AG458" i="27"/>
  <c r="D457" i="27"/>
  <c r="R457" i="27"/>
  <c r="S457" i="27"/>
  <c r="AD457" i="27"/>
  <c r="AE457" i="27"/>
  <c r="AF457" i="27"/>
  <c r="AG457" i="27"/>
  <c r="T459" i="27" l="1"/>
  <c r="U459" i="27" s="1"/>
  <c r="T460" i="27"/>
  <c r="U460" i="27" s="1"/>
  <c r="T461" i="27"/>
  <c r="U461" i="27" s="1"/>
  <c r="T457" i="27"/>
  <c r="U457" i="27" s="1"/>
  <c r="C453" i="27" l="1"/>
  <c r="C454" i="27"/>
  <c r="C455" i="27"/>
  <c r="C456" i="27"/>
  <c r="G453" i="27"/>
  <c r="H453" i="27" s="1"/>
  <c r="G454" i="27"/>
  <c r="H454" i="27" s="1"/>
  <c r="G455" i="27"/>
  <c r="H455" i="27" s="1"/>
  <c r="G456" i="27"/>
  <c r="H456" i="27" s="1"/>
  <c r="D456" i="27"/>
  <c r="R456" i="27"/>
  <c r="T456" i="27" s="1"/>
  <c r="S456" i="27"/>
  <c r="AD456" i="27"/>
  <c r="AE456" i="27"/>
  <c r="AF456" i="27"/>
  <c r="AG456" i="27"/>
  <c r="D455" i="27"/>
  <c r="R455" i="27"/>
  <c r="T455" i="27" s="1"/>
  <c r="S455" i="27"/>
  <c r="AD455" i="27"/>
  <c r="AE455" i="27"/>
  <c r="AF455" i="27"/>
  <c r="AG455" i="27"/>
  <c r="D454" i="27"/>
  <c r="R454" i="27"/>
  <c r="S454" i="27"/>
  <c r="AD454" i="27"/>
  <c r="AE454" i="27"/>
  <c r="AF454" i="27"/>
  <c r="AG454" i="27"/>
  <c r="D453" i="27"/>
  <c r="R453" i="27"/>
  <c r="T453" i="27" s="1"/>
  <c r="S453" i="27"/>
  <c r="AD453" i="27"/>
  <c r="AE453" i="27"/>
  <c r="AF453" i="27"/>
  <c r="AG453" i="27"/>
  <c r="T454" i="27" l="1"/>
  <c r="U454" i="27" s="1"/>
  <c r="U455" i="27"/>
  <c r="U456" i="27"/>
  <c r="U453" i="27"/>
  <c r="A4" i="7" l="1"/>
  <c r="C452" i="27"/>
  <c r="G452" i="27"/>
  <c r="H452" i="27" s="1"/>
  <c r="D452" i="27"/>
  <c r="R452" i="27"/>
  <c r="S452" i="27"/>
  <c r="AD452" i="27"/>
  <c r="AE452" i="27"/>
  <c r="AF452" i="27"/>
  <c r="AG452" i="27"/>
  <c r="C451" i="27"/>
  <c r="D451" i="27"/>
  <c r="G451" i="27"/>
  <c r="H451" i="27" s="1"/>
  <c r="K451" i="27"/>
  <c r="R451" i="27"/>
  <c r="T451" i="27" s="1"/>
  <c r="S451" i="27"/>
  <c r="AD451" i="27"/>
  <c r="AE451" i="27"/>
  <c r="AF451" i="27"/>
  <c r="AG451" i="27"/>
  <c r="T452" i="27" l="1"/>
  <c r="U452" i="27" s="1"/>
  <c r="U451" i="27"/>
  <c r="AL451" i="27" s="1"/>
  <c r="V451" i="27"/>
  <c r="AJ451" i="27" s="1"/>
  <c r="AI14" i="22" l="1"/>
  <c r="AH14" i="22"/>
  <c r="B32" i="9" l="1"/>
  <c r="B4" i="41"/>
  <c r="B5" i="41" s="1"/>
  <c r="D2" i="41"/>
  <c r="E2" i="41" s="1"/>
  <c r="F2" i="41" s="1"/>
  <c r="G2" i="41" s="1"/>
  <c r="H2" i="41" l="1"/>
  <c r="I2" i="41" s="1"/>
  <c r="B6" i="4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4" i="35"/>
  <c r="C4" i="35" l="1"/>
  <c r="D4" i="35"/>
  <c r="P4" i="35"/>
  <c r="E4" i="35"/>
  <c r="Q4" i="35"/>
  <c r="T4" i="35"/>
  <c r="I4" i="35"/>
  <c r="V4" i="35"/>
  <c r="W4" i="35"/>
  <c r="L4" i="35"/>
  <c r="Y4" i="35"/>
  <c r="N4" i="35"/>
  <c r="F4" i="35"/>
  <c r="R4" i="35"/>
  <c r="G4" i="35"/>
  <c r="S4" i="35"/>
  <c r="H4" i="35"/>
  <c r="U4" i="35"/>
  <c r="J4" i="35"/>
  <c r="K4" i="35"/>
  <c r="X4" i="35"/>
  <c r="M4" i="35"/>
  <c r="O4" i="35"/>
  <c r="B7" i="41"/>
  <c r="B5" i="35"/>
  <c r="C13" i="27"/>
  <c r="D13" i="27"/>
  <c r="G13" i="27"/>
  <c r="H13" i="27" s="1"/>
  <c r="K13" i="27"/>
  <c r="T13" i="27"/>
  <c r="U13" i="27" s="1"/>
  <c r="S13" i="27"/>
  <c r="AD13" i="27"/>
  <c r="AE13" i="27"/>
  <c r="AF13" i="27"/>
  <c r="AG13" i="27"/>
  <c r="Z4" i="35" l="1"/>
  <c r="C3" i="36" s="1"/>
  <c r="B6" i="35"/>
  <c r="C5" i="35"/>
  <c r="O5" i="35"/>
  <c r="D5" i="35"/>
  <c r="P5" i="35"/>
  <c r="E5" i="35"/>
  <c r="F5" i="35"/>
  <c r="T5" i="35"/>
  <c r="G5" i="35"/>
  <c r="U5" i="35"/>
  <c r="H5" i="35"/>
  <c r="X5" i="35"/>
  <c r="K5" i="35"/>
  <c r="I5" i="35"/>
  <c r="Y5" i="35"/>
  <c r="J5" i="35"/>
  <c r="L5" i="35"/>
  <c r="M5" i="35"/>
  <c r="Q5" i="35"/>
  <c r="R5" i="35"/>
  <c r="V5" i="35"/>
  <c r="N5" i="35"/>
  <c r="S5" i="35"/>
  <c r="W5" i="35"/>
  <c r="B8" i="41"/>
  <c r="N4" i="36" l="1"/>
  <c r="V4" i="36"/>
  <c r="S4" i="36"/>
  <c r="U4" i="36"/>
  <c r="T4" i="36"/>
  <c r="F4" i="36"/>
  <c r="X4" i="36"/>
  <c r="F3" i="36"/>
  <c r="G3" i="36"/>
  <c r="I3" i="36"/>
  <c r="J3" i="36"/>
  <c r="X3" i="36"/>
  <c r="Q3" i="36"/>
  <c r="D3" i="36"/>
  <c r="E3" i="36"/>
  <c r="T3" i="36"/>
  <c r="U3" i="36"/>
  <c r="P3" i="36"/>
  <c r="H3" i="36"/>
  <c r="W3" i="36"/>
  <c r="O3" i="36"/>
  <c r="K3" i="36"/>
  <c r="V3" i="36"/>
  <c r="N3" i="36"/>
  <c r="Y3" i="36"/>
  <c r="R3" i="36"/>
  <c r="S3" i="36"/>
  <c r="L3" i="36"/>
  <c r="M3" i="36"/>
  <c r="Z5" i="35"/>
  <c r="R4" i="36" s="1"/>
  <c r="B7" i="35"/>
  <c r="D6" i="35"/>
  <c r="P6" i="35"/>
  <c r="E6" i="35"/>
  <c r="Q6" i="35"/>
  <c r="K6" i="35"/>
  <c r="Y6" i="35"/>
  <c r="L6" i="35"/>
  <c r="S6" i="35"/>
  <c r="T6" i="35"/>
  <c r="C6" i="35"/>
  <c r="U6" i="35"/>
  <c r="F6" i="35"/>
  <c r="M6" i="35"/>
  <c r="N6" i="35"/>
  <c r="W6" i="35"/>
  <c r="O6" i="35"/>
  <c r="R6" i="35"/>
  <c r="V6" i="35"/>
  <c r="X6" i="35"/>
  <c r="H6" i="35"/>
  <c r="I6" i="35"/>
  <c r="J6" i="35"/>
  <c r="G6" i="35"/>
  <c r="B9" i="41"/>
  <c r="C25" i="9"/>
  <c r="C24" i="9"/>
  <c r="C22" i="9"/>
  <c r="C21" i="9"/>
  <c r="C5" i="36" l="1"/>
  <c r="I5" i="36"/>
  <c r="S5" i="36"/>
  <c r="G4" i="36"/>
  <c r="D4" i="36"/>
  <c r="Y5" i="36"/>
  <c r="K4" i="36"/>
  <c r="E4" i="36"/>
  <c r="W5" i="36"/>
  <c r="W4" i="36"/>
  <c r="C4" i="36"/>
  <c r="T5" i="36"/>
  <c r="M4" i="36"/>
  <c r="O4" i="36"/>
  <c r="L5" i="36"/>
  <c r="H4" i="36"/>
  <c r="J4" i="36"/>
  <c r="K5" i="36"/>
  <c r="Y4" i="36"/>
  <c r="Q4" i="36"/>
  <c r="J5" i="36"/>
  <c r="L4" i="36"/>
  <c r="I4" i="36"/>
  <c r="H5" i="36"/>
  <c r="X5" i="36"/>
  <c r="V5" i="36"/>
  <c r="R5" i="36"/>
  <c r="O5" i="36"/>
  <c r="Q5" i="36"/>
  <c r="P4" i="36"/>
  <c r="Z6" i="35"/>
  <c r="N5" i="36" s="1"/>
  <c r="B8" i="35"/>
  <c r="E7" i="35"/>
  <c r="Q7" i="35"/>
  <c r="F7" i="35"/>
  <c r="R7" i="35"/>
  <c r="P7" i="35"/>
  <c r="C7" i="35"/>
  <c r="S7" i="35"/>
  <c r="L7" i="35"/>
  <c r="M7" i="35"/>
  <c r="N7" i="35"/>
  <c r="O7" i="35"/>
  <c r="K7" i="35"/>
  <c r="V7" i="35"/>
  <c r="W7" i="35"/>
  <c r="X7" i="35"/>
  <c r="T7" i="35"/>
  <c r="U7" i="35"/>
  <c r="Y7" i="35"/>
  <c r="I7" i="35"/>
  <c r="D7" i="35"/>
  <c r="G7" i="35"/>
  <c r="H7" i="35"/>
  <c r="J7" i="35"/>
  <c r="B10" i="41"/>
  <c r="C1" i="8"/>
  <c r="V6" i="36" l="1"/>
  <c r="O6" i="36"/>
  <c r="G5" i="36"/>
  <c r="U5" i="36"/>
  <c r="L6" i="36"/>
  <c r="P5" i="36"/>
  <c r="M5" i="36"/>
  <c r="F5" i="36"/>
  <c r="I6" i="36"/>
  <c r="P6" i="36"/>
  <c r="E5" i="36"/>
  <c r="D5" i="36"/>
  <c r="Z7" i="35"/>
  <c r="D6" i="36" s="1"/>
  <c r="B9" i="35"/>
  <c r="F8" i="35"/>
  <c r="R8" i="35"/>
  <c r="G8" i="35"/>
  <c r="S8" i="35"/>
  <c r="I8" i="35"/>
  <c r="W8" i="35"/>
  <c r="J8" i="35"/>
  <c r="X8" i="35"/>
  <c r="E8" i="35"/>
  <c r="Y8" i="35"/>
  <c r="L8" i="35"/>
  <c r="H8" i="35"/>
  <c r="K8" i="35"/>
  <c r="P8" i="35"/>
  <c r="U8" i="35"/>
  <c r="Q8" i="35"/>
  <c r="T8" i="35"/>
  <c r="V8" i="35"/>
  <c r="M8" i="35"/>
  <c r="N8" i="35"/>
  <c r="O8" i="35"/>
  <c r="C8" i="35"/>
  <c r="D8" i="35"/>
  <c r="B11" i="41"/>
  <c r="K4" i="8"/>
  <c r="I4" i="8"/>
  <c r="N6" i="36" l="1"/>
  <c r="F6" i="36"/>
  <c r="C7" i="36"/>
  <c r="S7" i="36"/>
  <c r="R7" i="36"/>
  <c r="Y7" i="36"/>
  <c r="H6" i="36"/>
  <c r="U6" i="36"/>
  <c r="M6" i="36"/>
  <c r="K6" i="36"/>
  <c r="Q6" i="36"/>
  <c r="J7" i="36"/>
  <c r="G6" i="36"/>
  <c r="W6" i="36"/>
  <c r="R6" i="36"/>
  <c r="Q7" i="36"/>
  <c r="P7" i="36"/>
  <c r="H7" i="36"/>
  <c r="J6" i="36"/>
  <c r="S6" i="36"/>
  <c r="W7" i="36"/>
  <c r="E6" i="36"/>
  <c r="T6" i="36"/>
  <c r="C6" i="36"/>
  <c r="U7" i="36"/>
  <c r="F7" i="36"/>
  <c r="O7" i="36"/>
  <c r="X6" i="36"/>
  <c r="Y6" i="36"/>
  <c r="Z8" i="35"/>
  <c r="L7" i="36" s="1"/>
  <c r="B10" i="35"/>
  <c r="G9" i="35"/>
  <c r="S9" i="35"/>
  <c r="H9" i="35"/>
  <c r="T9" i="35"/>
  <c r="N9" i="35"/>
  <c r="O9" i="35"/>
  <c r="R9" i="35"/>
  <c r="W9" i="35"/>
  <c r="C9" i="35"/>
  <c r="U9" i="35"/>
  <c r="D9" i="35"/>
  <c r="V9" i="35"/>
  <c r="E9" i="35"/>
  <c r="Q9" i="35"/>
  <c r="F9" i="35"/>
  <c r="X9" i="35"/>
  <c r="I9" i="35"/>
  <c r="Y9" i="35"/>
  <c r="L9" i="35"/>
  <c r="M9" i="35"/>
  <c r="P9" i="35"/>
  <c r="J9" i="35"/>
  <c r="K9" i="35"/>
  <c r="B12" i="41"/>
  <c r="AL13" i="27"/>
  <c r="O13" i="39"/>
  <c r="G13" i="39"/>
  <c r="E13" i="39"/>
  <c r="O12" i="39"/>
  <c r="G12" i="39"/>
  <c r="T12" i="39" s="1"/>
  <c r="E12" i="39"/>
  <c r="O11" i="39"/>
  <c r="G11" i="39"/>
  <c r="P11" i="39" s="1"/>
  <c r="E11" i="39"/>
  <c r="O10" i="39"/>
  <c r="G10" i="39"/>
  <c r="T10" i="39" s="1"/>
  <c r="W10" i="39" s="1"/>
  <c r="E10" i="39"/>
  <c r="O9" i="39"/>
  <c r="G9" i="39"/>
  <c r="P9" i="39" s="1"/>
  <c r="E9" i="39"/>
  <c r="O8" i="39"/>
  <c r="G8" i="39"/>
  <c r="T8" i="39" s="1"/>
  <c r="W8" i="39" s="1"/>
  <c r="E8" i="39"/>
  <c r="O7" i="39"/>
  <c r="G7" i="39"/>
  <c r="E7" i="39"/>
  <c r="O6" i="39"/>
  <c r="G6" i="39"/>
  <c r="T6" i="39" s="1"/>
  <c r="W6" i="39" s="1"/>
  <c r="E6" i="39"/>
  <c r="O5" i="39"/>
  <c r="Q2" i="42" s="1"/>
  <c r="R2" i="42" s="1"/>
  <c r="G5" i="39"/>
  <c r="E5" i="39"/>
  <c r="O4" i="39"/>
  <c r="G4" i="39"/>
  <c r="T4" i="39" s="1"/>
  <c r="W4" i="39" s="1"/>
  <c r="E4" i="39"/>
  <c r="A4" i="39"/>
  <c r="A5" i="39" s="1"/>
  <c r="A6" i="39" s="1"/>
  <c r="A7" i="39" s="1"/>
  <c r="A8" i="39" s="1"/>
  <c r="A9" i="39" s="1"/>
  <c r="A10" i="39" s="1"/>
  <c r="A11" i="39" s="1"/>
  <c r="A12" i="39" s="1"/>
  <c r="A13" i="39" s="1"/>
  <c r="O3" i="39"/>
  <c r="G3" i="39"/>
  <c r="E3" i="39"/>
  <c r="A3" i="39"/>
  <c r="O2" i="39"/>
  <c r="G2" i="39"/>
  <c r="P2" i="39" s="1"/>
  <c r="E2" i="39"/>
  <c r="N7" i="36" l="1"/>
  <c r="Q8" i="36"/>
  <c r="G7" i="36"/>
  <c r="I7" i="36"/>
  <c r="E7" i="36"/>
  <c r="S8" i="36"/>
  <c r="V7" i="36"/>
  <c r="M7" i="36"/>
  <c r="K7" i="36"/>
  <c r="T7" i="36"/>
  <c r="D7" i="36"/>
  <c r="X7" i="36"/>
  <c r="Z9" i="35"/>
  <c r="E8" i="36" s="1"/>
  <c r="B11" i="35"/>
  <c r="H10" i="35"/>
  <c r="T10" i="35"/>
  <c r="I10" i="35"/>
  <c r="U10" i="35"/>
  <c r="E10" i="35"/>
  <c r="S10" i="35"/>
  <c r="F10" i="35"/>
  <c r="V10" i="35"/>
  <c r="M10" i="35"/>
  <c r="N10" i="35"/>
  <c r="O10" i="35"/>
  <c r="P10" i="35"/>
  <c r="X10" i="35"/>
  <c r="C10" i="35"/>
  <c r="G10" i="35"/>
  <c r="Y10" i="35"/>
  <c r="D10" i="35"/>
  <c r="J10" i="35"/>
  <c r="W10" i="35"/>
  <c r="Q10" i="35"/>
  <c r="R10" i="35"/>
  <c r="K10" i="35"/>
  <c r="L10" i="35"/>
  <c r="P10" i="39"/>
  <c r="AL465" i="27"/>
  <c r="AL466" i="27"/>
  <c r="AL464" i="27"/>
  <c r="AL468" i="27"/>
  <c r="AL467" i="27"/>
  <c r="AL462" i="27"/>
  <c r="AL463" i="27"/>
  <c r="AL458" i="27"/>
  <c r="AL461" i="27"/>
  <c r="AL457" i="27"/>
  <c r="AL459" i="27"/>
  <c r="AL460" i="27"/>
  <c r="AL453" i="27"/>
  <c r="AL455" i="27"/>
  <c r="AL454" i="27"/>
  <c r="AL456" i="27"/>
  <c r="AL452" i="27"/>
  <c r="M4" i="8"/>
  <c r="B13" i="41"/>
  <c r="P4" i="39"/>
  <c r="P6" i="39"/>
  <c r="W12" i="39"/>
  <c r="P8" i="39"/>
  <c r="P12" i="39"/>
  <c r="T2" i="39"/>
  <c r="W2" i="39" s="1"/>
  <c r="P7" i="39"/>
  <c r="T7" i="39"/>
  <c r="W7" i="39" s="1"/>
  <c r="T3" i="39"/>
  <c r="W3" i="39" s="1"/>
  <c r="P3" i="39"/>
  <c r="T5" i="39"/>
  <c r="W5" i="39" s="1"/>
  <c r="P5" i="39"/>
  <c r="P13" i="39"/>
  <c r="T9" i="39"/>
  <c r="W9" i="39" s="1"/>
  <c r="T11" i="39"/>
  <c r="W11" i="39" s="1"/>
  <c r="T13" i="39"/>
  <c r="F8" i="36" l="1"/>
  <c r="T8" i="36"/>
  <c r="Y8" i="36"/>
  <c r="C8" i="36"/>
  <c r="R8" i="36"/>
  <c r="W8" i="36"/>
  <c r="K8" i="36"/>
  <c r="E9" i="36"/>
  <c r="H8" i="36"/>
  <c r="H9" i="36"/>
  <c r="N8" i="36"/>
  <c r="I8" i="36"/>
  <c r="L8" i="36"/>
  <c r="M8" i="36"/>
  <c r="V8" i="36"/>
  <c r="Y9" i="36"/>
  <c r="U9" i="36"/>
  <c r="U8" i="36"/>
  <c r="X8" i="36"/>
  <c r="G9" i="36"/>
  <c r="I9" i="36"/>
  <c r="D8" i="36"/>
  <c r="O8" i="36"/>
  <c r="M9" i="36"/>
  <c r="P8" i="36"/>
  <c r="J8" i="36"/>
  <c r="G8" i="36"/>
  <c r="Z10" i="35"/>
  <c r="P9" i="36" s="1"/>
  <c r="B12" i="35"/>
  <c r="I11" i="35"/>
  <c r="U11" i="35"/>
  <c r="J11" i="35"/>
  <c r="V11" i="35"/>
  <c r="L11" i="35"/>
  <c r="M11" i="35"/>
  <c r="F11" i="35"/>
  <c r="X11" i="35"/>
  <c r="K11" i="35"/>
  <c r="G11" i="35"/>
  <c r="Y11" i="35"/>
  <c r="H11" i="35"/>
  <c r="W11" i="35"/>
  <c r="D11" i="35"/>
  <c r="N11" i="35"/>
  <c r="C11" i="35"/>
  <c r="E11" i="35"/>
  <c r="O11" i="35"/>
  <c r="Q11" i="35"/>
  <c r="R11" i="35"/>
  <c r="S11" i="35"/>
  <c r="T11" i="35"/>
  <c r="P11" i="35"/>
  <c r="B14" i="41"/>
  <c r="W13" i="39"/>
  <c r="D9" i="36" l="1"/>
  <c r="F9" i="36"/>
  <c r="J9" i="36"/>
  <c r="S9" i="36"/>
  <c r="V9" i="36"/>
  <c r="L10" i="36"/>
  <c r="D10" i="36"/>
  <c r="I10" i="36"/>
  <c r="P10" i="36"/>
  <c r="G10" i="36"/>
  <c r="T9" i="36"/>
  <c r="Q9" i="36"/>
  <c r="W9" i="36"/>
  <c r="R10" i="36"/>
  <c r="F10" i="36"/>
  <c r="N9" i="36"/>
  <c r="N10" i="36"/>
  <c r="U10" i="36"/>
  <c r="H10" i="36"/>
  <c r="Y10" i="36"/>
  <c r="T10" i="36"/>
  <c r="X10" i="36"/>
  <c r="C9" i="36"/>
  <c r="K9" i="36"/>
  <c r="R9" i="36"/>
  <c r="Q10" i="36"/>
  <c r="L9" i="36"/>
  <c r="O10" i="36"/>
  <c r="M10" i="36"/>
  <c r="X9" i="36"/>
  <c r="E10" i="36"/>
  <c r="C10" i="36"/>
  <c r="O9" i="36"/>
  <c r="Z11" i="35"/>
  <c r="J10" i="36" s="1"/>
  <c r="B13" i="35"/>
  <c r="J12" i="35"/>
  <c r="V12" i="35"/>
  <c r="K12" i="35"/>
  <c r="W12" i="35"/>
  <c r="C12" i="35"/>
  <c r="Q12" i="35"/>
  <c r="D12" i="35"/>
  <c r="R12" i="35"/>
  <c r="S12" i="35"/>
  <c r="X12" i="35"/>
  <c r="T12" i="35"/>
  <c r="E12" i="35"/>
  <c r="U12" i="35"/>
  <c r="F12" i="35"/>
  <c r="I12" i="35"/>
  <c r="M12" i="35"/>
  <c r="G12" i="35"/>
  <c r="L12" i="35"/>
  <c r="N12" i="35"/>
  <c r="H12" i="35"/>
  <c r="O12" i="35"/>
  <c r="P12" i="35"/>
  <c r="Y12" i="35"/>
  <c r="B15" i="41"/>
  <c r="T11" i="36" l="1"/>
  <c r="H11" i="36"/>
  <c r="Q11" i="36"/>
  <c r="M11" i="36"/>
  <c r="I11" i="36"/>
  <c r="W10" i="36"/>
  <c r="J11" i="36"/>
  <c r="Y11" i="36"/>
  <c r="P11" i="36"/>
  <c r="O11" i="36"/>
  <c r="S11" i="36"/>
  <c r="V10" i="36"/>
  <c r="K10" i="36"/>
  <c r="S10" i="36"/>
  <c r="Z12" i="35"/>
  <c r="R11" i="36" s="1"/>
  <c r="B14" i="35"/>
  <c r="K13" i="35"/>
  <c r="W13" i="35"/>
  <c r="L13" i="35"/>
  <c r="X13" i="35"/>
  <c r="H13" i="35"/>
  <c r="V13" i="35"/>
  <c r="I13" i="35"/>
  <c r="Y13" i="35"/>
  <c r="N13" i="35"/>
  <c r="O13" i="35"/>
  <c r="P13" i="35"/>
  <c r="E13" i="35"/>
  <c r="J13" i="35"/>
  <c r="Q13" i="35"/>
  <c r="F13" i="35"/>
  <c r="M13" i="35"/>
  <c r="G13" i="35"/>
  <c r="R13" i="35"/>
  <c r="T13" i="35"/>
  <c r="U13" i="35"/>
  <c r="C13" i="35"/>
  <c r="D13" i="35"/>
  <c r="S13" i="35"/>
  <c r="B16" i="41"/>
  <c r="C11" i="36" l="1"/>
  <c r="E11" i="36"/>
  <c r="N11" i="36"/>
  <c r="K11" i="36"/>
  <c r="W11" i="36"/>
  <c r="X11" i="36"/>
  <c r="G11" i="36"/>
  <c r="U11" i="36"/>
  <c r="D11" i="36"/>
  <c r="L11" i="36"/>
  <c r="V11" i="36"/>
  <c r="F11" i="36"/>
  <c r="Z13" i="35"/>
  <c r="V12" i="36" s="1"/>
  <c r="B15" i="35"/>
  <c r="L14" i="35"/>
  <c r="X14" i="35"/>
  <c r="M14" i="35"/>
  <c r="Y14" i="35"/>
  <c r="O14" i="35"/>
  <c r="P14" i="35"/>
  <c r="G14" i="35"/>
  <c r="W14" i="35"/>
  <c r="H14" i="35"/>
  <c r="I14" i="35"/>
  <c r="E14" i="35"/>
  <c r="K14" i="35"/>
  <c r="Q14" i="35"/>
  <c r="F14" i="35"/>
  <c r="R14" i="35"/>
  <c r="J14" i="35"/>
  <c r="N14" i="35"/>
  <c r="T14" i="35"/>
  <c r="U14" i="35"/>
  <c r="C14" i="35"/>
  <c r="D14" i="35"/>
  <c r="S14" i="35"/>
  <c r="V14" i="35"/>
  <c r="B17" i="41"/>
  <c r="S12" i="36" l="1"/>
  <c r="R12" i="36"/>
  <c r="J12" i="36"/>
  <c r="U12" i="36"/>
  <c r="Q12" i="36"/>
  <c r="H12" i="36"/>
  <c r="L12" i="36"/>
  <c r="D12" i="36"/>
  <c r="W12" i="36"/>
  <c r="C12" i="36"/>
  <c r="G12" i="36"/>
  <c r="M12" i="36"/>
  <c r="X12" i="36"/>
  <c r="Y12" i="36"/>
  <c r="E12" i="36"/>
  <c r="N12" i="36"/>
  <c r="F12" i="36"/>
  <c r="T12" i="36"/>
  <c r="K12" i="36"/>
  <c r="O12" i="36"/>
  <c r="I12" i="36"/>
  <c r="P12" i="36"/>
  <c r="Z14" i="35"/>
  <c r="C13" i="36" s="1"/>
  <c r="B16" i="35"/>
  <c r="M15" i="35"/>
  <c r="Y15" i="35"/>
  <c r="N15" i="35"/>
  <c r="F15" i="35"/>
  <c r="T15" i="35"/>
  <c r="G15" i="35"/>
  <c r="U15" i="35"/>
  <c r="R15" i="35"/>
  <c r="C15" i="35"/>
  <c r="S15" i="35"/>
  <c r="D15" i="35"/>
  <c r="V15" i="35"/>
  <c r="H15" i="35"/>
  <c r="K15" i="35"/>
  <c r="O15" i="35"/>
  <c r="I15" i="35"/>
  <c r="L15" i="35"/>
  <c r="J15" i="35"/>
  <c r="P15" i="35"/>
  <c r="W15" i="35"/>
  <c r="E15" i="35"/>
  <c r="Q15" i="35"/>
  <c r="X15" i="35"/>
  <c r="B18" i="41"/>
  <c r="Q4" i="22"/>
  <c r="Q2" i="22"/>
  <c r="AQ4" i="22"/>
  <c r="AQ2" i="22"/>
  <c r="U13" i="36" l="1"/>
  <c r="K13" i="36"/>
  <c r="D13" i="36"/>
  <c r="S13" i="36"/>
  <c r="W13" i="36"/>
  <c r="J13" i="36"/>
  <c r="W14" i="36"/>
  <c r="M13" i="36"/>
  <c r="P13" i="36"/>
  <c r="G13" i="36"/>
  <c r="H13" i="36"/>
  <c r="P14" i="36"/>
  <c r="V13" i="36"/>
  <c r="Y13" i="36"/>
  <c r="L13" i="36"/>
  <c r="X13" i="36"/>
  <c r="T13" i="36"/>
  <c r="O13" i="36"/>
  <c r="N13" i="36"/>
  <c r="Q14" i="36"/>
  <c r="Q13" i="36"/>
  <c r="I13" i="36"/>
  <c r="E13" i="36"/>
  <c r="R13" i="36"/>
  <c r="F13" i="36"/>
  <c r="Z15" i="35"/>
  <c r="J14" i="36" s="1"/>
  <c r="B17" i="35"/>
  <c r="N16" i="35"/>
  <c r="C16" i="35"/>
  <c r="O16" i="35"/>
  <c r="K16" i="35"/>
  <c r="Y16" i="35"/>
  <c r="L16" i="35"/>
  <c r="M16" i="35"/>
  <c r="P16" i="35"/>
  <c r="Q16" i="35"/>
  <c r="F16" i="35"/>
  <c r="R16" i="35"/>
  <c r="G16" i="35"/>
  <c r="S16" i="35"/>
  <c r="H16" i="35"/>
  <c r="I16" i="35"/>
  <c r="J16" i="35"/>
  <c r="D16" i="35"/>
  <c r="T16" i="35"/>
  <c r="V16" i="35"/>
  <c r="E16" i="35"/>
  <c r="U16" i="35"/>
  <c r="W16" i="35"/>
  <c r="X16" i="35"/>
  <c r="B19" i="41"/>
  <c r="V14" i="36" l="1"/>
  <c r="E15" i="36"/>
  <c r="P15" i="36"/>
  <c r="Y14" i="36"/>
  <c r="M14" i="36"/>
  <c r="S15" i="36"/>
  <c r="X14" i="36"/>
  <c r="J15" i="36"/>
  <c r="K15" i="36"/>
  <c r="O14" i="36"/>
  <c r="I14" i="36"/>
  <c r="R14" i="36"/>
  <c r="S14" i="36"/>
  <c r="W15" i="36"/>
  <c r="D14" i="36"/>
  <c r="H14" i="36"/>
  <c r="V15" i="36"/>
  <c r="M15" i="36"/>
  <c r="K14" i="36"/>
  <c r="T15" i="36"/>
  <c r="T14" i="36"/>
  <c r="Y15" i="36"/>
  <c r="N14" i="36"/>
  <c r="F14" i="36"/>
  <c r="I15" i="36"/>
  <c r="O15" i="36"/>
  <c r="L14" i="36"/>
  <c r="C14" i="36"/>
  <c r="R15" i="36"/>
  <c r="E14" i="36"/>
  <c r="U14" i="36"/>
  <c r="G14" i="36"/>
  <c r="Z16" i="35"/>
  <c r="N15" i="36" s="1"/>
  <c r="B18" i="35"/>
  <c r="C17" i="35"/>
  <c r="O17" i="35"/>
  <c r="D17" i="35"/>
  <c r="P17" i="35"/>
  <c r="R17" i="35"/>
  <c r="E17" i="35"/>
  <c r="S17" i="35"/>
  <c r="H17" i="35"/>
  <c r="X17" i="35"/>
  <c r="I17" i="35"/>
  <c r="Y17" i="35"/>
  <c r="J17" i="35"/>
  <c r="F17" i="35"/>
  <c r="N17" i="35"/>
  <c r="G17" i="35"/>
  <c r="L17" i="35"/>
  <c r="M17" i="35"/>
  <c r="K17" i="35"/>
  <c r="Q17" i="35"/>
  <c r="T17" i="35"/>
  <c r="U17" i="35"/>
  <c r="V17" i="35"/>
  <c r="W17" i="35"/>
  <c r="B20" i="41"/>
  <c r="U15" i="36" l="1"/>
  <c r="U16" i="36"/>
  <c r="T16" i="36"/>
  <c r="H15" i="36"/>
  <c r="F15" i="36"/>
  <c r="H16" i="36"/>
  <c r="C15" i="36"/>
  <c r="D15" i="36"/>
  <c r="G15" i="36"/>
  <c r="Q15" i="36"/>
  <c r="L15" i="36"/>
  <c r="X15" i="36"/>
  <c r="Z17" i="35"/>
  <c r="M16" i="36" s="1"/>
  <c r="B19" i="35"/>
  <c r="D18" i="35"/>
  <c r="P18" i="35"/>
  <c r="E18" i="35"/>
  <c r="Q18" i="35"/>
  <c r="I18" i="35"/>
  <c r="W18" i="35"/>
  <c r="J18" i="35"/>
  <c r="X18" i="35"/>
  <c r="S18" i="35"/>
  <c r="T18" i="35"/>
  <c r="C18" i="35"/>
  <c r="U18" i="35"/>
  <c r="G18" i="35"/>
  <c r="L18" i="35"/>
  <c r="H18" i="35"/>
  <c r="N18" i="35"/>
  <c r="O18" i="35"/>
  <c r="K18" i="35"/>
  <c r="M18" i="35"/>
  <c r="R18" i="35"/>
  <c r="Y18" i="35"/>
  <c r="F18" i="35"/>
  <c r="V18" i="35"/>
  <c r="B21" i="41"/>
  <c r="R16" i="36" l="1"/>
  <c r="J16" i="36"/>
  <c r="N16" i="36"/>
  <c r="O16" i="36"/>
  <c r="P16" i="36"/>
  <c r="X17" i="36"/>
  <c r="M17" i="36"/>
  <c r="K17" i="36"/>
  <c r="W17" i="36"/>
  <c r="E16" i="36"/>
  <c r="W16" i="36"/>
  <c r="I16" i="36"/>
  <c r="C16" i="36"/>
  <c r="R17" i="36"/>
  <c r="G16" i="36"/>
  <c r="J17" i="36"/>
  <c r="L16" i="36"/>
  <c r="Y16" i="36"/>
  <c r="K16" i="36"/>
  <c r="F16" i="36"/>
  <c r="V17" i="36"/>
  <c r="Q17" i="36"/>
  <c r="S16" i="36"/>
  <c r="D16" i="36"/>
  <c r="L17" i="36"/>
  <c r="X16" i="36"/>
  <c r="V16" i="36"/>
  <c r="Q16" i="36"/>
  <c r="Z18" i="35"/>
  <c r="D17" i="36" s="1"/>
  <c r="B20" i="35"/>
  <c r="E19" i="35"/>
  <c r="Q19" i="35"/>
  <c r="F19" i="35"/>
  <c r="R19" i="35"/>
  <c r="N19" i="35"/>
  <c r="O19" i="35"/>
  <c r="L19" i="35"/>
  <c r="M19" i="35"/>
  <c r="P19" i="35"/>
  <c r="G19" i="35"/>
  <c r="J19" i="35"/>
  <c r="H19" i="35"/>
  <c r="K19" i="35"/>
  <c r="I19" i="35"/>
  <c r="S19" i="35"/>
  <c r="T19" i="35"/>
  <c r="C19" i="35"/>
  <c r="U19" i="35"/>
  <c r="V19" i="35"/>
  <c r="D19" i="35"/>
  <c r="W19" i="35"/>
  <c r="X19" i="35"/>
  <c r="Y19" i="35"/>
  <c r="B22" i="41"/>
  <c r="Y17" i="36" l="1"/>
  <c r="S17" i="36"/>
  <c r="R18" i="36"/>
  <c r="I18" i="36"/>
  <c r="H18" i="36"/>
  <c r="X18" i="36"/>
  <c r="W18" i="36"/>
  <c r="G17" i="36"/>
  <c r="D18" i="36"/>
  <c r="N17" i="36"/>
  <c r="P17" i="36"/>
  <c r="T17" i="36"/>
  <c r="F18" i="36"/>
  <c r="E18" i="36"/>
  <c r="Y18" i="36"/>
  <c r="P18" i="36"/>
  <c r="M18" i="36"/>
  <c r="H17" i="36"/>
  <c r="U17" i="36"/>
  <c r="F17" i="36"/>
  <c r="I17" i="36"/>
  <c r="C17" i="36"/>
  <c r="T18" i="36"/>
  <c r="Q18" i="36"/>
  <c r="G18" i="36"/>
  <c r="E17" i="36"/>
  <c r="C18" i="36"/>
  <c r="N18" i="36"/>
  <c r="O17" i="36"/>
  <c r="Z19" i="35"/>
  <c r="S18" i="36" s="1"/>
  <c r="B21" i="35"/>
  <c r="F20" i="35"/>
  <c r="R20" i="35"/>
  <c r="G20" i="35"/>
  <c r="S20" i="35"/>
  <c r="E20" i="35"/>
  <c r="U20" i="35"/>
  <c r="H20" i="35"/>
  <c r="V20" i="35"/>
  <c r="I20" i="35"/>
  <c r="Y20" i="35"/>
  <c r="J20" i="35"/>
  <c r="K20" i="35"/>
  <c r="C20" i="35"/>
  <c r="O20" i="35"/>
  <c r="D20" i="35"/>
  <c r="P20" i="35"/>
  <c r="L20" i="35"/>
  <c r="M20" i="35"/>
  <c r="N20" i="35"/>
  <c r="W20" i="35"/>
  <c r="Q20" i="35"/>
  <c r="X20" i="35"/>
  <c r="T20" i="35"/>
  <c r="B23" i="41"/>
  <c r="G19" i="36" l="1"/>
  <c r="O19" i="36"/>
  <c r="C19" i="36"/>
  <c r="F19" i="36"/>
  <c r="J18" i="36"/>
  <c r="O18" i="36"/>
  <c r="L18" i="36"/>
  <c r="K18" i="36"/>
  <c r="X19" i="36"/>
  <c r="V19" i="36"/>
  <c r="M19" i="36"/>
  <c r="U18" i="36"/>
  <c r="V18" i="36"/>
  <c r="Z20" i="35"/>
  <c r="R19" i="36" s="1"/>
  <c r="B22" i="35"/>
  <c r="G21" i="35"/>
  <c r="S21" i="35"/>
  <c r="H21" i="35"/>
  <c r="T21" i="35"/>
  <c r="L21" i="35"/>
  <c r="M21" i="35"/>
  <c r="R21" i="35"/>
  <c r="C21" i="35"/>
  <c r="U21" i="35"/>
  <c r="D21" i="35"/>
  <c r="V21" i="35"/>
  <c r="F21" i="35"/>
  <c r="K21" i="35"/>
  <c r="I21" i="35"/>
  <c r="N21" i="35"/>
  <c r="J21" i="35"/>
  <c r="O21" i="35"/>
  <c r="P21" i="35"/>
  <c r="W21" i="35"/>
  <c r="E21" i="35"/>
  <c r="Q21" i="35"/>
  <c r="X21" i="35"/>
  <c r="Y21" i="35"/>
  <c r="B24" i="41"/>
  <c r="F20" i="36" l="1"/>
  <c r="S19" i="36"/>
  <c r="L20" i="36"/>
  <c r="N20" i="36"/>
  <c r="I20" i="36"/>
  <c r="K19" i="36"/>
  <c r="L19" i="36"/>
  <c r="E20" i="36"/>
  <c r="J20" i="36"/>
  <c r="S20" i="36"/>
  <c r="Y20" i="36"/>
  <c r="Q20" i="36"/>
  <c r="E19" i="36"/>
  <c r="N19" i="36"/>
  <c r="W20" i="36"/>
  <c r="R20" i="36"/>
  <c r="T19" i="36"/>
  <c r="I19" i="36"/>
  <c r="Q19" i="36"/>
  <c r="O20" i="36"/>
  <c r="T20" i="36"/>
  <c r="H20" i="36"/>
  <c r="V20" i="36"/>
  <c r="D19" i="36"/>
  <c r="U19" i="36"/>
  <c r="U20" i="36"/>
  <c r="C20" i="36"/>
  <c r="J19" i="36"/>
  <c r="H19" i="36"/>
  <c r="W19" i="36"/>
  <c r="P20" i="36"/>
  <c r="M20" i="36"/>
  <c r="P19" i="36"/>
  <c r="Y19" i="36"/>
  <c r="Z21" i="35"/>
  <c r="G20" i="36" s="1"/>
  <c r="B23" i="35"/>
  <c r="H22" i="35"/>
  <c r="T22" i="35"/>
  <c r="I22" i="35"/>
  <c r="U22" i="35"/>
  <c r="C22" i="35"/>
  <c r="Q22" i="35"/>
  <c r="D22" i="35"/>
  <c r="R22" i="35"/>
  <c r="M22" i="35"/>
  <c r="N22" i="35"/>
  <c r="O22" i="35"/>
  <c r="F22" i="35"/>
  <c r="G22" i="35"/>
  <c r="K22" i="35"/>
  <c r="P22" i="35"/>
  <c r="S22" i="35"/>
  <c r="J22" i="35"/>
  <c r="L22" i="35"/>
  <c r="V22" i="35"/>
  <c r="W22" i="35"/>
  <c r="X22" i="35"/>
  <c r="E22" i="35"/>
  <c r="Y22" i="35"/>
  <c r="B25" i="41"/>
  <c r="I21" i="36" l="1"/>
  <c r="T21" i="36"/>
  <c r="H21" i="36"/>
  <c r="V21" i="36"/>
  <c r="Q21" i="36"/>
  <c r="C21" i="36"/>
  <c r="U21" i="36"/>
  <c r="K21" i="36"/>
  <c r="G21" i="36"/>
  <c r="D20" i="36"/>
  <c r="W21" i="36"/>
  <c r="D21" i="36"/>
  <c r="J21" i="36"/>
  <c r="P21" i="36"/>
  <c r="E21" i="36"/>
  <c r="N21" i="36"/>
  <c r="X21" i="36"/>
  <c r="M21" i="36"/>
  <c r="K20" i="36"/>
  <c r="X20" i="36"/>
  <c r="Z22" i="35"/>
  <c r="R21" i="36" s="1"/>
  <c r="B24" i="35"/>
  <c r="I23" i="35"/>
  <c r="U23" i="35"/>
  <c r="J23" i="35"/>
  <c r="V23" i="35"/>
  <c r="H23" i="35"/>
  <c r="X23" i="35"/>
  <c r="K23" i="35"/>
  <c r="Y23" i="35"/>
  <c r="F23" i="35"/>
  <c r="G23" i="35"/>
  <c r="L23" i="35"/>
  <c r="D23" i="35"/>
  <c r="E23" i="35"/>
  <c r="N23" i="35"/>
  <c r="O23" i="35"/>
  <c r="M23" i="35"/>
  <c r="P23" i="35"/>
  <c r="Q23" i="35"/>
  <c r="C23" i="35"/>
  <c r="S23" i="35"/>
  <c r="T23" i="35"/>
  <c r="R23" i="35"/>
  <c r="W23" i="35"/>
  <c r="B26" i="41"/>
  <c r="S22" i="36" l="1"/>
  <c r="X22" i="36"/>
  <c r="C22" i="36"/>
  <c r="H22" i="36"/>
  <c r="J22" i="36"/>
  <c r="I22" i="36"/>
  <c r="L22" i="36"/>
  <c r="O21" i="36"/>
  <c r="S21" i="36"/>
  <c r="Y22" i="36"/>
  <c r="Q22" i="36"/>
  <c r="G22" i="36"/>
  <c r="Y21" i="36"/>
  <c r="L21" i="36"/>
  <c r="K22" i="36"/>
  <c r="P22" i="36"/>
  <c r="O22" i="36"/>
  <c r="E22" i="36"/>
  <c r="W22" i="36"/>
  <c r="T22" i="36"/>
  <c r="F21" i="36"/>
  <c r="Z23" i="35"/>
  <c r="V22" i="36" s="1"/>
  <c r="B25" i="35"/>
  <c r="J24" i="35"/>
  <c r="V24" i="35"/>
  <c r="K24" i="35"/>
  <c r="W24" i="35"/>
  <c r="O24" i="35"/>
  <c r="P24" i="35"/>
  <c r="C24" i="35"/>
  <c r="S24" i="35"/>
  <c r="T24" i="35"/>
  <c r="D24" i="35"/>
  <c r="E24" i="35"/>
  <c r="U24" i="35"/>
  <c r="G24" i="35"/>
  <c r="H24" i="35"/>
  <c r="M24" i="35"/>
  <c r="N24" i="35"/>
  <c r="Q24" i="35"/>
  <c r="I24" i="35"/>
  <c r="L24" i="35"/>
  <c r="F24" i="35"/>
  <c r="R24" i="35"/>
  <c r="X24" i="35"/>
  <c r="Y24" i="35"/>
  <c r="B27" i="41"/>
  <c r="Q23" i="36" l="1"/>
  <c r="N22" i="36"/>
  <c r="O23" i="36"/>
  <c r="N23" i="36"/>
  <c r="M23" i="36"/>
  <c r="H23" i="36"/>
  <c r="G23" i="36"/>
  <c r="R22" i="36"/>
  <c r="D22" i="36"/>
  <c r="U22" i="36"/>
  <c r="T23" i="36"/>
  <c r="F22" i="36"/>
  <c r="M22" i="36"/>
  <c r="P23" i="36"/>
  <c r="S23" i="36"/>
  <c r="Z24" i="35"/>
  <c r="W23" i="36" s="1"/>
  <c r="B26" i="35"/>
  <c r="K25" i="35"/>
  <c r="W25" i="35"/>
  <c r="L25" i="35"/>
  <c r="X25" i="35"/>
  <c r="F25" i="35"/>
  <c r="T25" i="35"/>
  <c r="G25" i="35"/>
  <c r="U25" i="35"/>
  <c r="N25" i="35"/>
  <c r="O25" i="35"/>
  <c r="P25" i="35"/>
  <c r="E25" i="35"/>
  <c r="J25" i="35"/>
  <c r="H25" i="35"/>
  <c r="I25" i="35"/>
  <c r="M25" i="35"/>
  <c r="Q25" i="35"/>
  <c r="R25" i="35"/>
  <c r="V25" i="35"/>
  <c r="S25" i="35"/>
  <c r="Y25" i="35"/>
  <c r="D25" i="35"/>
  <c r="C25" i="35"/>
  <c r="B28" i="41"/>
  <c r="L24" i="36" l="1"/>
  <c r="K24" i="36"/>
  <c r="R23" i="36"/>
  <c r="E24" i="36"/>
  <c r="D23" i="36"/>
  <c r="Q24" i="36"/>
  <c r="X24" i="36"/>
  <c r="W24" i="36"/>
  <c r="P24" i="36"/>
  <c r="D24" i="36"/>
  <c r="L23" i="36"/>
  <c r="V23" i="36"/>
  <c r="S24" i="36"/>
  <c r="U24" i="36"/>
  <c r="F23" i="36"/>
  <c r="E23" i="36"/>
  <c r="K23" i="36"/>
  <c r="R24" i="36"/>
  <c r="M24" i="36"/>
  <c r="I24" i="36"/>
  <c r="H24" i="36"/>
  <c r="X23" i="36"/>
  <c r="Y23" i="36"/>
  <c r="O24" i="36"/>
  <c r="C23" i="36"/>
  <c r="J23" i="36"/>
  <c r="Y24" i="36"/>
  <c r="V24" i="36"/>
  <c r="G24" i="36"/>
  <c r="I23" i="36"/>
  <c r="U23" i="36"/>
  <c r="T24" i="36"/>
  <c r="Z25" i="35"/>
  <c r="F24" i="36" s="1"/>
  <c r="B27" i="35"/>
  <c r="L26" i="35"/>
  <c r="X26" i="35"/>
  <c r="M26" i="35"/>
  <c r="Y26" i="35"/>
  <c r="K26" i="35"/>
  <c r="N26" i="35"/>
  <c r="G26" i="35"/>
  <c r="W26" i="35"/>
  <c r="H26" i="35"/>
  <c r="I26" i="35"/>
  <c r="E26" i="35"/>
  <c r="F26" i="35"/>
  <c r="P26" i="35"/>
  <c r="Q26" i="35"/>
  <c r="R26" i="35"/>
  <c r="J26" i="35"/>
  <c r="O26" i="35"/>
  <c r="S26" i="35"/>
  <c r="C26" i="35"/>
  <c r="D26" i="35"/>
  <c r="T26" i="35"/>
  <c r="U26" i="35"/>
  <c r="V26" i="35"/>
  <c r="B29" i="41"/>
  <c r="T25" i="36" l="1"/>
  <c r="W25" i="36"/>
  <c r="S25" i="36"/>
  <c r="K25" i="36"/>
  <c r="Y25" i="36"/>
  <c r="M25" i="36"/>
  <c r="Q25" i="36"/>
  <c r="X25" i="36"/>
  <c r="P25" i="36"/>
  <c r="L25" i="36"/>
  <c r="J24" i="36"/>
  <c r="I25" i="36"/>
  <c r="D25" i="36"/>
  <c r="U25" i="36"/>
  <c r="H25" i="36"/>
  <c r="G25" i="36"/>
  <c r="N25" i="36"/>
  <c r="J25" i="36"/>
  <c r="R25" i="36"/>
  <c r="F25" i="36"/>
  <c r="V25" i="36"/>
  <c r="E25" i="36"/>
  <c r="C24" i="36"/>
  <c r="N24" i="36"/>
  <c r="Z26" i="35"/>
  <c r="C25" i="36" s="1"/>
  <c r="B28" i="35"/>
  <c r="M27" i="35"/>
  <c r="Y27" i="35"/>
  <c r="N27" i="35"/>
  <c r="D27" i="35"/>
  <c r="R27" i="35"/>
  <c r="E27" i="35"/>
  <c r="S27" i="35"/>
  <c r="T27" i="35"/>
  <c r="C27" i="35"/>
  <c r="U27" i="35"/>
  <c r="F27" i="35"/>
  <c r="V27" i="35"/>
  <c r="H27" i="35"/>
  <c r="I27" i="35"/>
  <c r="K27" i="35"/>
  <c r="J27" i="35"/>
  <c r="L27" i="35"/>
  <c r="O27" i="35"/>
  <c r="P27" i="35"/>
  <c r="W27" i="35"/>
  <c r="G27" i="35"/>
  <c r="Q27" i="35"/>
  <c r="X27" i="35"/>
  <c r="B30" i="41"/>
  <c r="R26" i="36" l="1"/>
  <c r="D26" i="36"/>
  <c r="O25" i="36"/>
  <c r="G26" i="36"/>
  <c r="C26" i="36"/>
  <c r="Z27" i="35"/>
  <c r="W26" i="36" s="1"/>
  <c r="B29" i="35"/>
  <c r="N28" i="35"/>
  <c r="C28" i="35"/>
  <c r="O28" i="35"/>
  <c r="I28" i="35"/>
  <c r="W28" i="35"/>
  <c r="J28" i="35"/>
  <c r="X28" i="35"/>
  <c r="M28" i="35"/>
  <c r="P28" i="35"/>
  <c r="Q28" i="35"/>
  <c r="F28" i="35"/>
  <c r="K28" i="35"/>
  <c r="G28" i="35"/>
  <c r="L28" i="35"/>
  <c r="R28" i="35"/>
  <c r="S28" i="35"/>
  <c r="H28" i="35"/>
  <c r="D28" i="35"/>
  <c r="T28" i="35"/>
  <c r="U28" i="35"/>
  <c r="V28" i="35"/>
  <c r="E28" i="35"/>
  <c r="Y28" i="35"/>
  <c r="B31" i="41"/>
  <c r="Q26" i="36" l="1"/>
  <c r="V26" i="36"/>
  <c r="W27" i="36"/>
  <c r="E26" i="36"/>
  <c r="H26" i="36"/>
  <c r="E27" i="36"/>
  <c r="P27" i="36"/>
  <c r="U27" i="36"/>
  <c r="U26" i="36"/>
  <c r="T26" i="36"/>
  <c r="I26" i="36"/>
  <c r="K26" i="36"/>
  <c r="L27" i="36"/>
  <c r="X26" i="36"/>
  <c r="G27" i="36"/>
  <c r="N27" i="36"/>
  <c r="M26" i="36"/>
  <c r="L26" i="36"/>
  <c r="P26" i="36"/>
  <c r="O26" i="36"/>
  <c r="I27" i="36"/>
  <c r="R27" i="36"/>
  <c r="F26" i="36"/>
  <c r="C27" i="36"/>
  <c r="J26" i="36"/>
  <c r="K27" i="36"/>
  <c r="Y26" i="36"/>
  <c r="S26" i="36"/>
  <c r="N26" i="36"/>
  <c r="Z28" i="35"/>
  <c r="V27" i="36" s="1"/>
  <c r="B30" i="35"/>
  <c r="C29" i="35"/>
  <c r="O29" i="35"/>
  <c r="D29" i="35"/>
  <c r="P29" i="35"/>
  <c r="N29" i="35"/>
  <c r="Q29" i="35"/>
  <c r="H29" i="35"/>
  <c r="X29" i="35"/>
  <c r="I29" i="35"/>
  <c r="Y29" i="35"/>
  <c r="J29" i="35"/>
  <c r="F29" i="35"/>
  <c r="G29" i="35"/>
  <c r="K29" i="35"/>
  <c r="L29" i="35"/>
  <c r="M29" i="35"/>
  <c r="R29" i="35"/>
  <c r="S29" i="35"/>
  <c r="E29" i="35"/>
  <c r="T29" i="35"/>
  <c r="W29" i="35"/>
  <c r="U29" i="35"/>
  <c r="V29" i="35"/>
  <c r="B32" i="41"/>
  <c r="D27" i="36" l="1"/>
  <c r="H27" i="36"/>
  <c r="F27" i="36"/>
  <c r="S27" i="36"/>
  <c r="O27" i="36"/>
  <c r="Y27" i="36"/>
  <c r="M27" i="36"/>
  <c r="J27" i="36"/>
  <c r="Q27" i="36"/>
  <c r="T27" i="36"/>
  <c r="X27" i="36"/>
  <c r="Z29" i="35"/>
  <c r="P28" i="36" s="1"/>
  <c r="B31" i="35"/>
  <c r="D30" i="35"/>
  <c r="P30" i="35"/>
  <c r="E30" i="35"/>
  <c r="Q30" i="35"/>
  <c r="G30" i="35"/>
  <c r="U30" i="35"/>
  <c r="H30" i="35"/>
  <c r="V30" i="35"/>
  <c r="S30" i="35"/>
  <c r="T30" i="35"/>
  <c r="C30" i="35"/>
  <c r="W30" i="35"/>
  <c r="I30" i="35"/>
  <c r="J30" i="35"/>
  <c r="L30" i="35"/>
  <c r="N30" i="35"/>
  <c r="O30" i="35"/>
  <c r="K30" i="35"/>
  <c r="M30" i="35"/>
  <c r="R30" i="35"/>
  <c r="X30" i="35"/>
  <c r="Y30" i="35"/>
  <c r="F30" i="35"/>
  <c r="B33" i="41"/>
  <c r="R28" i="36" l="1"/>
  <c r="X28" i="36"/>
  <c r="S28" i="36"/>
  <c r="T28" i="36"/>
  <c r="I28" i="36"/>
  <c r="H29" i="36"/>
  <c r="L28" i="36"/>
  <c r="W28" i="36"/>
  <c r="Y28" i="36"/>
  <c r="M28" i="36"/>
  <c r="Q28" i="36"/>
  <c r="H28" i="36"/>
  <c r="J28" i="36"/>
  <c r="V28" i="36"/>
  <c r="E29" i="36"/>
  <c r="E28" i="36"/>
  <c r="F28" i="36"/>
  <c r="C28" i="36"/>
  <c r="U28" i="36"/>
  <c r="N29" i="36"/>
  <c r="D28" i="36"/>
  <c r="G28" i="36"/>
  <c r="O28" i="36"/>
  <c r="N28" i="36"/>
  <c r="K28" i="36"/>
  <c r="Z30" i="35"/>
  <c r="X29" i="36" s="1"/>
  <c r="B32" i="35"/>
  <c r="E31" i="35"/>
  <c r="Q31" i="35"/>
  <c r="F31" i="35"/>
  <c r="R31" i="35"/>
  <c r="L31" i="35"/>
  <c r="M31" i="35"/>
  <c r="N31" i="35"/>
  <c r="O31" i="35"/>
  <c r="P31" i="35"/>
  <c r="G31" i="35"/>
  <c r="H31" i="35"/>
  <c r="K31" i="35"/>
  <c r="I31" i="35"/>
  <c r="J31" i="35"/>
  <c r="S31" i="35"/>
  <c r="T31" i="35"/>
  <c r="U31" i="35"/>
  <c r="W31" i="35"/>
  <c r="C31" i="35"/>
  <c r="D31" i="35"/>
  <c r="V31" i="35"/>
  <c r="X31" i="35"/>
  <c r="Y31" i="35"/>
  <c r="B34" i="41"/>
  <c r="J30" i="36" l="1"/>
  <c r="P29" i="36"/>
  <c r="L29" i="36"/>
  <c r="F29" i="36"/>
  <c r="I30" i="36"/>
  <c r="J29" i="36"/>
  <c r="S30" i="36"/>
  <c r="K30" i="36"/>
  <c r="O29" i="36"/>
  <c r="X30" i="36"/>
  <c r="O30" i="36"/>
  <c r="D29" i="36"/>
  <c r="T29" i="36"/>
  <c r="U29" i="36"/>
  <c r="N30" i="36"/>
  <c r="V29" i="36"/>
  <c r="C29" i="36"/>
  <c r="S29" i="36"/>
  <c r="R29" i="36"/>
  <c r="L30" i="36"/>
  <c r="Y29" i="36"/>
  <c r="F30" i="36"/>
  <c r="M29" i="36"/>
  <c r="G30" i="36"/>
  <c r="Q29" i="36"/>
  <c r="P30" i="36"/>
  <c r="K29" i="36"/>
  <c r="G29" i="36"/>
  <c r="D30" i="36"/>
  <c r="C30" i="36"/>
  <c r="I29" i="36"/>
  <c r="W29" i="36"/>
  <c r="U30" i="36"/>
  <c r="T30" i="36"/>
  <c r="R30" i="36"/>
  <c r="Z31" i="35"/>
  <c r="Q30" i="36" s="1"/>
  <c r="B33" i="35"/>
  <c r="F32" i="35"/>
  <c r="R32" i="35"/>
  <c r="G32" i="35"/>
  <c r="S32" i="35"/>
  <c r="C32" i="35"/>
  <c r="Q32" i="35"/>
  <c r="D32" i="35"/>
  <c r="T32" i="35"/>
  <c r="I32" i="35"/>
  <c r="Y32" i="35"/>
  <c r="J32" i="35"/>
  <c r="K32" i="35"/>
  <c r="E32" i="35"/>
  <c r="M32" i="35"/>
  <c r="N32" i="35"/>
  <c r="H32" i="35"/>
  <c r="O32" i="35"/>
  <c r="P32" i="35"/>
  <c r="L32" i="35"/>
  <c r="W32" i="35"/>
  <c r="U32" i="35"/>
  <c r="X32" i="35"/>
  <c r="V32" i="35"/>
  <c r="B35" i="41"/>
  <c r="E31" i="36" l="1"/>
  <c r="V30" i="36"/>
  <c r="M30" i="36"/>
  <c r="E30" i="36"/>
  <c r="G31" i="36"/>
  <c r="R31" i="36"/>
  <c r="X31" i="36"/>
  <c r="I31" i="36"/>
  <c r="D31" i="36"/>
  <c r="W30" i="36"/>
  <c r="H30" i="36"/>
  <c r="F31" i="36"/>
  <c r="Y31" i="36"/>
  <c r="U31" i="36"/>
  <c r="T31" i="36"/>
  <c r="L31" i="36"/>
  <c r="P31" i="36"/>
  <c r="Y30" i="36"/>
  <c r="Z32" i="35"/>
  <c r="N31" i="36" s="1"/>
  <c r="B34" i="35"/>
  <c r="G33" i="35"/>
  <c r="S33" i="35"/>
  <c r="H33" i="35"/>
  <c r="T33" i="35"/>
  <c r="J33" i="35"/>
  <c r="X33" i="35"/>
  <c r="K33" i="35"/>
  <c r="Y33" i="35"/>
  <c r="R33" i="35"/>
  <c r="U33" i="35"/>
  <c r="C33" i="35"/>
  <c r="D33" i="35"/>
  <c r="V33" i="35"/>
  <c r="F33" i="35"/>
  <c r="I33" i="35"/>
  <c r="M33" i="35"/>
  <c r="L33" i="35"/>
  <c r="N33" i="35"/>
  <c r="O33" i="35"/>
  <c r="P33" i="35"/>
  <c r="E33" i="35"/>
  <c r="Q33" i="35"/>
  <c r="W33" i="35"/>
  <c r="B36" i="41"/>
  <c r="M31" i="36" l="1"/>
  <c r="C31" i="36"/>
  <c r="S31" i="36"/>
  <c r="J31" i="36"/>
  <c r="O31" i="36"/>
  <c r="V31" i="36"/>
  <c r="Y32" i="36"/>
  <c r="H31" i="36"/>
  <c r="K31" i="36"/>
  <c r="Q31" i="36"/>
  <c r="W31" i="36"/>
  <c r="Z33" i="35"/>
  <c r="J32" i="36" s="1"/>
  <c r="B35" i="35"/>
  <c r="H34" i="35"/>
  <c r="T34" i="35"/>
  <c r="I34" i="35"/>
  <c r="U34" i="35"/>
  <c r="O34" i="35"/>
  <c r="P34" i="35"/>
  <c r="M34" i="35"/>
  <c r="N34" i="35"/>
  <c r="Q34" i="35"/>
  <c r="F34" i="35"/>
  <c r="G34" i="35"/>
  <c r="L34" i="35"/>
  <c r="R34" i="35"/>
  <c r="S34" i="35"/>
  <c r="J34" i="35"/>
  <c r="K34" i="35"/>
  <c r="C34" i="35"/>
  <c r="D34" i="35"/>
  <c r="X34" i="35"/>
  <c r="Y34" i="35"/>
  <c r="V34" i="35"/>
  <c r="E34" i="35"/>
  <c r="W34" i="35"/>
  <c r="B37" i="41"/>
  <c r="L33" i="36" l="1"/>
  <c r="P32" i="36"/>
  <c r="X32" i="36"/>
  <c r="S32" i="36"/>
  <c r="F33" i="36"/>
  <c r="Q33" i="36"/>
  <c r="V32" i="36"/>
  <c r="Q32" i="36"/>
  <c r="X33" i="36"/>
  <c r="N32" i="36"/>
  <c r="I32" i="36"/>
  <c r="C32" i="36"/>
  <c r="K32" i="36"/>
  <c r="M32" i="36"/>
  <c r="W32" i="36"/>
  <c r="C33" i="36"/>
  <c r="O33" i="36"/>
  <c r="O32" i="36"/>
  <c r="G32" i="36"/>
  <c r="T32" i="36"/>
  <c r="F32" i="36"/>
  <c r="D32" i="36"/>
  <c r="U32" i="36"/>
  <c r="Y33" i="36"/>
  <c r="J33" i="36"/>
  <c r="I33" i="36"/>
  <c r="L32" i="36"/>
  <c r="R32" i="36"/>
  <c r="H32" i="36"/>
  <c r="E32" i="36"/>
  <c r="Z34" i="35"/>
  <c r="V33" i="36" s="1"/>
  <c r="B36" i="35"/>
  <c r="I35" i="35"/>
  <c r="U35" i="35"/>
  <c r="J35" i="35"/>
  <c r="V35" i="35"/>
  <c r="F35" i="35"/>
  <c r="T35" i="35"/>
  <c r="G35" i="35"/>
  <c r="W35" i="35"/>
  <c r="H35" i="35"/>
  <c r="K35" i="35"/>
  <c r="L35" i="35"/>
  <c r="D35" i="35"/>
  <c r="N35" i="35"/>
  <c r="E35" i="35"/>
  <c r="P35" i="35"/>
  <c r="M35" i="35"/>
  <c r="O35" i="35"/>
  <c r="Q35" i="35"/>
  <c r="C35" i="35"/>
  <c r="X35" i="35"/>
  <c r="Y35" i="35"/>
  <c r="R35" i="35"/>
  <c r="S35" i="35"/>
  <c r="B38" i="41"/>
  <c r="P34" i="36" l="1"/>
  <c r="E34" i="36"/>
  <c r="I34" i="36"/>
  <c r="S34" i="36"/>
  <c r="E33" i="36"/>
  <c r="G33" i="36"/>
  <c r="K34" i="36"/>
  <c r="Y34" i="36"/>
  <c r="D33" i="36"/>
  <c r="X34" i="36"/>
  <c r="C34" i="36"/>
  <c r="U33" i="36"/>
  <c r="N33" i="36"/>
  <c r="V34" i="36"/>
  <c r="J34" i="36"/>
  <c r="U34" i="36"/>
  <c r="N34" i="36"/>
  <c r="D34" i="36"/>
  <c r="L34" i="36"/>
  <c r="R34" i="36"/>
  <c r="W33" i="36"/>
  <c r="H33" i="36"/>
  <c r="T33" i="36"/>
  <c r="R33" i="36"/>
  <c r="P33" i="36"/>
  <c r="W34" i="36"/>
  <c r="S33" i="36"/>
  <c r="G34" i="36"/>
  <c r="Q34" i="36"/>
  <c r="O34" i="36"/>
  <c r="F34" i="36"/>
  <c r="K33" i="36"/>
  <c r="M33" i="36"/>
  <c r="Z35" i="35"/>
  <c r="M34" i="36" s="1"/>
  <c r="B37" i="35"/>
  <c r="J36" i="35"/>
  <c r="V36" i="35"/>
  <c r="K36" i="35"/>
  <c r="W36" i="35"/>
  <c r="M36" i="35"/>
  <c r="N36" i="35"/>
  <c r="C36" i="35"/>
  <c r="S36" i="35"/>
  <c r="T36" i="35"/>
  <c r="D36" i="35"/>
  <c r="E36" i="35"/>
  <c r="U36" i="35"/>
  <c r="G36" i="35"/>
  <c r="H36" i="35"/>
  <c r="L36" i="35"/>
  <c r="O36" i="35"/>
  <c r="Q36" i="35"/>
  <c r="I36" i="35"/>
  <c r="P36" i="35"/>
  <c r="F36" i="35"/>
  <c r="R36" i="35"/>
  <c r="X36" i="35"/>
  <c r="Y36" i="35"/>
  <c r="B39" i="41"/>
  <c r="T35" i="36" l="1"/>
  <c r="X35" i="36"/>
  <c r="F35" i="36"/>
  <c r="C35" i="36"/>
  <c r="M35" i="36"/>
  <c r="O35" i="36"/>
  <c r="L35" i="36"/>
  <c r="G35" i="36"/>
  <c r="J35" i="36"/>
  <c r="R35" i="36"/>
  <c r="P35" i="36"/>
  <c r="D35" i="36"/>
  <c r="S35" i="36"/>
  <c r="I35" i="36"/>
  <c r="W35" i="36"/>
  <c r="K35" i="36"/>
  <c r="U35" i="36"/>
  <c r="Y35" i="36"/>
  <c r="E35" i="36"/>
  <c r="H34" i="36"/>
  <c r="T34" i="36"/>
  <c r="Z36" i="35"/>
  <c r="N35" i="36" s="1"/>
  <c r="B38" i="35"/>
  <c r="K37" i="35"/>
  <c r="W37" i="35"/>
  <c r="L37" i="35"/>
  <c r="X37" i="35"/>
  <c r="D37" i="35"/>
  <c r="R37" i="35"/>
  <c r="E37" i="35"/>
  <c r="S37" i="35"/>
  <c r="N37" i="35"/>
  <c r="O37" i="35"/>
  <c r="P37" i="35"/>
  <c r="G37" i="35"/>
  <c r="H37" i="35"/>
  <c r="M37" i="35"/>
  <c r="Q37" i="35"/>
  <c r="I37" i="35"/>
  <c r="J37" i="35"/>
  <c r="T37" i="35"/>
  <c r="V37" i="35"/>
  <c r="Y37" i="35"/>
  <c r="C37" i="35"/>
  <c r="F37" i="35"/>
  <c r="U37" i="35"/>
  <c r="B40" i="41"/>
  <c r="C36" i="36" l="1"/>
  <c r="I36" i="36"/>
  <c r="X36" i="36"/>
  <c r="Y36" i="36"/>
  <c r="R36" i="36"/>
  <c r="Q36" i="36"/>
  <c r="M36" i="36"/>
  <c r="H36" i="36"/>
  <c r="K36" i="36"/>
  <c r="G36" i="36"/>
  <c r="H35" i="36"/>
  <c r="V35" i="36"/>
  <c r="N36" i="36"/>
  <c r="S36" i="36"/>
  <c r="T36" i="36"/>
  <c r="J36" i="36"/>
  <c r="L36" i="36"/>
  <c r="W36" i="36"/>
  <c r="U36" i="36"/>
  <c r="P36" i="36"/>
  <c r="Q35" i="36"/>
  <c r="F36" i="36"/>
  <c r="Z37" i="35"/>
  <c r="V36" i="36" s="1"/>
  <c r="B39" i="35"/>
  <c r="L38" i="35"/>
  <c r="X38" i="35"/>
  <c r="M38" i="35"/>
  <c r="Y38" i="35"/>
  <c r="I38" i="35"/>
  <c r="W38" i="35"/>
  <c r="J38" i="35"/>
  <c r="G38" i="35"/>
  <c r="H38" i="35"/>
  <c r="K38" i="35"/>
  <c r="E38" i="35"/>
  <c r="O38" i="35"/>
  <c r="F38" i="35"/>
  <c r="R38" i="35"/>
  <c r="N38" i="35"/>
  <c r="P38" i="35"/>
  <c r="Q38" i="35"/>
  <c r="U38" i="35"/>
  <c r="V38" i="35"/>
  <c r="C38" i="35"/>
  <c r="D38" i="35"/>
  <c r="S38" i="35"/>
  <c r="T38" i="35"/>
  <c r="B41" i="41"/>
  <c r="C37" i="36" l="1"/>
  <c r="N37" i="36"/>
  <c r="M37" i="36"/>
  <c r="E36" i="36"/>
  <c r="V37" i="36"/>
  <c r="W37" i="36"/>
  <c r="I37" i="36"/>
  <c r="X37" i="36"/>
  <c r="L37" i="36"/>
  <c r="T37" i="36"/>
  <c r="D36" i="36"/>
  <c r="G37" i="36"/>
  <c r="J37" i="36"/>
  <c r="Q37" i="36"/>
  <c r="R37" i="36"/>
  <c r="F37" i="36"/>
  <c r="O37" i="36"/>
  <c r="S37" i="36"/>
  <c r="K37" i="36"/>
  <c r="O36" i="36"/>
  <c r="Z38" i="35"/>
  <c r="U37" i="36" s="1"/>
  <c r="B40" i="35"/>
  <c r="M39" i="35"/>
  <c r="Y39" i="35"/>
  <c r="N39" i="35"/>
  <c r="P39" i="35"/>
  <c r="C39" i="35"/>
  <c r="Q39" i="35"/>
  <c r="D39" i="35"/>
  <c r="T39" i="35"/>
  <c r="U39" i="35"/>
  <c r="E39" i="35"/>
  <c r="F39" i="35"/>
  <c r="V39" i="35"/>
  <c r="H39" i="35"/>
  <c r="I39" i="35"/>
  <c r="L39" i="35"/>
  <c r="O39" i="35"/>
  <c r="J39" i="35"/>
  <c r="K39" i="35"/>
  <c r="R39" i="35"/>
  <c r="W39" i="35"/>
  <c r="G39" i="35"/>
  <c r="S39" i="35"/>
  <c r="X39" i="35"/>
  <c r="B42" i="41"/>
  <c r="L38" i="36" l="1"/>
  <c r="N38" i="36"/>
  <c r="P37" i="36"/>
  <c r="D37" i="36"/>
  <c r="R38" i="36"/>
  <c r="Q38" i="36"/>
  <c r="C38" i="36"/>
  <c r="P38" i="36"/>
  <c r="I38" i="36"/>
  <c r="M38" i="36"/>
  <c r="F38" i="36"/>
  <c r="Y37" i="36"/>
  <c r="D38" i="36"/>
  <c r="Y38" i="36"/>
  <c r="H38" i="36"/>
  <c r="V38" i="36"/>
  <c r="X38" i="36"/>
  <c r="S38" i="36"/>
  <c r="E38" i="36"/>
  <c r="H37" i="36"/>
  <c r="E37" i="36"/>
  <c r="T38" i="36"/>
  <c r="Z39" i="35"/>
  <c r="K38" i="36" s="1"/>
  <c r="B41" i="35"/>
  <c r="N40" i="35"/>
  <c r="C40" i="35"/>
  <c r="O40" i="35"/>
  <c r="G40" i="35"/>
  <c r="U40" i="35"/>
  <c r="H40" i="35"/>
  <c r="V40" i="35"/>
  <c r="M40" i="35"/>
  <c r="P40" i="35"/>
  <c r="Q40" i="35"/>
  <c r="F40" i="35"/>
  <c r="S40" i="35"/>
  <c r="I40" i="35"/>
  <c r="K40" i="35"/>
  <c r="J40" i="35"/>
  <c r="L40" i="35"/>
  <c r="R40" i="35"/>
  <c r="D40" i="35"/>
  <c r="T40" i="35"/>
  <c r="W40" i="35"/>
  <c r="X40" i="35"/>
  <c r="Y40" i="35"/>
  <c r="E40" i="35"/>
  <c r="B43" i="41"/>
  <c r="M39" i="36" l="1"/>
  <c r="N39" i="36"/>
  <c r="O38" i="36"/>
  <c r="W38" i="36"/>
  <c r="V39" i="36"/>
  <c r="R39" i="36"/>
  <c r="G39" i="36"/>
  <c r="O39" i="36"/>
  <c r="I39" i="36"/>
  <c r="Q39" i="36"/>
  <c r="U38" i="36"/>
  <c r="J38" i="36"/>
  <c r="W39" i="36"/>
  <c r="T39" i="36"/>
  <c r="H39" i="36"/>
  <c r="L39" i="36"/>
  <c r="K39" i="36"/>
  <c r="G38" i="36"/>
  <c r="Z40" i="35"/>
  <c r="D39" i="36" s="1"/>
  <c r="B42" i="35"/>
  <c r="C41" i="35"/>
  <c r="O41" i="35"/>
  <c r="D41" i="35"/>
  <c r="P41" i="35"/>
  <c r="L41" i="35"/>
  <c r="M41" i="35"/>
  <c r="H41" i="35"/>
  <c r="X41" i="35"/>
  <c r="I41" i="35"/>
  <c r="Y41" i="35"/>
  <c r="J41" i="35"/>
  <c r="F41" i="35"/>
  <c r="G41" i="35"/>
  <c r="Q41" i="35"/>
  <c r="R41" i="35"/>
  <c r="S41" i="35"/>
  <c r="K41" i="35"/>
  <c r="N41" i="35"/>
  <c r="E41" i="35"/>
  <c r="T41" i="35"/>
  <c r="V41" i="35"/>
  <c r="W41" i="35"/>
  <c r="U41" i="35"/>
  <c r="B44" i="41"/>
  <c r="Y39" i="36" l="1"/>
  <c r="C39" i="36"/>
  <c r="F39" i="36"/>
  <c r="J39" i="36"/>
  <c r="M40" i="36"/>
  <c r="P40" i="36"/>
  <c r="P39" i="36"/>
  <c r="E39" i="36"/>
  <c r="U39" i="36"/>
  <c r="N40" i="36"/>
  <c r="L40" i="36"/>
  <c r="X39" i="36"/>
  <c r="S39" i="36"/>
  <c r="Z41" i="35"/>
  <c r="E40" i="36" s="1"/>
  <c r="B43" i="35"/>
  <c r="D42" i="35"/>
  <c r="P42" i="35"/>
  <c r="E42" i="35"/>
  <c r="C42" i="35"/>
  <c r="R42" i="35"/>
  <c r="F42" i="35"/>
  <c r="S42" i="35"/>
  <c r="T42" i="35"/>
  <c r="U42" i="35"/>
  <c r="G42" i="35"/>
  <c r="V42" i="35"/>
  <c r="I42" i="35"/>
  <c r="L42" i="35"/>
  <c r="J42" i="35"/>
  <c r="K42" i="35"/>
  <c r="M42" i="35"/>
  <c r="N42" i="35"/>
  <c r="O42" i="35"/>
  <c r="Q42" i="35"/>
  <c r="H42" i="35"/>
  <c r="W42" i="35"/>
  <c r="X42" i="35"/>
  <c r="Y42" i="35"/>
  <c r="B45" i="41"/>
  <c r="I40" i="36" l="1"/>
  <c r="H41" i="36"/>
  <c r="S41" i="36"/>
  <c r="X40" i="36"/>
  <c r="Y40" i="36"/>
  <c r="Q40" i="36"/>
  <c r="N41" i="36"/>
  <c r="W40" i="36"/>
  <c r="G40" i="36"/>
  <c r="S40" i="36"/>
  <c r="W41" i="36"/>
  <c r="Q41" i="36"/>
  <c r="O41" i="36"/>
  <c r="M41" i="36"/>
  <c r="C41" i="36"/>
  <c r="J40" i="36"/>
  <c r="O40" i="36"/>
  <c r="K40" i="36"/>
  <c r="H40" i="36"/>
  <c r="T41" i="36"/>
  <c r="V40" i="36"/>
  <c r="F40" i="36"/>
  <c r="F41" i="36"/>
  <c r="T40" i="36"/>
  <c r="U40" i="36"/>
  <c r="R40" i="36"/>
  <c r="C40" i="36"/>
  <c r="D40" i="36"/>
  <c r="Z42" i="35"/>
  <c r="P41" i="36" s="1"/>
  <c r="B44" i="35"/>
  <c r="E43" i="35"/>
  <c r="Q43" i="35"/>
  <c r="H43" i="35"/>
  <c r="U43" i="35"/>
  <c r="I43" i="35"/>
  <c r="V43" i="35"/>
  <c r="L43" i="35"/>
  <c r="M43" i="35"/>
  <c r="N43" i="35"/>
  <c r="D43" i="35"/>
  <c r="Y43" i="35"/>
  <c r="F43" i="35"/>
  <c r="K43" i="35"/>
  <c r="O43" i="35"/>
  <c r="P43" i="35"/>
  <c r="G43" i="35"/>
  <c r="J43" i="35"/>
  <c r="S43" i="35"/>
  <c r="T43" i="35"/>
  <c r="C43" i="35"/>
  <c r="R43" i="35"/>
  <c r="W43" i="35"/>
  <c r="X43" i="35"/>
  <c r="B46" i="41"/>
  <c r="E41" i="36" l="1"/>
  <c r="L41" i="36"/>
  <c r="U41" i="36"/>
  <c r="V41" i="36"/>
  <c r="I41" i="36"/>
  <c r="X41" i="36"/>
  <c r="D41" i="36"/>
  <c r="J41" i="36"/>
  <c r="K41" i="36"/>
  <c r="G41" i="36"/>
  <c r="Y41" i="36"/>
  <c r="R41" i="36"/>
  <c r="Z43" i="35"/>
  <c r="H42" i="36" s="1"/>
  <c r="B45" i="35"/>
  <c r="F44" i="35"/>
  <c r="R44" i="35"/>
  <c r="K44" i="35"/>
  <c r="X44" i="35"/>
  <c r="L44" i="35"/>
  <c r="Y44" i="35"/>
  <c r="D44" i="35"/>
  <c r="T44" i="35"/>
  <c r="E44" i="35"/>
  <c r="U44" i="35"/>
  <c r="G44" i="35"/>
  <c r="V44" i="35"/>
  <c r="C44" i="35"/>
  <c r="H44" i="35"/>
  <c r="I44" i="35"/>
  <c r="J44" i="35"/>
  <c r="M44" i="35"/>
  <c r="N44" i="35"/>
  <c r="Q44" i="35"/>
  <c r="W44" i="35"/>
  <c r="S44" i="35"/>
  <c r="P44" i="35"/>
  <c r="O44" i="35"/>
  <c r="B47" i="41"/>
  <c r="V42" i="36" l="1"/>
  <c r="N42" i="36"/>
  <c r="W42" i="36"/>
  <c r="S42" i="36"/>
  <c r="T42" i="36"/>
  <c r="C42" i="36"/>
  <c r="D42" i="36"/>
  <c r="X42" i="36"/>
  <c r="K42" i="36"/>
  <c r="O42" i="36"/>
  <c r="E42" i="36"/>
  <c r="G42" i="36"/>
  <c r="E43" i="36"/>
  <c r="L42" i="36"/>
  <c r="M42" i="36"/>
  <c r="R42" i="36"/>
  <c r="Y42" i="36"/>
  <c r="F42" i="36"/>
  <c r="Q42" i="36"/>
  <c r="U42" i="36"/>
  <c r="P42" i="36"/>
  <c r="J42" i="36"/>
  <c r="I42" i="36"/>
  <c r="Z44" i="35"/>
  <c r="U43" i="36" s="1"/>
  <c r="B46" i="35"/>
  <c r="G45" i="35"/>
  <c r="S45" i="35"/>
  <c r="N45" i="35"/>
  <c r="O45" i="35"/>
  <c r="L45" i="35"/>
  <c r="M45" i="35"/>
  <c r="P45" i="35"/>
  <c r="C45" i="35"/>
  <c r="V45" i="35"/>
  <c r="Y45" i="35"/>
  <c r="H45" i="35"/>
  <c r="D45" i="35"/>
  <c r="W45" i="35"/>
  <c r="I45" i="35"/>
  <c r="J45" i="35"/>
  <c r="E45" i="35"/>
  <c r="X45" i="35"/>
  <c r="F45" i="35"/>
  <c r="K45" i="35"/>
  <c r="R45" i="35"/>
  <c r="Q45" i="35"/>
  <c r="T45" i="35"/>
  <c r="U45" i="35"/>
  <c r="B48" i="41"/>
  <c r="F43" i="36" l="1"/>
  <c r="V43" i="36"/>
  <c r="H43" i="36"/>
  <c r="G43" i="36"/>
  <c r="P44" i="36"/>
  <c r="I43" i="36"/>
  <c r="X43" i="36"/>
  <c r="M43" i="36"/>
  <c r="K43" i="36"/>
  <c r="W43" i="36"/>
  <c r="Y43" i="36"/>
  <c r="Y44" i="36"/>
  <c r="T43" i="36"/>
  <c r="Q44" i="36"/>
  <c r="R43" i="36"/>
  <c r="S43" i="36"/>
  <c r="C43" i="36"/>
  <c r="J43" i="36"/>
  <c r="O44" i="36"/>
  <c r="P43" i="36"/>
  <c r="D43" i="36"/>
  <c r="Q43" i="36"/>
  <c r="O43" i="36"/>
  <c r="L43" i="36"/>
  <c r="N43" i="36"/>
  <c r="Z45" i="35"/>
  <c r="W44" i="36" s="1"/>
  <c r="B47" i="35"/>
  <c r="H46" i="35"/>
  <c r="T46" i="35"/>
  <c r="D46" i="35"/>
  <c r="Q46" i="35"/>
  <c r="E46" i="35"/>
  <c r="R46" i="35"/>
  <c r="F46" i="35"/>
  <c r="V46" i="35"/>
  <c r="G46" i="35"/>
  <c r="W46" i="35"/>
  <c r="I46" i="35"/>
  <c r="X46" i="35"/>
  <c r="S46" i="35"/>
  <c r="K46" i="35"/>
  <c r="U46" i="35"/>
  <c r="C46" i="35"/>
  <c r="Y46" i="35"/>
  <c r="J46" i="35"/>
  <c r="P46" i="35"/>
  <c r="N46" i="35"/>
  <c r="M46" i="35"/>
  <c r="L46" i="35"/>
  <c r="O46" i="35"/>
  <c r="B49" i="41"/>
  <c r="X44" i="36" l="1"/>
  <c r="G44" i="36"/>
  <c r="R44" i="36"/>
  <c r="S45" i="36"/>
  <c r="E44" i="36"/>
  <c r="U44" i="36"/>
  <c r="M45" i="36"/>
  <c r="G45" i="36"/>
  <c r="S44" i="36"/>
  <c r="I44" i="36"/>
  <c r="F44" i="36"/>
  <c r="V44" i="36"/>
  <c r="F45" i="36"/>
  <c r="K44" i="36"/>
  <c r="L44" i="36"/>
  <c r="T44" i="36"/>
  <c r="R45" i="36"/>
  <c r="J44" i="36"/>
  <c r="M44" i="36"/>
  <c r="D44" i="36"/>
  <c r="T45" i="36"/>
  <c r="X45" i="36"/>
  <c r="N45" i="36"/>
  <c r="P45" i="36"/>
  <c r="J45" i="36"/>
  <c r="E45" i="36"/>
  <c r="N44" i="36"/>
  <c r="C44" i="36"/>
  <c r="H44" i="36"/>
  <c r="Z46" i="35"/>
  <c r="K45" i="36" s="1"/>
  <c r="B48" i="35"/>
  <c r="I47" i="35"/>
  <c r="U47" i="35"/>
  <c r="G47" i="35"/>
  <c r="T47" i="35"/>
  <c r="H47" i="35"/>
  <c r="V47" i="35"/>
  <c r="N47" i="35"/>
  <c r="O47" i="35"/>
  <c r="P47" i="35"/>
  <c r="R47" i="35"/>
  <c r="S47" i="35"/>
  <c r="X47" i="35"/>
  <c r="E47" i="35"/>
  <c r="W47" i="35"/>
  <c r="C47" i="35"/>
  <c r="D47" i="35"/>
  <c r="Y47" i="35"/>
  <c r="F47" i="35"/>
  <c r="M47" i="35"/>
  <c r="J47" i="35"/>
  <c r="K47" i="35"/>
  <c r="L47" i="35"/>
  <c r="Q47" i="35"/>
  <c r="B50" i="41"/>
  <c r="V45" i="36" l="1"/>
  <c r="W45" i="36"/>
  <c r="R46" i="36"/>
  <c r="D45" i="36"/>
  <c r="U45" i="36"/>
  <c r="Q45" i="36"/>
  <c r="O45" i="36"/>
  <c r="L45" i="36"/>
  <c r="N46" i="36"/>
  <c r="C45" i="36"/>
  <c r="H45" i="36"/>
  <c r="I45" i="36"/>
  <c r="Y45" i="36"/>
  <c r="Z47" i="35"/>
  <c r="D46" i="36" s="1"/>
  <c r="B49" i="35"/>
  <c r="J48" i="35"/>
  <c r="V48" i="35"/>
  <c r="K48" i="35"/>
  <c r="X48" i="35"/>
  <c r="L48" i="35"/>
  <c r="Y48" i="35"/>
  <c r="F48" i="35"/>
  <c r="U48" i="35"/>
  <c r="W48" i="35"/>
  <c r="G48" i="35"/>
  <c r="H48" i="35"/>
  <c r="P48" i="35"/>
  <c r="Q48" i="35"/>
  <c r="D48" i="35"/>
  <c r="T48" i="35"/>
  <c r="R48" i="35"/>
  <c r="S48" i="35"/>
  <c r="C48" i="35"/>
  <c r="E48" i="35"/>
  <c r="I48" i="35"/>
  <c r="M48" i="35"/>
  <c r="O48" i="35"/>
  <c r="N48" i="35"/>
  <c r="B51" i="41"/>
  <c r="F46" i="36" l="1"/>
  <c r="H46" i="36"/>
  <c r="M46" i="36"/>
  <c r="P47" i="36"/>
  <c r="N47" i="36"/>
  <c r="G47" i="36"/>
  <c r="I47" i="36"/>
  <c r="Q46" i="36"/>
  <c r="L46" i="36"/>
  <c r="X46" i="36"/>
  <c r="E46" i="36"/>
  <c r="S46" i="36"/>
  <c r="W47" i="36"/>
  <c r="V46" i="36"/>
  <c r="Y46" i="36"/>
  <c r="C46" i="36"/>
  <c r="W46" i="36"/>
  <c r="O46" i="36"/>
  <c r="K46" i="36"/>
  <c r="T46" i="36"/>
  <c r="J46" i="36"/>
  <c r="D47" i="36"/>
  <c r="V47" i="36"/>
  <c r="P46" i="36"/>
  <c r="U46" i="36"/>
  <c r="G46" i="36"/>
  <c r="I46" i="36"/>
  <c r="Z48" i="35"/>
  <c r="H47" i="36" s="1"/>
  <c r="B50" i="35"/>
  <c r="M49" i="35"/>
  <c r="Y49" i="35"/>
  <c r="N49" i="35"/>
  <c r="O49" i="35"/>
  <c r="P49" i="35"/>
  <c r="C49" i="35"/>
  <c r="Q49" i="35"/>
  <c r="K49" i="35"/>
  <c r="V49" i="35"/>
  <c r="L49" i="35"/>
  <c r="T49" i="35"/>
  <c r="D49" i="35"/>
  <c r="E49" i="35"/>
  <c r="R49" i="35"/>
  <c r="S49" i="35"/>
  <c r="U49" i="35"/>
  <c r="G49" i="35"/>
  <c r="I49" i="35"/>
  <c r="J49" i="35"/>
  <c r="X49" i="35"/>
  <c r="F49" i="35"/>
  <c r="H49" i="35"/>
  <c r="W49" i="35"/>
  <c r="B52" i="41"/>
  <c r="Y48" i="36" l="1"/>
  <c r="D48" i="36"/>
  <c r="T48" i="36"/>
  <c r="L48" i="36"/>
  <c r="J47" i="36"/>
  <c r="F47" i="36"/>
  <c r="X48" i="36"/>
  <c r="Q48" i="36"/>
  <c r="L47" i="36"/>
  <c r="N48" i="36"/>
  <c r="W48" i="36"/>
  <c r="V48" i="36"/>
  <c r="Q47" i="36"/>
  <c r="K47" i="36"/>
  <c r="E47" i="36"/>
  <c r="K48" i="36"/>
  <c r="T47" i="36"/>
  <c r="J48" i="36"/>
  <c r="I48" i="36"/>
  <c r="C48" i="36"/>
  <c r="O47" i="36"/>
  <c r="S47" i="36"/>
  <c r="X47" i="36"/>
  <c r="U47" i="36"/>
  <c r="U48" i="36"/>
  <c r="R48" i="36"/>
  <c r="R47" i="36"/>
  <c r="F48" i="36"/>
  <c r="G48" i="36"/>
  <c r="P48" i="36"/>
  <c r="C47" i="36"/>
  <c r="M47" i="36"/>
  <c r="Y47" i="36"/>
  <c r="Z49" i="35"/>
  <c r="S48" i="36" s="1"/>
  <c r="B51" i="35"/>
  <c r="N50" i="35"/>
  <c r="C50" i="35"/>
  <c r="O50" i="35"/>
  <c r="F50" i="35"/>
  <c r="T50" i="35"/>
  <c r="G50" i="35"/>
  <c r="U50" i="35"/>
  <c r="H50" i="35"/>
  <c r="V50" i="35"/>
  <c r="J50" i="35"/>
  <c r="M50" i="35"/>
  <c r="K50" i="35"/>
  <c r="Q50" i="35"/>
  <c r="L50" i="35"/>
  <c r="P50" i="35"/>
  <c r="R50" i="35"/>
  <c r="Y50" i="35"/>
  <c r="E50" i="35"/>
  <c r="W50" i="35"/>
  <c r="D50" i="35"/>
  <c r="S50" i="35"/>
  <c r="X50" i="35"/>
  <c r="I50" i="35"/>
  <c r="B53" i="41"/>
  <c r="N49" i="36" l="1"/>
  <c r="W49" i="36"/>
  <c r="E49" i="36"/>
  <c r="Y49" i="36"/>
  <c r="F49" i="36"/>
  <c r="L49" i="36"/>
  <c r="Q49" i="36"/>
  <c r="K49" i="36"/>
  <c r="H48" i="36"/>
  <c r="M48" i="36"/>
  <c r="H49" i="36"/>
  <c r="G49" i="36"/>
  <c r="R49" i="36"/>
  <c r="O49" i="36"/>
  <c r="C49" i="36"/>
  <c r="X49" i="36"/>
  <c r="J49" i="36"/>
  <c r="S49" i="36"/>
  <c r="O48" i="36"/>
  <c r="E48" i="36"/>
  <c r="Z50" i="35"/>
  <c r="D49" i="36" s="1"/>
  <c r="B52" i="35"/>
  <c r="C51" i="35"/>
  <c r="O51" i="35"/>
  <c r="D51" i="35"/>
  <c r="P51" i="35"/>
  <c r="K51" i="35"/>
  <c r="Y51" i="35"/>
  <c r="L51" i="35"/>
  <c r="M51" i="35"/>
  <c r="F51" i="35"/>
  <c r="W51" i="35"/>
  <c r="X51" i="35"/>
  <c r="Q51" i="35"/>
  <c r="G51" i="35"/>
  <c r="J51" i="35"/>
  <c r="H51" i="35"/>
  <c r="I51" i="35"/>
  <c r="N51" i="35"/>
  <c r="T51" i="35"/>
  <c r="E51" i="35"/>
  <c r="R51" i="35"/>
  <c r="S51" i="35"/>
  <c r="U51" i="35"/>
  <c r="V51" i="35"/>
  <c r="B54" i="41"/>
  <c r="Q50" i="36" l="1"/>
  <c r="V50" i="36"/>
  <c r="P49" i="36"/>
  <c r="U50" i="36"/>
  <c r="W50" i="36"/>
  <c r="T49" i="36"/>
  <c r="X50" i="36"/>
  <c r="S50" i="36"/>
  <c r="F50" i="36"/>
  <c r="M49" i="36"/>
  <c r="U49" i="36"/>
  <c r="V49" i="36"/>
  <c r="I49" i="36"/>
  <c r="Z51" i="35"/>
  <c r="L50" i="36" s="1"/>
  <c r="B53" i="35"/>
  <c r="D52" i="35"/>
  <c r="P52" i="35"/>
  <c r="E52" i="35"/>
  <c r="Q52" i="35"/>
  <c r="R52" i="35"/>
  <c r="S52" i="35"/>
  <c r="C52" i="35"/>
  <c r="F52" i="35"/>
  <c r="T52" i="35"/>
  <c r="V52" i="35"/>
  <c r="H52" i="35"/>
  <c r="Y52" i="35"/>
  <c r="W52" i="35"/>
  <c r="J52" i="35"/>
  <c r="K52" i="35"/>
  <c r="G52" i="35"/>
  <c r="X52" i="35"/>
  <c r="I52" i="35"/>
  <c r="L52" i="35"/>
  <c r="M52" i="35"/>
  <c r="O52" i="35"/>
  <c r="N52" i="35"/>
  <c r="U52" i="35"/>
  <c r="B55" i="41"/>
  <c r="D51" i="36" l="1"/>
  <c r="U51" i="36"/>
  <c r="H51" i="36"/>
  <c r="V51" i="36"/>
  <c r="T51" i="36"/>
  <c r="K50" i="36"/>
  <c r="P50" i="36"/>
  <c r="F51" i="36"/>
  <c r="M50" i="36"/>
  <c r="T50" i="36"/>
  <c r="N50" i="36"/>
  <c r="K51" i="36"/>
  <c r="W51" i="36"/>
  <c r="O50" i="36"/>
  <c r="J50" i="36"/>
  <c r="I50" i="36"/>
  <c r="D50" i="36"/>
  <c r="M51" i="36"/>
  <c r="L51" i="36"/>
  <c r="C51" i="36"/>
  <c r="R50" i="36"/>
  <c r="E50" i="36"/>
  <c r="Y50" i="36"/>
  <c r="G51" i="36"/>
  <c r="E51" i="36"/>
  <c r="J51" i="36"/>
  <c r="Y51" i="36"/>
  <c r="C50" i="36"/>
  <c r="G50" i="36"/>
  <c r="N51" i="36"/>
  <c r="O51" i="36"/>
  <c r="I51" i="36"/>
  <c r="H50" i="36"/>
  <c r="Z52" i="35"/>
  <c r="R51" i="36" s="1"/>
  <c r="B54" i="35"/>
  <c r="E53" i="35"/>
  <c r="Q53" i="35"/>
  <c r="F53" i="35"/>
  <c r="R53" i="35"/>
  <c r="I53" i="35"/>
  <c r="W53" i="35"/>
  <c r="X53" i="35"/>
  <c r="J53" i="35"/>
  <c r="K53" i="35"/>
  <c r="Y53" i="35"/>
  <c r="P53" i="35"/>
  <c r="V53" i="35"/>
  <c r="S53" i="35"/>
  <c r="C53" i="35"/>
  <c r="T53" i="35"/>
  <c r="U53" i="35"/>
  <c r="D53" i="35"/>
  <c r="G53" i="35"/>
  <c r="H53" i="35"/>
  <c r="M53" i="35"/>
  <c r="N53" i="35"/>
  <c r="L53" i="35"/>
  <c r="O53" i="35"/>
  <c r="B56" i="41"/>
  <c r="T52" i="36" l="1"/>
  <c r="Q52" i="36"/>
  <c r="V52" i="36"/>
  <c r="P52" i="36"/>
  <c r="X51" i="36"/>
  <c r="P51" i="36"/>
  <c r="J52" i="36"/>
  <c r="Y52" i="36"/>
  <c r="Q51" i="36"/>
  <c r="X52" i="36"/>
  <c r="R52" i="36"/>
  <c r="C52" i="36"/>
  <c r="E52" i="36"/>
  <c r="O52" i="36"/>
  <c r="S51" i="36"/>
  <c r="Z53" i="35"/>
  <c r="M52" i="36" s="1"/>
  <c r="B55" i="35"/>
  <c r="F54" i="35"/>
  <c r="R54" i="35"/>
  <c r="G54" i="35"/>
  <c r="S54" i="35"/>
  <c r="N54" i="35"/>
  <c r="O54" i="35"/>
  <c r="P54" i="35"/>
  <c r="L54" i="35"/>
  <c r="D54" i="35"/>
  <c r="W54" i="35"/>
  <c r="M54" i="35"/>
  <c r="T54" i="35"/>
  <c r="C54" i="35"/>
  <c r="Q54" i="35"/>
  <c r="U54" i="35"/>
  <c r="V54" i="35"/>
  <c r="H54" i="35"/>
  <c r="X54" i="35"/>
  <c r="Y54" i="35"/>
  <c r="E54" i="35"/>
  <c r="I54" i="35"/>
  <c r="K54" i="35"/>
  <c r="J54" i="35"/>
  <c r="B57" i="41"/>
  <c r="S52" i="36" l="1"/>
  <c r="F52" i="36"/>
  <c r="W52" i="36"/>
  <c r="K52" i="36"/>
  <c r="I52" i="36"/>
  <c r="H52" i="36"/>
  <c r="L52" i="36"/>
  <c r="U52" i="36"/>
  <c r="D52" i="36"/>
  <c r="N52" i="36"/>
  <c r="G52" i="36"/>
  <c r="Z54" i="35"/>
  <c r="Y53" i="36" s="1"/>
  <c r="B56" i="35"/>
  <c r="G55" i="35"/>
  <c r="S55" i="35"/>
  <c r="H55" i="35"/>
  <c r="T55" i="35"/>
  <c r="E55" i="35"/>
  <c r="U55" i="35"/>
  <c r="F55" i="35"/>
  <c r="V55" i="35"/>
  <c r="I55" i="35"/>
  <c r="W55" i="35"/>
  <c r="K55" i="35"/>
  <c r="L55" i="35"/>
  <c r="N55" i="35"/>
  <c r="O55" i="35"/>
  <c r="Q55" i="35"/>
  <c r="M55" i="35"/>
  <c r="P55" i="35"/>
  <c r="C55" i="35"/>
  <c r="X55" i="35"/>
  <c r="Y55" i="35"/>
  <c r="D55" i="35"/>
  <c r="J55" i="35"/>
  <c r="R55" i="35"/>
  <c r="B58" i="41"/>
  <c r="H53" i="36" l="1"/>
  <c r="V53" i="36"/>
  <c r="X53" i="36"/>
  <c r="K53" i="36"/>
  <c r="L53" i="36"/>
  <c r="M53" i="36"/>
  <c r="I53" i="36"/>
  <c r="R53" i="36"/>
  <c r="S53" i="36"/>
  <c r="N53" i="36"/>
  <c r="T53" i="36"/>
  <c r="C53" i="36"/>
  <c r="O53" i="36"/>
  <c r="P53" i="36"/>
  <c r="W54" i="36"/>
  <c r="E53" i="36"/>
  <c r="D53" i="36"/>
  <c r="F53" i="36"/>
  <c r="J53" i="36"/>
  <c r="G53" i="36"/>
  <c r="W53" i="36"/>
  <c r="U53" i="36"/>
  <c r="Q53" i="36"/>
  <c r="Z55" i="35"/>
  <c r="L54" i="36" s="1"/>
  <c r="B57" i="35"/>
  <c r="H56" i="35"/>
  <c r="T56" i="35"/>
  <c r="K56" i="35"/>
  <c r="X56" i="35"/>
  <c r="L56" i="35"/>
  <c r="Y56" i="35"/>
  <c r="M56" i="35"/>
  <c r="E56" i="35"/>
  <c r="V56" i="35"/>
  <c r="W56" i="35"/>
  <c r="F56" i="35"/>
  <c r="N56" i="35"/>
  <c r="G56" i="35"/>
  <c r="I56" i="35"/>
  <c r="J56" i="35"/>
  <c r="O56" i="35"/>
  <c r="U56" i="35"/>
  <c r="C56" i="35"/>
  <c r="D56" i="35"/>
  <c r="P56" i="35"/>
  <c r="Q56" i="35"/>
  <c r="R56" i="35"/>
  <c r="S56" i="35"/>
  <c r="B59" i="41"/>
  <c r="J54" i="36" l="1"/>
  <c r="E54" i="36"/>
  <c r="N54" i="36"/>
  <c r="K54" i="36"/>
  <c r="H54" i="36"/>
  <c r="X54" i="36"/>
  <c r="V54" i="36"/>
  <c r="C54" i="36"/>
  <c r="O54" i="36"/>
  <c r="P54" i="36"/>
  <c r="I54" i="36"/>
  <c r="G54" i="36"/>
  <c r="S54" i="36"/>
  <c r="F54" i="36"/>
  <c r="T54" i="36"/>
  <c r="R54" i="36"/>
  <c r="Q54" i="36"/>
  <c r="Y54" i="36"/>
  <c r="M54" i="36"/>
  <c r="D54" i="36"/>
  <c r="U54" i="36"/>
  <c r="Z56" i="35"/>
  <c r="P55" i="36" s="1"/>
  <c r="B58" i="35"/>
  <c r="M57" i="35"/>
  <c r="Y57" i="35"/>
  <c r="N57" i="35"/>
  <c r="C57" i="35"/>
  <c r="O57" i="35"/>
  <c r="Q57" i="35"/>
  <c r="E57" i="35"/>
  <c r="H57" i="35"/>
  <c r="W57" i="35"/>
  <c r="R57" i="35"/>
  <c r="T57" i="35"/>
  <c r="F57" i="35"/>
  <c r="V57" i="35"/>
  <c r="D57" i="35"/>
  <c r="S57" i="35"/>
  <c r="U57" i="35"/>
  <c r="G57" i="35"/>
  <c r="J57" i="35"/>
  <c r="K57" i="35"/>
  <c r="X57" i="35"/>
  <c r="I57" i="35"/>
  <c r="L57" i="35"/>
  <c r="P57" i="35"/>
  <c r="B60" i="41"/>
  <c r="L55" i="36" l="1"/>
  <c r="D55" i="36"/>
  <c r="V55" i="36"/>
  <c r="M55" i="36"/>
  <c r="U55" i="36"/>
  <c r="Y55" i="36"/>
  <c r="C55" i="36"/>
  <c r="F55" i="36"/>
  <c r="J55" i="36"/>
  <c r="Q55" i="36"/>
  <c r="H55" i="36"/>
  <c r="O55" i="36"/>
  <c r="F56" i="36"/>
  <c r="T55" i="36"/>
  <c r="E55" i="36"/>
  <c r="W55" i="36"/>
  <c r="I55" i="36"/>
  <c r="G55" i="36"/>
  <c r="O56" i="36"/>
  <c r="N55" i="36"/>
  <c r="R55" i="36"/>
  <c r="K55" i="36"/>
  <c r="S55" i="36"/>
  <c r="X55" i="36"/>
  <c r="Z57" i="35"/>
  <c r="V56" i="36" s="1"/>
  <c r="B59" i="35"/>
  <c r="N58" i="35"/>
  <c r="O58" i="35"/>
  <c r="C58" i="35"/>
  <c r="D58" i="35"/>
  <c r="P58" i="35"/>
  <c r="I58" i="35"/>
  <c r="X58" i="35"/>
  <c r="J58" i="35"/>
  <c r="Y58" i="35"/>
  <c r="R58" i="35"/>
  <c r="K58" i="35"/>
  <c r="L58" i="35"/>
  <c r="M58" i="35"/>
  <c r="Q58" i="35"/>
  <c r="T58" i="35"/>
  <c r="W58" i="35"/>
  <c r="E58" i="35"/>
  <c r="G58" i="35"/>
  <c r="H58" i="35"/>
  <c r="U58" i="35"/>
  <c r="V58" i="35"/>
  <c r="S58" i="35"/>
  <c r="F58" i="35"/>
  <c r="B61" i="41"/>
  <c r="Y56" i="36" l="1"/>
  <c r="G56" i="36"/>
  <c r="J56" i="36"/>
  <c r="W56" i="36"/>
  <c r="H57" i="36"/>
  <c r="N56" i="36"/>
  <c r="I56" i="36"/>
  <c r="S56" i="36"/>
  <c r="X56" i="36"/>
  <c r="K56" i="36"/>
  <c r="R56" i="36"/>
  <c r="D56" i="36"/>
  <c r="U57" i="36"/>
  <c r="X57" i="36"/>
  <c r="I57" i="36"/>
  <c r="E56" i="36"/>
  <c r="C56" i="36"/>
  <c r="H56" i="36"/>
  <c r="M56" i="36"/>
  <c r="P56" i="36"/>
  <c r="F57" i="36"/>
  <c r="S57" i="36"/>
  <c r="Q56" i="36"/>
  <c r="U56" i="36"/>
  <c r="L56" i="36"/>
  <c r="T56" i="36"/>
  <c r="Z58" i="35"/>
  <c r="L57" i="36" s="1"/>
  <c r="B60" i="35"/>
  <c r="C59" i="35"/>
  <c r="O59" i="35"/>
  <c r="D59" i="35"/>
  <c r="Q59" i="35"/>
  <c r="P59" i="35"/>
  <c r="E59" i="35"/>
  <c r="S59" i="35"/>
  <c r="T59" i="35"/>
  <c r="G59" i="35"/>
  <c r="H59" i="35"/>
  <c r="Y59" i="35"/>
  <c r="V59" i="35"/>
  <c r="W59" i="35"/>
  <c r="I59" i="35"/>
  <c r="F59" i="35"/>
  <c r="U59" i="35"/>
  <c r="X59" i="35"/>
  <c r="K59" i="35"/>
  <c r="J59" i="35"/>
  <c r="L59" i="35"/>
  <c r="N59" i="35"/>
  <c r="M59" i="35"/>
  <c r="R59" i="35"/>
  <c r="B62" i="41"/>
  <c r="F58" i="36" l="1"/>
  <c r="I58" i="36"/>
  <c r="M58" i="36"/>
  <c r="N57" i="36"/>
  <c r="J57" i="36"/>
  <c r="T58" i="36"/>
  <c r="Y57" i="36"/>
  <c r="S58" i="36"/>
  <c r="D57" i="36"/>
  <c r="P57" i="36"/>
  <c r="K58" i="36"/>
  <c r="E58" i="36"/>
  <c r="W57" i="36"/>
  <c r="R57" i="36"/>
  <c r="D58" i="36"/>
  <c r="N58" i="36"/>
  <c r="X58" i="36"/>
  <c r="C57" i="36"/>
  <c r="E57" i="36"/>
  <c r="K57" i="36"/>
  <c r="O58" i="36"/>
  <c r="C58" i="36"/>
  <c r="V58" i="36"/>
  <c r="M57" i="36"/>
  <c r="V57" i="36"/>
  <c r="H58" i="36"/>
  <c r="G58" i="36"/>
  <c r="O57" i="36"/>
  <c r="L58" i="36"/>
  <c r="Q57" i="36"/>
  <c r="J58" i="36"/>
  <c r="P58" i="36"/>
  <c r="U58" i="36"/>
  <c r="Q58" i="36"/>
  <c r="T57" i="36"/>
  <c r="G57" i="36"/>
  <c r="Z59" i="35"/>
  <c r="W58" i="36" s="1"/>
  <c r="B61" i="35"/>
  <c r="D60" i="35"/>
  <c r="P60" i="35"/>
  <c r="E60" i="35"/>
  <c r="F60" i="35"/>
  <c r="Q60" i="35"/>
  <c r="R60" i="35"/>
  <c r="K60" i="35"/>
  <c r="T60" i="35"/>
  <c r="L60" i="35"/>
  <c r="S60" i="35"/>
  <c r="M60" i="35"/>
  <c r="N60" i="35"/>
  <c r="O60" i="35"/>
  <c r="H60" i="35"/>
  <c r="J60" i="35"/>
  <c r="V60" i="35"/>
  <c r="X60" i="35"/>
  <c r="G60" i="35"/>
  <c r="I60" i="35"/>
  <c r="U60" i="35"/>
  <c r="W60" i="35"/>
  <c r="Y60" i="35"/>
  <c r="C60" i="35"/>
  <c r="B63" i="41"/>
  <c r="B64" i="41" s="1"/>
  <c r="G59" i="36" l="1"/>
  <c r="X59" i="36"/>
  <c r="V59" i="36"/>
  <c r="P59" i="36"/>
  <c r="O59" i="36"/>
  <c r="M59" i="36"/>
  <c r="Y58" i="36"/>
  <c r="W59" i="36"/>
  <c r="Q59" i="36"/>
  <c r="F59" i="36"/>
  <c r="E59" i="36"/>
  <c r="D59" i="36"/>
  <c r="N59" i="36"/>
  <c r="C59" i="36"/>
  <c r="R58" i="36"/>
  <c r="Y59" i="36"/>
  <c r="Z60" i="35"/>
  <c r="L59" i="36" s="1"/>
  <c r="B62" i="35"/>
  <c r="E61" i="35"/>
  <c r="Q61" i="35"/>
  <c r="F61" i="35"/>
  <c r="R61" i="35"/>
  <c r="S61" i="35"/>
  <c r="G61" i="35"/>
  <c r="C61" i="35"/>
  <c r="U61" i="35"/>
  <c r="V61" i="35"/>
  <c r="I61" i="35"/>
  <c r="D61" i="35"/>
  <c r="X61" i="35"/>
  <c r="J61" i="35"/>
  <c r="H61" i="35"/>
  <c r="W61" i="35"/>
  <c r="Y61" i="35"/>
  <c r="K61" i="35"/>
  <c r="P61" i="35"/>
  <c r="T61" i="35"/>
  <c r="M61" i="35"/>
  <c r="O61" i="35"/>
  <c r="L61" i="35"/>
  <c r="N61" i="35"/>
  <c r="B2" i="38"/>
  <c r="E2" i="38"/>
  <c r="A3" i="38"/>
  <c r="D2" i="38"/>
  <c r="AD2" i="38" s="1"/>
  <c r="C2" i="38"/>
  <c r="H59" i="36" l="1"/>
  <c r="J59" i="36"/>
  <c r="G60" i="36"/>
  <c r="S60" i="36"/>
  <c r="W60" i="36"/>
  <c r="H60" i="36"/>
  <c r="R59" i="36"/>
  <c r="I59" i="36"/>
  <c r="K59" i="36"/>
  <c r="U59" i="36"/>
  <c r="T60" i="36"/>
  <c r="K60" i="36"/>
  <c r="F60" i="36"/>
  <c r="S59" i="36"/>
  <c r="T59" i="36"/>
  <c r="Z61" i="35"/>
  <c r="O60" i="36" s="1"/>
  <c r="B63" i="35"/>
  <c r="F62" i="35"/>
  <c r="R62" i="35"/>
  <c r="S62" i="35"/>
  <c r="T62" i="35"/>
  <c r="G62" i="35"/>
  <c r="H62" i="35"/>
  <c r="M62" i="35"/>
  <c r="N62" i="35"/>
  <c r="Q62" i="35"/>
  <c r="U62" i="35"/>
  <c r="O62" i="35"/>
  <c r="P62" i="35"/>
  <c r="C62" i="35"/>
  <c r="E62" i="35"/>
  <c r="L62" i="35"/>
  <c r="W62" i="35"/>
  <c r="X62" i="35"/>
  <c r="D62" i="35"/>
  <c r="I62" i="35"/>
  <c r="K62" i="35"/>
  <c r="V62" i="35"/>
  <c r="J62" i="35"/>
  <c r="Y62" i="35"/>
  <c r="AG2" i="38"/>
  <c r="AH2" i="38"/>
  <c r="AR2" i="38"/>
  <c r="AE2" i="38"/>
  <c r="AC2" i="38"/>
  <c r="AF2" i="38"/>
  <c r="E3" i="38"/>
  <c r="D3" i="38"/>
  <c r="AD3" i="38" s="1"/>
  <c r="C3" i="38"/>
  <c r="A4" i="38"/>
  <c r="B3" i="38"/>
  <c r="S61" i="36" l="1"/>
  <c r="Y61" i="36"/>
  <c r="U61" i="36"/>
  <c r="D60" i="36"/>
  <c r="N61" i="36"/>
  <c r="I61" i="36"/>
  <c r="L61" i="36"/>
  <c r="C61" i="36"/>
  <c r="P61" i="36"/>
  <c r="O61" i="36"/>
  <c r="C60" i="36"/>
  <c r="U60" i="36"/>
  <c r="Q61" i="36"/>
  <c r="Y60" i="36"/>
  <c r="V60" i="36"/>
  <c r="K61" i="36"/>
  <c r="I60" i="36"/>
  <c r="M60" i="36"/>
  <c r="M61" i="36"/>
  <c r="L60" i="36"/>
  <c r="D61" i="36"/>
  <c r="N60" i="36"/>
  <c r="R60" i="36"/>
  <c r="R61" i="36"/>
  <c r="X61" i="36"/>
  <c r="G61" i="36"/>
  <c r="J60" i="36"/>
  <c r="X60" i="36"/>
  <c r="P60" i="36"/>
  <c r="W61" i="36"/>
  <c r="T61" i="36"/>
  <c r="Q60" i="36"/>
  <c r="E60" i="36"/>
  <c r="Z62" i="35"/>
  <c r="E61" i="36" s="1"/>
  <c r="B64" i="35"/>
  <c r="G63" i="35"/>
  <c r="S63" i="35"/>
  <c r="H63" i="35"/>
  <c r="I63" i="35"/>
  <c r="T63" i="35"/>
  <c r="U63" i="35"/>
  <c r="E63" i="35"/>
  <c r="W63" i="35"/>
  <c r="F63" i="35"/>
  <c r="K63" i="35"/>
  <c r="L63" i="35"/>
  <c r="X63" i="35"/>
  <c r="J63" i="35"/>
  <c r="Y63" i="35"/>
  <c r="M63" i="35"/>
  <c r="C63" i="35"/>
  <c r="N63" i="35"/>
  <c r="P63" i="35"/>
  <c r="Q63" i="35"/>
  <c r="R63" i="35"/>
  <c r="D63" i="35"/>
  <c r="O63" i="35"/>
  <c r="V63" i="35"/>
  <c r="AH3" i="38"/>
  <c r="AG3" i="38"/>
  <c r="AR3" i="38"/>
  <c r="AE3" i="38"/>
  <c r="AC3" i="38"/>
  <c r="AF3" i="38"/>
  <c r="C4" i="38"/>
  <c r="E4" i="38"/>
  <c r="A5" i="38"/>
  <c r="D4" i="38"/>
  <c r="AD4" i="38" s="1"/>
  <c r="B4" i="38"/>
  <c r="Q62" i="36" l="1"/>
  <c r="H62" i="36"/>
  <c r="V61" i="36"/>
  <c r="R62" i="36"/>
  <c r="P62" i="36"/>
  <c r="N62" i="36"/>
  <c r="C62" i="36"/>
  <c r="S62" i="36"/>
  <c r="J62" i="36"/>
  <c r="L62" i="36"/>
  <c r="J61" i="36"/>
  <c r="F61" i="36"/>
  <c r="T62" i="36"/>
  <c r="Y62" i="36"/>
  <c r="G62" i="36"/>
  <c r="X62" i="36"/>
  <c r="V62" i="36"/>
  <c r="O62" i="36"/>
  <c r="K62" i="36"/>
  <c r="H61" i="36"/>
  <c r="W62" i="36"/>
  <c r="Z63" i="35"/>
  <c r="U62" i="36" s="1"/>
  <c r="H64" i="35"/>
  <c r="T64" i="35"/>
  <c r="I64" i="35"/>
  <c r="V64" i="35"/>
  <c r="U64" i="35"/>
  <c r="J64" i="35"/>
  <c r="O64" i="35"/>
  <c r="P64" i="35"/>
  <c r="R64" i="35"/>
  <c r="S64" i="35"/>
  <c r="E64" i="35"/>
  <c r="Q64" i="35"/>
  <c r="C64" i="35"/>
  <c r="D64" i="35"/>
  <c r="W64" i="35"/>
  <c r="M64" i="35"/>
  <c r="Y64" i="35"/>
  <c r="L64" i="35"/>
  <c r="N64" i="35"/>
  <c r="X64" i="35"/>
  <c r="F64" i="35"/>
  <c r="G64" i="35"/>
  <c r="K64" i="35"/>
  <c r="AR4" i="38"/>
  <c r="AH4" i="38"/>
  <c r="AG4" i="38"/>
  <c r="AE4" i="38"/>
  <c r="AC4" i="38"/>
  <c r="AF4" i="38"/>
  <c r="C5" i="38"/>
  <c r="B5" i="38"/>
  <c r="E5" i="38"/>
  <c r="A6" i="38"/>
  <c r="D5" i="38"/>
  <c r="AD5" i="38" s="1"/>
  <c r="F62" i="36" l="1"/>
  <c r="I62" i="36"/>
  <c r="E62" i="36"/>
  <c r="M62" i="36"/>
  <c r="D62" i="36"/>
  <c r="Z64" i="35"/>
  <c r="U63" i="36" s="1"/>
  <c r="AH5" i="38"/>
  <c r="AG5" i="38"/>
  <c r="AR5" i="38"/>
  <c r="AC5" i="38"/>
  <c r="AE5" i="38"/>
  <c r="AF5" i="38"/>
  <c r="A7" i="38"/>
  <c r="B6" i="38"/>
  <c r="E6" i="38"/>
  <c r="D6" i="38"/>
  <c r="AD6" i="38" s="1"/>
  <c r="C6" i="38"/>
  <c r="K63" i="36" l="1"/>
  <c r="Q63" i="36"/>
  <c r="C63" i="36"/>
  <c r="H63" i="36"/>
  <c r="D63" i="36"/>
  <c r="T63" i="36"/>
  <c r="I63" i="36"/>
  <c r="W63" i="36"/>
  <c r="V63" i="36"/>
  <c r="M63" i="36"/>
  <c r="Y63" i="36"/>
  <c r="N63" i="36"/>
  <c r="P63" i="36"/>
  <c r="G63" i="36"/>
  <c r="R63" i="36"/>
  <c r="F63" i="36"/>
  <c r="J63" i="36"/>
  <c r="L63" i="36"/>
  <c r="O63" i="36"/>
  <c r="S63" i="36"/>
  <c r="X63" i="36"/>
  <c r="E63" i="36"/>
  <c r="AR6" i="38"/>
  <c r="AH6" i="38"/>
  <c r="AG6" i="38"/>
  <c r="AE6" i="38"/>
  <c r="AC6" i="38"/>
  <c r="AF6" i="38"/>
  <c r="E7" i="38"/>
  <c r="D7" i="38"/>
  <c r="AD7" i="38" s="1"/>
  <c r="C7" i="38"/>
  <c r="B7" i="38"/>
  <c r="A8" i="38"/>
  <c r="AR7" i="38" l="1"/>
  <c r="AH7" i="38"/>
  <c r="AG7" i="38"/>
  <c r="AC7" i="38"/>
  <c r="AE7" i="38"/>
  <c r="AF7" i="38"/>
  <c r="E8" i="38"/>
  <c r="A9" i="38"/>
  <c r="D8" i="38"/>
  <c r="AD8" i="38" s="1"/>
  <c r="C8" i="38"/>
  <c r="B8" i="38"/>
  <c r="AG8" i="38" l="1"/>
  <c r="AR8" i="38"/>
  <c r="AH8" i="38"/>
  <c r="AC8" i="38"/>
  <c r="AE8" i="38"/>
  <c r="AF8" i="38"/>
  <c r="E9" i="38"/>
  <c r="B9" i="38"/>
  <c r="A10" i="38"/>
  <c r="D9" i="38"/>
  <c r="AD9" i="38" s="1"/>
  <c r="C9" i="38"/>
  <c r="AR9" i="38" l="1"/>
  <c r="AG9" i="38"/>
  <c r="AH9" i="38"/>
  <c r="AE9" i="38"/>
  <c r="AC9" i="38"/>
  <c r="AF9" i="38"/>
  <c r="E10" i="38"/>
  <c r="D10" i="38"/>
  <c r="AD10" i="38" s="1"/>
  <c r="C10" i="38"/>
  <c r="B10" i="38"/>
  <c r="A11" i="38"/>
  <c r="AG10" i="38" l="1"/>
  <c r="AR10" i="38"/>
  <c r="AH10" i="38"/>
  <c r="AC10" i="38"/>
  <c r="AE10" i="38"/>
  <c r="AF10" i="38"/>
  <c r="A12" i="38"/>
  <c r="C11" i="38"/>
  <c r="B11" i="38"/>
  <c r="E11" i="38"/>
  <c r="D11" i="38"/>
  <c r="AD11" i="38" s="1"/>
  <c r="AG11" i="38" l="1"/>
  <c r="AR11" i="38"/>
  <c r="AH11" i="38"/>
  <c r="AC11" i="38"/>
  <c r="AE11" i="38"/>
  <c r="AF11" i="38"/>
  <c r="C12" i="38"/>
  <c r="B12" i="38"/>
  <c r="A13" i="38"/>
  <c r="E12" i="38"/>
  <c r="D12" i="38"/>
  <c r="AD12" i="38" s="1"/>
  <c r="AH12" i="38" l="1"/>
  <c r="AG12" i="38"/>
  <c r="AR12" i="38"/>
  <c r="AC12" i="38"/>
  <c r="AE12" i="38"/>
  <c r="AF12" i="38"/>
  <c r="A14" i="38"/>
  <c r="E13" i="38"/>
  <c r="C13" i="38"/>
  <c r="D13" i="38"/>
  <c r="AD13" i="38" s="1"/>
  <c r="B13" i="38"/>
  <c r="AG13" i="38" l="1"/>
  <c r="AH13" i="38"/>
  <c r="AR13" i="38"/>
  <c r="AE13" i="38"/>
  <c r="AC13" i="38"/>
  <c r="AF13" i="38"/>
  <c r="E14" i="38"/>
  <c r="D14" i="38"/>
  <c r="AD14" i="38" s="1"/>
  <c r="C14" i="38"/>
  <c r="B14" i="38"/>
  <c r="A15" i="38"/>
  <c r="AH14" i="38" l="1"/>
  <c r="AG14" i="38"/>
  <c r="AR14" i="38"/>
  <c r="AE14" i="38"/>
  <c r="AC14" i="38"/>
  <c r="AF14" i="38"/>
  <c r="E15" i="38"/>
  <c r="D15" i="38"/>
  <c r="AD15" i="38" s="1"/>
  <c r="C15" i="38"/>
  <c r="A16" i="38"/>
  <c r="B15" i="38"/>
  <c r="AH15" i="38" l="1"/>
  <c r="AG15" i="38"/>
  <c r="AR15" i="38"/>
  <c r="AE15" i="38"/>
  <c r="AC15" i="38"/>
  <c r="AF15" i="38"/>
  <c r="A17" i="38"/>
  <c r="D16" i="38"/>
  <c r="AD16" i="38" s="1"/>
  <c r="C16" i="38"/>
  <c r="E16" i="38"/>
  <c r="B16" i="38"/>
  <c r="AR16" i="38" l="1"/>
  <c r="AH16" i="38"/>
  <c r="AG16" i="38"/>
  <c r="AE16" i="38"/>
  <c r="AC16" i="38"/>
  <c r="AF16" i="38"/>
  <c r="D17" i="38"/>
  <c r="AD17" i="38" s="1"/>
  <c r="C17" i="38"/>
  <c r="B17" i="38"/>
  <c r="A18" i="38"/>
  <c r="E17" i="38"/>
  <c r="AH17" i="38" l="1"/>
  <c r="AR17" i="38"/>
  <c r="AG17" i="38"/>
  <c r="AC17" i="38"/>
  <c r="AE17" i="38"/>
  <c r="AF17" i="38"/>
  <c r="A19" i="38"/>
  <c r="B18" i="38"/>
  <c r="E18" i="38"/>
  <c r="D18" i="38"/>
  <c r="AD18" i="38" s="1"/>
  <c r="C18" i="38"/>
  <c r="AR18" i="38" l="1"/>
  <c r="AH18" i="38"/>
  <c r="AG18" i="38"/>
  <c r="AC18" i="38"/>
  <c r="AE18" i="38"/>
  <c r="AF18" i="38"/>
  <c r="B19" i="38"/>
  <c r="A20" i="38"/>
  <c r="E19" i="38"/>
  <c r="D19" i="38"/>
  <c r="AD19" i="38" s="1"/>
  <c r="C19" i="38"/>
  <c r="AR19" i="38" l="1"/>
  <c r="AH19" i="38"/>
  <c r="AG19" i="38"/>
  <c r="AC19" i="38"/>
  <c r="AE19" i="38"/>
  <c r="AF19" i="38"/>
  <c r="E20" i="38"/>
  <c r="D20" i="38"/>
  <c r="AD20" i="38" s="1"/>
  <c r="A21" i="38"/>
  <c r="C20" i="38"/>
  <c r="B20" i="38"/>
  <c r="AG20" i="38" l="1"/>
  <c r="AR20" i="38"/>
  <c r="AH20" i="38"/>
  <c r="AC20" i="38"/>
  <c r="AE20" i="38"/>
  <c r="AF20" i="38"/>
  <c r="E21" i="38"/>
  <c r="D21" i="38"/>
  <c r="AD21" i="38" s="1"/>
  <c r="A22" i="38"/>
  <c r="C21" i="38"/>
  <c r="B21" i="38"/>
  <c r="AR21" i="38" l="1"/>
  <c r="AG21" i="38"/>
  <c r="AH21" i="38"/>
  <c r="AE21" i="38"/>
  <c r="AC21" i="38"/>
  <c r="AF21" i="38"/>
  <c r="E22" i="38"/>
  <c r="D22" i="38"/>
  <c r="AD22" i="38" s="1"/>
  <c r="C22" i="38"/>
  <c r="B22" i="38"/>
  <c r="A23" i="38"/>
  <c r="AG22" i="38" l="1"/>
  <c r="AR22" i="38"/>
  <c r="AH22" i="38"/>
  <c r="AE22" i="38"/>
  <c r="AC22" i="38"/>
  <c r="AF22" i="38"/>
  <c r="A24" i="38"/>
  <c r="C23" i="38"/>
  <c r="B23" i="38"/>
  <c r="E23" i="38"/>
  <c r="D23" i="38"/>
  <c r="AD23" i="38" s="1"/>
  <c r="AG23" i="38" l="1"/>
  <c r="AR23" i="38"/>
  <c r="AH23" i="38"/>
  <c r="AC23" i="38"/>
  <c r="AE23" i="38"/>
  <c r="AF23" i="38"/>
  <c r="C24" i="38"/>
  <c r="B24" i="38"/>
  <c r="A25" i="38"/>
  <c r="E24" i="38"/>
  <c r="D24" i="38"/>
  <c r="AD24" i="38" s="1"/>
  <c r="AH24" i="38" l="1"/>
  <c r="AG24" i="38"/>
  <c r="AR24" i="38"/>
  <c r="AC24" i="38"/>
  <c r="AE24" i="38"/>
  <c r="AF24" i="38"/>
  <c r="A26" i="38"/>
  <c r="E25" i="38"/>
  <c r="D25" i="38"/>
  <c r="AD25" i="38" s="1"/>
  <c r="C25" i="38"/>
  <c r="B25" i="38"/>
  <c r="AG25" i="38" l="1"/>
  <c r="AR25" i="38"/>
  <c r="AH25" i="38"/>
  <c r="AE25" i="38"/>
  <c r="AC25" i="38"/>
  <c r="AF25" i="38"/>
  <c r="E26" i="38"/>
  <c r="C26" i="38"/>
  <c r="A27" i="38"/>
  <c r="D26" i="38"/>
  <c r="AD26" i="38" s="1"/>
  <c r="B26" i="38"/>
  <c r="AG26" i="38" l="1"/>
  <c r="AH26" i="38"/>
  <c r="AR26" i="38"/>
  <c r="AE26" i="38"/>
  <c r="AC26" i="38"/>
  <c r="AF26" i="38"/>
  <c r="E27" i="38"/>
  <c r="D27" i="38"/>
  <c r="AD27" i="38" s="1"/>
  <c r="C27" i="38"/>
  <c r="A28" i="38"/>
  <c r="B27" i="38"/>
  <c r="AH27" i="38" l="1"/>
  <c r="AG27" i="38"/>
  <c r="AR27" i="38"/>
  <c r="AE27" i="38"/>
  <c r="AC27" i="38"/>
  <c r="AF27" i="38"/>
  <c r="A29" i="38"/>
  <c r="D28" i="38"/>
  <c r="AD28" i="38" s="1"/>
  <c r="C28" i="38"/>
  <c r="B28" i="38"/>
  <c r="E28" i="38"/>
  <c r="AR28" i="38" l="1"/>
  <c r="AH28" i="38"/>
  <c r="AG28" i="38"/>
  <c r="AE28" i="38"/>
  <c r="AC28" i="38"/>
  <c r="AF28" i="38"/>
  <c r="D29" i="38"/>
  <c r="AD29" i="38" s="1"/>
  <c r="C29" i="38"/>
  <c r="B29" i="38"/>
  <c r="A30" i="38"/>
  <c r="E29" i="38"/>
  <c r="AH29" i="38" l="1"/>
  <c r="AR29" i="38"/>
  <c r="AG29" i="38"/>
  <c r="AE29" i="38"/>
  <c r="AC29" i="38"/>
  <c r="AF29" i="38"/>
  <c r="A31" i="38"/>
  <c r="B30" i="38"/>
  <c r="E30" i="38"/>
  <c r="D30" i="38"/>
  <c r="AD30" i="38" s="1"/>
  <c r="C30" i="38"/>
  <c r="AG30" i="38" l="1"/>
  <c r="AR30" i="38"/>
  <c r="AH30" i="38"/>
  <c r="AC30" i="38"/>
  <c r="AE30" i="38"/>
  <c r="AF30" i="38"/>
  <c r="B31" i="38"/>
  <c r="D31" i="38"/>
  <c r="AD31" i="38" s="1"/>
  <c r="E31" i="38"/>
  <c r="A32" i="38"/>
  <c r="C31" i="38"/>
  <c r="AR31" i="38" l="1"/>
  <c r="AH31" i="38"/>
  <c r="AG31" i="38"/>
  <c r="AC31" i="38"/>
  <c r="AE31" i="38"/>
  <c r="AF31" i="38"/>
  <c r="E32" i="38"/>
  <c r="D32" i="38"/>
  <c r="AD32" i="38" s="1"/>
  <c r="A33" i="38"/>
  <c r="B32" i="38"/>
  <c r="C32" i="38"/>
  <c r="AG32" i="38" l="1"/>
  <c r="AR32" i="38"/>
  <c r="AH32" i="38"/>
  <c r="AC32" i="38"/>
  <c r="AE32" i="38"/>
  <c r="AF32" i="38"/>
  <c r="E33" i="38"/>
  <c r="D33" i="38"/>
  <c r="AD33" i="38" s="1"/>
  <c r="B33" i="38"/>
  <c r="C33" i="38"/>
  <c r="A34" i="38"/>
  <c r="AR33" i="38" l="1"/>
  <c r="AH33" i="38"/>
  <c r="AG33" i="38"/>
  <c r="AE33" i="38"/>
  <c r="AC33" i="38"/>
  <c r="AF33" i="38"/>
  <c r="E34" i="38"/>
  <c r="D34" i="38"/>
  <c r="AD34" i="38" s="1"/>
  <c r="C34" i="38"/>
  <c r="B34" i="38"/>
  <c r="A35" i="38"/>
  <c r="AH34" i="38" l="1"/>
  <c r="AR34" i="38"/>
  <c r="AG34" i="38"/>
  <c r="AC34" i="38"/>
  <c r="AE34" i="38"/>
  <c r="AF34" i="38"/>
  <c r="A36" i="38"/>
  <c r="C35" i="38"/>
  <c r="B35" i="38"/>
  <c r="E35" i="38"/>
  <c r="D35" i="38"/>
  <c r="AD35" i="38" s="1"/>
  <c r="AG35" i="38" l="1"/>
  <c r="AR35" i="38"/>
  <c r="AH35" i="38"/>
  <c r="AE35" i="38"/>
  <c r="AC35" i="38"/>
  <c r="AF35" i="38"/>
  <c r="C36" i="38"/>
  <c r="B36" i="38"/>
  <c r="A37" i="38"/>
  <c r="E36" i="38"/>
  <c r="D36" i="38"/>
  <c r="AD36" i="38" s="1"/>
  <c r="AH36" i="38" l="1"/>
  <c r="AG36" i="38"/>
  <c r="AR36" i="38"/>
  <c r="AE36" i="38"/>
  <c r="AF36" i="38"/>
  <c r="AC36" i="38"/>
  <c r="A38" i="38"/>
  <c r="E37" i="38"/>
  <c r="D37" i="38"/>
  <c r="AD37" i="38" s="1"/>
  <c r="C37" i="38"/>
  <c r="B37" i="38"/>
  <c r="AG37" i="38" l="1"/>
  <c r="AH37" i="38"/>
  <c r="AR37" i="38"/>
  <c r="AE37" i="38"/>
  <c r="AF37" i="38"/>
  <c r="AC37" i="38"/>
  <c r="E38" i="38"/>
  <c r="D38" i="38"/>
  <c r="AD38" i="38" s="1"/>
  <c r="C38" i="38"/>
  <c r="A39" i="38"/>
  <c r="B38" i="38"/>
  <c r="AG38" i="38" l="1"/>
  <c r="AH38" i="38"/>
  <c r="AR38" i="38"/>
  <c r="AE38" i="38"/>
  <c r="AC38" i="38"/>
  <c r="AF38" i="38"/>
  <c r="E39" i="38"/>
  <c r="D39" i="38"/>
  <c r="AD39" i="38" s="1"/>
  <c r="C39" i="38"/>
  <c r="A40" i="38"/>
  <c r="B39" i="38"/>
  <c r="AH39" i="38" l="1"/>
  <c r="AG39" i="38"/>
  <c r="AR39" i="38"/>
  <c r="AE39" i="38"/>
  <c r="AC39" i="38"/>
  <c r="AF39" i="38"/>
  <c r="A41" i="38"/>
  <c r="D40" i="38"/>
  <c r="AD40" i="38" s="1"/>
  <c r="C40" i="38"/>
  <c r="B40" i="38"/>
  <c r="E40" i="38"/>
  <c r="AR40" i="38" l="1"/>
  <c r="AH40" i="38"/>
  <c r="AG40" i="38"/>
  <c r="AE40" i="38"/>
  <c r="AF40" i="38"/>
  <c r="AC40" i="38"/>
  <c r="D41" i="38"/>
  <c r="AD41" i="38" s="1"/>
  <c r="C41" i="38"/>
  <c r="B41" i="38"/>
  <c r="A42" i="38"/>
  <c r="E41" i="38"/>
  <c r="AH41" i="38" l="1"/>
  <c r="AG41" i="38"/>
  <c r="AR41" i="38"/>
  <c r="AE41" i="38"/>
  <c r="AC41" i="38"/>
  <c r="AF41" i="38"/>
  <c r="A43" i="38"/>
  <c r="B42" i="38"/>
  <c r="E42" i="38"/>
  <c r="D42" i="38"/>
  <c r="AD42" i="38" s="1"/>
  <c r="C42" i="38"/>
  <c r="AG42" i="38" l="1"/>
  <c r="AR42" i="38"/>
  <c r="AH42" i="38"/>
  <c r="AE42" i="38"/>
  <c r="AF42" i="38"/>
  <c r="AC42" i="38"/>
  <c r="B43" i="38"/>
  <c r="E43" i="38"/>
  <c r="D43" i="38"/>
  <c r="AD43" i="38" s="1"/>
  <c r="C43" i="38"/>
  <c r="A44" i="38"/>
  <c r="AR43" i="38" l="1"/>
  <c r="AH43" i="38"/>
  <c r="AG43" i="38"/>
  <c r="AE43" i="38"/>
  <c r="AF43" i="38"/>
  <c r="AC43" i="38"/>
  <c r="A45" i="38"/>
  <c r="E44" i="38"/>
  <c r="D44" i="38"/>
  <c r="AD44" i="38" s="1"/>
  <c r="B44" i="38"/>
  <c r="C44" i="38"/>
  <c r="AG44" i="38" l="1"/>
  <c r="AR44" i="38"/>
  <c r="AH44" i="38"/>
  <c r="AE44" i="38"/>
  <c r="AC44" i="38"/>
  <c r="AF44" i="38"/>
  <c r="E45" i="38"/>
  <c r="D45" i="38"/>
  <c r="AD45" i="38" s="1"/>
  <c r="C45" i="38"/>
  <c r="B45" i="38"/>
  <c r="A46" i="38"/>
  <c r="AR45" i="38" l="1"/>
  <c r="AG45" i="38"/>
  <c r="AH45" i="38"/>
  <c r="AE45" i="38"/>
  <c r="AC45" i="38"/>
  <c r="AF45" i="38"/>
  <c r="E46" i="38"/>
  <c r="D46" i="38"/>
  <c r="AD46" i="38" s="1"/>
  <c r="C46" i="38"/>
  <c r="B46" i="38"/>
  <c r="A47" i="38"/>
  <c r="AR46" i="38" l="1"/>
  <c r="AH46" i="38"/>
  <c r="AG46" i="38"/>
  <c r="AE46" i="38"/>
  <c r="AC46" i="38"/>
  <c r="AF46" i="38"/>
  <c r="A48" i="38"/>
  <c r="C47" i="38"/>
  <c r="B47" i="38"/>
  <c r="E47" i="38"/>
  <c r="D47" i="38"/>
  <c r="AD47" i="38" s="1"/>
  <c r="AG47" i="38" l="1"/>
  <c r="AR47" i="38"/>
  <c r="AH47" i="38"/>
  <c r="AE47" i="38"/>
  <c r="AF47" i="38"/>
  <c r="AC47" i="38"/>
  <c r="D48" i="38"/>
  <c r="AD48" i="38" s="1"/>
  <c r="C48" i="38"/>
  <c r="B48" i="38"/>
  <c r="A49" i="38"/>
  <c r="E48" i="38"/>
  <c r="AH48" i="38" l="1"/>
  <c r="AG48" i="38"/>
  <c r="AR48" i="38"/>
  <c r="AE48" i="38"/>
  <c r="AF48" i="38"/>
  <c r="AC48" i="38"/>
  <c r="A50" i="38"/>
  <c r="E49" i="38"/>
  <c r="D49" i="38"/>
  <c r="AD49" i="38" s="1"/>
  <c r="C49" i="38"/>
  <c r="B49" i="38"/>
  <c r="AG49" i="38" l="1"/>
  <c r="AR49" i="38"/>
  <c r="AH49" i="38"/>
  <c r="AE49" i="38"/>
  <c r="AF49" i="38"/>
  <c r="AC49" i="38"/>
  <c r="B50" i="38"/>
  <c r="E50" i="38"/>
  <c r="D50" i="38"/>
  <c r="AD50" i="38" s="1"/>
  <c r="C50" i="38"/>
  <c r="A51" i="38"/>
  <c r="AR50" i="38" l="1"/>
  <c r="AH50" i="38"/>
  <c r="AG50" i="38"/>
  <c r="AE50" i="38"/>
  <c r="AF50" i="38"/>
  <c r="AC50" i="38"/>
  <c r="D51" i="38"/>
  <c r="AD51" i="38" s="1"/>
  <c r="B51" i="38"/>
  <c r="E51" i="38"/>
  <c r="C51" i="38"/>
  <c r="A52" i="38"/>
  <c r="AH51" i="38" l="1"/>
  <c r="AG51" i="38"/>
  <c r="AR51" i="38"/>
  <c r="AE51" i="38"/>
  <c r="AF51" i="38"/>
  <c r="AC51" i="38"/>
  <c r="E52" i="38"/>
  <c r="D52" i="38"/>
  <c r="AD52" i="38" s="1"/>
  <c r="A53" i="38"/>
  <c r="C52" i="38"/>
  <c r="B52" i="38"/>
  <c r="AR52" i="38" l="1"/>
  <c r="AH52" i="38"/>
  <c r="AG52" i="38"/>
  <c r="AE52" i="38"/>
  <c r="AF52" i="38"/>
  <c r="AC52" i="38"/>
  <c r="B53" i="38"/>
  <c r="E53" i="38"/>
  <c r="A54" i="38"/>
  <c r="D53" i="38"/>
  <c r="AD53" i="38" s="1"/>
  <c r="C53" i="38"/>
  <c r="AH53" i="38" l="1"/>
  <c r="AR53" i="38"/>
  <c r="AG53" i="38"/>
  <c r="AE53" i="38"/>
  <c r="AC53" i="38"/>
  <c r="AF53" i="38"/>
  <c r="E54" i="38"/>
  <c r="A55" i="38"/>
  <c r="B54" i="38"/>
  <c r="D54" i="38"/>
  <c r="AD54" i="38" s="1"/>
  <c r="C54" i="38"/>
  <c r="AH54" i="38" l="1"/>
  <c r="AR54" i="38"/>
  <c r="AG54" i="38"/>
  <c r="AE54" i="38"/>
  <c r="AF54" i="38"/>
  <c r="AC54" i="38"/>
  <c r="E55" i="38"/>
  <c r="A56" i="38"/>
  <c r="D55" i="38"/>
  <c r="AD55" i="38" s="1"/>
  <c r="C55" i="38"/>
  <c r="B55" i="38"/>
  <c r="AR55" i="38" l="1"/>
  <c r="AH55" i="38"/>
  <c r="AG55" i="38"/>
  <c r="AE55" i="38"/>
  <c r="AF55" i="38"/>
  <c r="AC55" i="38"/>
  <c r="E56" i="38"/>
  <c r="C56" i="38"/>
  <c r="A57" i="38"/>
  <c r="B56" i="38"/>
  <c r="D56" i="38"/>
  <c r="AD56" i="38" s="1"/>
  <c r="AG56" i="38" l="1"/>
  <c r="AR56" i="38"/>
  <c r="AH56" i="38"/>
  <c r="AE56" i="38"/>
  <c r="AC56" i="38"/>
  <c r="AF56" i="38"/>
  <c r="A58" i="38"/>
  <c r="E57" i="38"/>
  <c r="D57" i="38"/>
  <c r="AD57" i="38" s="1"/>
  <c r="C57" i="38"/>
  <c r="B57" i="38"/>
  <c r="AR57" i="38" l="1"/>
  <c r="AH57" i="38"/>
  <c r="AG57" i="38"/>
  <c r="AE57" i="38"/>
  <c r="AF57" i="38"/>
  <c r="AC57" i="38"/>
  <c r="C58" i="38"/>
  <c r="E58" i="38"/>
  <c r="A59" i="38"/>
  <c r="D58" i="38"/>
  <c r="AD58" i="38" s="1"/>
  <c r="B58" i="38"/>
  <c r="AH58" i="38" l="1"/>
  <c r="AR58" i="38"/>
  <c r="AG58" i="38"/>
  <c r="AE58" i="38"/>
  <c r="AC58" i="38"/>
  <c r="AF58" i="38"/>
  <c r="A60" i="38"/>
  <c r="E59" i="38"/>
  <c r="D59" i="38"/>
  <c r="AD59" i="38" s="1"/>
  <c r="C59" i="38"/>
  <c r="B59" i="38"/>
  <c r="AG59" i="38" l="1"/>
  <c r="AR59" i="38"/>
  <c r="AH59" i="38"/>
  <c r="AE59" i="38"/>
  <c r="AC59" i="38"/>
  <c r="AF59" i="38"/>
  <c r="A61" i="38"/>
  <c r="D60" i="38"/>
  <c r="AD60" i="38" s="1"/>
  <c r="C60" i="38"/>
  <c r="B60" i="38"/>
  <c r="E60" i="38"/>
  <c r="AH60" i="38" l="1"/>
  <c r="AG60" i="38"/>
  <c r="AR60" i="38"/>
  <c r="AE60" i="38"/>
  <c r="AC60" i="38"/>
  <c r="AF60" i="38"/>
  <c r="D61" i="38"/>
  <c r="AD61" i="38" s="1"/>
  <c r="E61" i="38"/>
  <c r="C61" i="38"/>
  <c r="A62" i="38"/>
  <c r="B61" i="38"/>
  <c r="AG61" i="38" l="1"/>
  <c r="AR61" i="38"/>
  <c r="AH61" i="38"/>
  <c r="AE61" i="38"/>
  <c r="AC61" i="38"/>
  <c r="AF61" i="38"/>
  <c r="A63" i="38"/>
  <c r="D62" i="38"/>
  <c r="AD62" i="38" s="1"/>
  <c r="C62" i="38"/>
  <c r="B62" i="38"/>
  <c r="E62" i="38"/>
  <c r="AH62" i="38" l="1"/>
  <c r="AG62" i="38"/>
  <c r="AR62" i="38"/>
  <c r="AE62" i="38"/>
  <c r="AF62" i="38"/>
  <c r="AC62" i="38"/>
  <c r="D63" i="38"/>
  <c r="AD63" i="38" s="1"/>
  <c r="B63" i="38"/>
  <c r="A64" i="38"/>
  <c r="E63" i="38"/>
  <c r="C63" i="38"/>
  <c r="AH63" i="38" l="1"/>
  <c r="AG63" i="38"/>
  <c r="AR63" i="38"/>
  <c r="AE63" i="38"/>
  <c r="AC63" i="38"/>
  <c r="AF63" i="38"/>
  <c r="A65" i="38"/>
  <c r="E64" i="38"/>
  <c r="D64" i="38"/>
  <c r="AD64" i="38" s="1"/>
  <c r="C64" i="38"/>
  <c r="B64" i="38"/>
  <c r="AR64" i="38" l="1"/>
  <c r="AH64" i="38"/>
  <c r="AG64" i="38"/>
  <c r="AE64" i="38"/>
  <c r="AC64" i="38"/>
  <c r="AF64" i="38"/>
  <c r="B65" i="38"/>
  <c r="E65" i="38"/>
  <c r="D65" i="38"/>
  <c r="AD65" i="38" s="1"/>
  <c r="A66" i="38"/>
  <c r="C65" i="38"/>
  <c r="AH65" i="38" l="1"/>
  <c r="AR65" i="38"/>
  <c r="AG65" i="38"/>
  <c r="AE65" i="38"/>
  <c r="AF65" i="38"/>
  <c r="AC65" i="38"/>
  <c r="E66" i="38"/>
  <c r="D66" i="38"/>
  <c r="AD66" i="38" s="1"/>
  <c r="C66" i="38"/>
  <c r="A67" i="38"/>
  <c r="B66" i="38"/>
  <c r="AR66" i="38" l="1"/>
  <c r="AG66" i="38"/>
  <c r="AH66" i="38"/>
  <c r="AC66" i="38"/>
  <c r="AF66" i="38"/>
  <c r="AE66" i="38"/>
  <c r="E67" i="38"/>
  <c r="A68" i="38"/>
  <c r="D67" i="38"/>
  <c r="AD67" i="38" s="1"/>
  <c r="B67" i="38"/>
  <c r="C67" i="38"/>
  <c r="AR67" i="38" l="1"/>
  <c r="AH67" i="38"/>
  <c r="AG67" i="38"/>
  <c r="AC67" i="38"/>
  <c r="AE67" i="38"/>
  <c r="AF67" i="38"/>
  <c r="E68" i="38"/>
  <c r="D68" i="38"/>
  <c r="AD68" i="38" s="1"/>
  <c r="C68" i="38"/>
  <c r="A69" i="38"/>
  <c r="B68" i="38"/>
  <c r="AG68" i="38" l="1"/>
  <c r="AR68" i="38"/>
  <c r="AH68" i="38"/>
  <c r="AC68" i="38"/>
  <c r="AE68" i="38"/>
  <c r="AF68" i="38"/>
  <c r="A70" i="38"/>
  <c r="B69" i="38"/>
  <c r="D69" i="38"/>
  <c r="AD69" i="38" s="1"/>
  <c r="E69" i="38"/>
  <c r="C69" i="38"/>
  <c r="AR69" i="38" l="1"/>
  <c r="AH69" i="38"/>
  <c r="AG69" i="38"/>
  <c r="AC69" i="38"/>
  <c r="AF69" i="38"/>
  <c r="AE69" i="38"/>
  <c r="C70" i="38"/>
  <c r="B70" i="38"/>
  <c r="D70" i="38"/>
  <c r="AD70" i="38" s="1"/>
  <c r="A71" i="38"/>
  <c r="E70" i="38"/>
  <c r="AR70" i="38" l="1"/>
  <c r="AG70" i="38"/>
  <c r="AH70" i="38"/>
  <c r="AC70" i="38"/>
  <c r="AF70" i="38"/>
  <c r="AE70" i="38"/>
  <c r="A72" i="38"/>
  <c r="C71" i="38"/>
  <c r="B71" i="38"/>
  <c r="E71" i="38"/>
  <c r="D71" i="38"/>
  <c r="AD71" i="38" s="1"/>
  <c r="AG71" i="38" l="1"/>
  <c r="AR71" i="38"/>
  <c r="AH71" i="38"/>
  <c r="AC71" i="38"/>
  <c r="AE71" i="38"/>
  <c r="AF71" i="38"/>
  <c r="E72" i="38"/>
  <c r="D72" i="38"/>
  <c r="AD72" i="38" s="1"/>
  <c r="C72" i="38"/>
  <c r="A73" i="38"/>
  <c r="B72" i="38"/>
  <c r="AH72" i="38" l="1"/>
  <c r="AG72" i="38"/>
  <c r="AR72" i="38"/>
  <c r="AC72" i="38"/>
  <c r="AE72" i="38"/>
  <c r="AF72" i="38"/>
  <c r="E73" i="38"/>
  <c r="D73" i="38"/>
  <c r="AD73" i="38" s="1"/>
  <c r="A74" i="38"/>
  <c r="C73" i="38"/>
  <c r="B73" i="38"/>
  <c r="AG73" i="38" l="1"/>
  <c r="AH73" i="38"/>
  <c r="AR73" i="38"/>
  <c r="AC73" i="38"/>
  <c r="AF73" i="38"/>
  <c r="AE73" i="38"/>
  <c r="A75" i="38"/>
  <c r="B74" i="38"/>
  <c r="E74" i="38"/>
  <c r="D74" i="38"/>
  <c r="AD74" i="38" s="1"/>
  <c r="C74" i="38"/>
  <c r="AH74" i="38" l="1"/>
  <c r="AG74" i="38"/>
  <c r="AR74" i="38"/>
  <c r="AC74" i="38"/>
  <c r="AF74" i="38"/>
  <c r="AE74" i="38"/>
  <c r="D75" i="38"/>
  <c r="AD75" i="38" s="1"/>
  <c r="C75" i="38"/>
  <c r="B75" i="38"/>
  <c r="A76" i="38"/>
  <c r="E75" i="38"/>
  <c r="AH75" i="38" l="1"/>
  <c r="AG75" i="38"/>
  <c r="AR75" i="38"/>
  <c r="AC75" i="38"/>
  <c r="AE75" i="38"/>
  <c r="AF75" i="38"/>
  <c r="A77" i="38"/>
  <c r="C76" i="38"/>
  <c r="B76" i="38"/>
  <c r="E76" i="38"/>
  <c r="D76" i="38"/>
  <c r="AD76" i="38" s="1"/>
  <c r="AR76" i="38" l="1"/>
  <c r="AH76" i="38"/>
  <c r="AG76" i="38"/>
  <c r="AC76" i="38"/>
  <c r="AF76" i="38"/>
  <c r="AE76" i="38"/>
  <c r="B77" i="38"/>
  <c r="E77" i="38"/>
  <c r="D77" i="38"/>
  <c r="AD77" i="38" s="1"/>
  <c r="C77" i="38"/>
  <c r="A78" i="38"/>
  <c r="AH77" i="38" l="1"/>
  <c r="AR77" i="38"/>
  <c r="AG77" i="38"/>
  <c r="AC77" i="38"/>
  <c r="AF77" i="38"/>
  <c r="AE77" i="38"/>
  <c r="E78" i="38"/>
  <c r="D78" i="38"/>
  <c r="AD78" i="38" s="1"/>
  <c r="C78" i="38"/>
  <c r="B78" i="38"/>
  <c r="A79" i="38"/>
  <c r="AH78" i="38" l="1"/>
  <c r="AR78" i="38"/>
  <c r="AG78" i="38"/>
  <c r="AC78" i="38"/>
  <c r="AF78" i="38"/>
  <c r="AE78" i="38"/>
  <c r="E79" i="38"/>
  <c r="D79" i="38"/>
  <c r="AD79" i="38" s="1"/>
  <c r="C79" i="38"/>
  <c r="A80" i="38"/>
  <c r="B79" i="38"/>
  <c r="AR79" i="38" l="1"/>
  <c r="AH79" i="38"/>
  <c r="AG79" i="38"/>
  <c r="AC79" i="38"/>
  <c r="AE79" i="38"/>
  <c r="AF79" i="38"/>
  <c r="E80" i="38"/>
  <c r="D80" i="38"/>
  <c r="AD80" i="38" s="1"/>
  <c r="C80" i="38"/>
  <c r="B80" i="38"/>
  <c r="A81" i="38"/>
  <c r="AG80" i="38" l="1"/>
  <c r="AR80" i="38"/>
  <c r="AH80" i="38"/>
  <c r="AC80" i="38"/>
  <c r="AF80" i="38"/>
  <c r="AE80" i="38"/>
  <c r="A82" i="38"/>
  <c r="E81" i="38"/>
  <c r="D81" i="38"/>
  <c r="AD81" i="38" s="1"/>
  <c r="C81" i="38"/>
  <c r="B81" i="38"/>
  <c r="AR81" i="38" l="1"/>
  <c r="AH81" i="38"/>
  <c r="AG81" i="38"/>
  <c r="AC81" i="38"/>
  <c r="AE81" i="38"/>
  <c r="AF81" i="38"/>
  <c r="C82" i="38"/>
  <c r="B82" i="38"/>
  <c r="E82" i="38"/>
  <c r="D82" i="38"/>
  <c r="AD82" i="38" s="1"/>
  <c r="A83" i="38"/>
  <c r="AG82" i="38" l="1"/>
  <c r="AR82" i="38"/>
  <c r="AH82" i="38"/>
  <c r="AC82" i="38"/>
  <c r="AE82" i="38"/>
  <c r="AF82" i="38"/>
  <c r="A84" i="38"/>
  <c r="E83" i="38"/>
  <c r="D83" i="38"/>
  <c r="AD83" i="38" s="1"/>
  <c r="C83" i="38"/>
  <c r="B83" i="38"/>
  <c r="AG83" i="38" l="1"/>
  <c r="AR83" i="38"/>
  <c r="AH83" i="38"/>
  <c r="AC83" i="38"/>
  <c r="AF83" i="38"/>
  <c r="AE83" i="38"/>
  <c r="A85" i="38"/>
  <c r="B84" i="38"/>
  <c r="E84" i="38"/>
  <c r="D84" i="38"/>
  <c r="AD84" i="38" s="1"/>
  <c r="C84" i="38"/>
  <c r="AH84" i="38" l="1"/>
  <c r="AG84" i="38"/>
  <c r="AR84" i="38"/>
  <c r="AC84" i="38"/>
  <c r="AF84" i="38"/>
  <c r="AE84" i="38"/>
  <c r="E85" i="38"/>
  <c r="D85" i="38"/>
  <c r="AD85" i="38" s="1"/>
  <c r="A86" i="38"/>
  <c r="C85" i="38"/>
  <c r="B85" i="38"/>
  <c r="AG85" i="38" l="1"/>
  <c r="AH85" i="38"/>
  <c r="AR85" i="38"/>
  <c r="AC85" i="38"/>
  <c r="AF85" i="38"/>
  <c r="AE85" i="38"/>
  <c r="C86" i="38"/>
  <c r="A87" i="38"/>
  <c r="B86" i="38"/>
  <c r="E86" i="38"/>
  <c r="D86" i="38"/>
  <c r="AD86" i="38" s="1"/>
  <c r="AG86" i="38" l="1"/>
  <c r="AH86" i="38"/>
  <c r="AR86" i="38"/>
  <c r="AC86" i="38"/>
  <c r="AE86" i="38"/>
  <c r="AF86" i="38"/>
  <c r="D87" i="38"/>
  <c r="AD87" i="38" s="1"/>
  <c r="C87" i="38"/>
  <c r="B87" i="38"/>
  <c r="E87" i="38"/>
  <c r="A88" i="38"/>
  <c r="AH87" i="38" l="1"/>
  <c r="AG87" i="38"/>
  <c r="AR87" i="38"/>
  <c r="AC87" i="38"/>
  <c r="AE87" i="38"/>
  <c r="AF87" i="38"/>
  <c r="A89" i="38"/>
  <c r="D88" i="38"/>
  <c r="AD88" i="38" s="1"/>
  <c r="C88" i="38"/>
  <c r="B88" i="38"/>
  <c r="E88" i="38"/>
  <c r="AR88" i="38" l="1"/>
  <c r="AH88" i="38"/>
  <c r="AG88" i="38"/>
  <c r="AC88" i="38"/>
  <c r="AE88" i="38"/>
  <c r="AF88" i="38"/>
  <c r="B89" i="38"/>
  <c r="A90" i="38"/>
  <c r="E89" i="38"/>
  <c r="D89" i="38"/>
  <c r="AD89" i="38" s="1"/>
  <c r="C89" i="38"/>
  <c r="AH89" i="38" l="1"/>
  <c r="AR89" i="38"/>
  <c r="AG89" i="38"/>
  <c r="AC89" i="38"/>
  <c r="AE89" i="38"/>
  <c r="AF89" i="38"/>
  <c r="E90" i="38"/>
  <c r="A91" i="38"/>
  <c r="D90" i="38"/>
  <c r="AD90" i="38" s="1"/>
  <c r="C90" i="38"/>
  <c r="B90" i="38"/>
  <c r="AR90" i="38" l="1"/>
  <c r="AH90" i="38"/>
  <c r="AG90" i="38"/>
  <c r="AC90" i="38"/>
  <c r="AF90" i="38"/>
  <c r="AE90" i="38"/>
  <c r="C91" i="38"/>
  <c r="A92" i="38"/>
  <c r="B91" i="38"/>
  <c r="E91" i="38"/>
  <c r="D91" i="38"/>
  <c r="AD91" i="38" s="1"/>
  <c r="AR91" i="38" l="1"/>
  <c r="AH91" i="38"/>
  <c r="AG91" i="38"/>
  <c r="AC91" i="38"/>
  <c r="AE91" i="38"/>
  <c r="AF91" i="38"/>
  <c r="E92" i="38"/>
  <c r="D92" i="38"/>
  <c r="AD92" i="38" s="1"/>
  <c r="C92" i="38"/>
  <c r="B92" i="38"/>
  <c r="A93" i="38"/>
  <c r="AG92" i="38" l="1"/>
  <c r="AR92" i="38"/>
  <c r="AH92" i="38"/>
  <c r="AC92" i="38"/>
  <c r="AE92" i="38"/>
  <c r="AF92" i="38"/>
  <c r="A94" i="38"/>
  <c r="D93" i="38"/>
  <c r="AD93" i="38" s="1"/>
  <c r="C93" i="38"/>
  <c r="B93" i="38"/>
  <c r="E93" i="38"/>
  <c r="AR93" i="38" l="1"/>
  <c r="AG93" i="38"/>
  <c r="AH93" i="38"/>
  <c r="AC93" i="38"/>
  <c r="AF93" i="38"/>
  <c r="AE93" i="38"/>
  <c r="C94" i="38"/>
  <c r="B94" i="38"/>
  <c r="E94" i="38"/>
  <c r="D94" i="38"/>
  <c r="AD94" i="38" s="1"/>
  <c r="A95" i="38"/>
  <c r="AH94" i="38" l="1"/>
  <c r="AR94" i="38"/>
  <c r="AG94" i="38"/>
  <c r="AC94" i="38"/>
  <c r="AE94" i="38"/>
  <c r="AF94" i="38"/>
  <c r="A96" i="38"/>
  <c r="E95" i="38"/>
  <c r="D95" i="38"/>
  <c r="AD95" i="38" s="1"/>
  <c r="C95" i="38"/>
  <c r="B95" i="38"/>
  <c r="AG95" i="38" l="1"/>
  <c r="C20" i="9" s="1"/>
  <c r="AR95" i="38"/>
  <c r="AH95" i="38"/>
  <c r="C23" i="9" s="1"/>
  <c r="AC95" i="38"/>
  <c r="AE95" i="38"/>
  <c r="AF95" i="38"/>
  <c r="E96" i="38"/>
  <c r="D96" i="38"/>
  <c r="AD96" i="38" s="1"/>
  <c r="C96" i="38"/>
  <c r="A97" i="38"/>
  <c r="B96" i="38"/>
  <c r="AH96" i="38" l="1"/>
  <c r="AG96" i="38"/>
  <c r="AR96" i="38"/>
  <c r="AC96" i="38"/>
  <c r="AE96" i="38"/>
  <c r="AF96" i="38"/>
  <c r="E97" i="38"/>
  <c r="D97" i="38"/>
  <c r="AD97" i="38" s="1"/>
  <c r="C97" i="38"/>
  <c r="B97" i="38"/>
  <c r="A98" i="38"/>
  <c r="AG97" i="38" l="1"/>
  <c r="AH97" i="38"/>
  <c r="AR97" i="38"/>
  <c r="AE97" i="38"/>
  <c r="AF97" i="38"/>
  <c r="AC97" i="38"/>
  <c r="E98" i="38"/>
  <c r="D98" i="38"/>
  <c r="AD98" i="38" s="1"/>
  <c r="A99" i="38"/>
  <c r="B98" i="38"/>
  <c r="C98" i="38"/>
  <c r="AH98" i="38" l="1"/>
  <c r="AG98" i="38"/>
  <c r="AR98" i="38"/>
  <c r="AC98" i="38"/>
  <c r="AE98" i="38"/>
  <c r="AF98" i="38"/>
  <c r="D99" i="38"/>
  <c r="AD99" i="38" s="1"/>
  <c r="C99" i="38"/>
  <c r="B99" i="38"/>
  <c r="A100" i="38"/>
  <c r="E99" i="38"/>
  <c r="AH99" i="38" l="1"/>
  <c r="AG99" i="38"/>
  <c r="AR99" i="38"/>
  <c r="AC99" i="38"/>
  <c r="AF99" i="38"/>
  <c r="AE99" i="38"/>
  <c r="A101" i="38"/>
  <c r="E100" i="38"/>
  <c r="C100" i="38"/>
  <c r="D100" i="38"/>
  <c r="AD100" i="38" s="1"/>
  <c r="B100" i="38"/>
  <c r="AR100" i="38" l="1"/>
  <c r="AH100" i="38"/>
  <c r="AG100" i="38"/>
  <c r="AE100" i="38"/>
  <c r="AF100" i="38"/>
  <c r="AC100" i="38"/>
  <c r="B101" i="38"/>
  <c r="C101" i="38"/>
  <c r="A102" i="38"/>
  <c r="E101" i="38"/>
  <c r="D101" i="38"/>
  <c r="AD101" i="38" s="1"/>
  <c r="AH101" i="38" l="1"/>
  <c r="AR101" i="38"/>
  <c r="AG101" i="38"/>
  <c r="AF101" i="38"/>
  <c r="AC101" i="38"/>
  <c r="AE101" i="38"/>
  <c r="E102" i="38"/>
  <c r="B102" i="38"/>
  <c r="A103" i="38"/>
  <c r="D102" i="38"/>
  <c r="AD102" i="38" s="1"/>
  <c r="C102" i="38"/>
  <c r="AR102" i="38" l="1"/>
  <c r="AH102" i="38"/>
  <c r="AG102" i="38"/>
  <c r="AF102" i="38"/>
  <c r="AE102" i="38"/>
  <c r="AC102" i="38"/>
  <c r="D103" i="38"/>
  <c r="AD103" i="38" s="1"/>
  <c r="C103" i="38"/>
  <c r="B103" i="38"/>
  <c r="A104" i="38"/>
  <c r="E103" i="38"/>
  <c r="AR103" i="38" l="1"/>
  <c r="AH103" i="38"/>
  <c r="AG103" i="38"/>
  <c r="AF103" i="38"/>
  <c r="AE103" i="38"/>
  <c r="AC103" i="38"/>
  <c r="E104" i="38"/>
  <c r="D104" i="38"/>
  <c r="AD104" i="38" s="1"/>
  <c r="C104" i="38"/>
  <c r="A105" i="38"/>
  <c r="B104" i="38"/>
  <c r="AG104" i="38" l="1"/>
  <c r="AR104" i="38"/>
  <c r="AH104" i="38"/>
  <c r="AE104" i="38"/>
  <c r="AF104" i="38"/>
  <c r="AC104" i="38"/>
  <c r="A106" i="38"/>
  <c r="B105" i="38"/>
  <c r="E105" i="38"/>
  <c r="D105" i="38"/>
  <c r="AD105" i="38" s="1"/>
  <c r="C105" i="38"/>
  <c r="AR105" i="38" l="1"/>
  <c r="AG105" i="38"/>
  <c r="AH105" i="38"/>
  <c r="AE105" i="38"/>
  <c r="AF105" i="38"/>
  <c r="AC105" i="38"/>
  <c r="C106" i="38"/>
  <c r="B106" i="38"/>
  <c r="E106" i="38"/>
  <c r="A107" i="38"/>
  <c r="D106" i="38"/>
  <c r="AD106" i="38" s="1"/>
  <c r="AG106" i="38" l="1"/>
  <c r="AH106" i="38"/>
  <c r="AR106" i="38"/>
  <c r="AF106" i="38"/>
  <c r="AE106" i="38"/>
  <c r="AC106" i="38"/>
  <c r="A108" i="38"/>
  <c r="C107" i="38"/>
  <c r="B107" i="38"/>
  <c r="E107" i="38"/>
  <c r="D107" i="38"/>
  <c r="AD107" i="38" s="1"/>
  <c r="AG107" i="38" l="1"/>
  <c r="AR107" i="38"/>
  <c r="AH107" i="38"/>
  <c r="AF107" i="38"/>
  <c r="AC107" i="38"/>
  <c r="AE107" i="38"/>
  <c r="E108" i="38"/>
  <c r="D108" i="38"/>
  <c r="AD108" i="38" s="1"/>
  <c r="C108" i="38"/>
  <c r="B108" i="38"/>
  <c r="A109" i="38"/>
  <c r="AH108" i="38" l="1"/>
  <c r="AG108" i="38"/>
  <c r="AR108" i="38"/>
  <c r="AC108" i="38"/>
  <c r="AF108" i="38"/>
  <c r="AE108" i="38"/>
  <c r="A110" i="38"/>
  <c r="E109" i="38"/>
  <c r="D109" i="38"/>
  <c r="AD109" i="38" s="1"/>
  <c r="B109" i="38"/>
  <c r="C109" i="38"/>
  <c r="AG109" i="38" l="1"/>
  <c r="AH109" i="38"/>
  <c r="AR109" i="38"/>
  <c r="AE109" i="38"/>
  <c r="AC109" i="38"/>
  <c r="AF109" i="38"/>
  <c r="C110" i="38"/>
  <c r="B110" i="38"/>
  <c r="A111" i="38"/>
  <c r="E110" i="38"/>
  <c r="D110" i="38"/>
  <c r="AD110" i="38" s="1"/>
  <c r="AR110" i="38" l="1"/>
  <c r="AG110" i="38"/>
  <c r="AH110" i="38"/>
  <c r="AF110" i="38"/>
  <c r="AE110" i="38"/>
  <c r="AC110" i="38"/>
  <c r="D111" i="38"/>
  <c r="AD111" i="38" s="1"/>
  <c r="C111" i="38"/>
  <c r="B111" i="38"/>
  <c r="A112" i="38"/>
  <c r="E111" i="38"/>
  <c r="AH111" i="38" l="1"/>
  <c r="AR111" i="38"/>
  <c r="AG111" i="38"/>
  <c r="AC111" i="38"/>
  <c r="AF111" i="38"/>
  <c r="AE111" i="38"/>
  <c r="A113" i="38"/>
  <c r="E112" i="38"/>
  <c r="D112" i="38"/>
  <c r="AD112" i="38" s="1"/>
  <c r="C112" i="38"/>
  <c r="B112" i="38"/>
  <c r="AR112" i="38" l="1"/>
  <c r="AH112" i="38"/>
  <c r="AG112" i="38"/>
  <c r="AC112" i="38"/>
  <c r="AE112" i="38"/>
  <c r="AF112" i="38"/>
  <c r="D113" i="38"/>
  <c r="AD113" i="38" s="1"/>
  <c r="B113" i="38"/>
  <c r="E113" i="38"/>
  <c r="A114" i="38"/>
  <c r="C113" i="38"/>
  <c r="AH113" i="38" l="1"/>
  <c r="AR113" i="38"/>
  <c r="AG113" i="38"/>
  <c r="AC113" i="38"/>
  <c r="AE113" i="38"/>
  <c r="AF113" i="38"/>
  <c r="E114" i="38"/>
  <c r="A115" i="38"/>
  <c r="D114" i="38"/>
  <c r="AD114" i="38" s="1"/>
  <c r="C114" i="38"/>
  <c r="B114" i="38"/>
  <c r="AR114" i="38" l="1"/>
  <c r="AG114" i="38"/>
  <c r="AH114" i="38"/>
  <c r="AF114" i="38"/>
  <c r="AC114" i="38"/>
  <c r="AE114" i="38"/>
  <c r="B115" i="38"/>
  <c r="D115" i="38"/>
  <c r="AD115" i="38" s="1"/>
  <c r="C115" i="38"/>
  <c r="A116" i="38"/>
  <c r="E115" i="38"/>
  <c r="AR115" i="38" l="1"/>
  <c r="AH115" i="38"/>
  <c r="AG115" i="38"/>
  <c r="AC115" i="38"/>
  <c r="AE115" i="38"/>
  <c r="AF115" i="38"/>
  <c r="E116" i="38"/>
  <c r="D116" i="38"/>
  <c r="AD116" i="38" s="1"/>
  <c r="C116" i="38"/>
  <c r="A117" i="38"/>
  <c r="B116" i="38"/>
  <c r="AG116" i="38" l="1"/>
  <c r="AR116" i="38"/>
  <c r="AH116" i="38"/>
  <c r="AE116" i="38"/>
  <c r="AF116" i="38"/>
  <c r="AC116" i="38"/>
  <c r="A118" i="38"/>
  <c r="B117" i="38"/>
  <c r="E117" i="38"/>
  <c r="D117" i="38"/>
  <c r="AD117" i="38" s="1"/>
  <c r="C117" i="38"/>
  <c r="AR117" i="38" l="1"/>
  <c r="AH117" i="38"/>
  <c r="AG117" i="38"/>
  <c r="AC117" i="38"/>
  <c r="AE117" i="38"/>
  <c r="AF117" i="38"/>
  <c r="E118" i="38"/>
  <c r="C118" i="38"/>
  <c r="B118" i="38"/>
  <c r="D118" i="38"/>
  <c r="AD118" i="38" s="1"/>
  <c r="A119" i="38"/>
  <c r="AH118" i="38" l="1"/>
  <c r="AR118" i="38"/>
  <c r="AG118" i="38"/>
  <c r="AC118" i="38"/>
  <c r="AF118" i="38"/>
  <c r="AE118" i="38"/>
  <c r="A120" i="38"/>
  <c r="D119" i="38"/>
  <c r="AD119" i="38" s="1"/>
  <c r="C119" i="38"/>
  <c r="B119" i="38"/>
  <c r="E119" i="38"/>
  <c r="AR119" i="38" l="1"/>
  <c r="AH119" i="38"/>
  <c r="AG119" i="38"/>
  <c r="AC119" i="38"/>
  <c r="AE119" i="38"/>
  <c r="AF119" i="38"/>
  <c r="C120" i="38"/>
  <c r="E120" i="38"/>
  <c r="D120" i="38"/>
  <c r="AD120" i="38" s="1"/>
  <c r="A121" i="38"/>
  <c r="B120" i="38"/>
  <c r="AH120" i="38" l="1"/>
  <c r="AR120" i="38"/>
  <c r="AG120" i="38"/>
  <c r="AC120" i="38"/>
  <c r="AF120" i="38"/>
  <c r="AE120" i="38"/>
  <c r="A122" i="38"/>
  <c r="E121" i="38"/>
  <c r="D121" i="38"/>
  <c r="AD121" i="38" s="1"/>
  <c r="C121" i="38"/>
  <c r="B121" i="38"/>
  <c r="AG121" i="38" l="1"/>
  <c r="AR121" i="38"/>
  <c r="AH121" i="38"/>
  <c r="AE121" i="38"/>
  <c r="AC121" i="38"/>
  <c r="AF121" i="38"/>
  <c r="C122" i="38"/>
  <c r="B122" i="38"/>
  <c r="E122" i="38"/>
  <c r="D122" i="38"/>
  <c r="AD122" i="38" s="1"/>
  <c r="A123" i="38"/>
  <c r="AG122" i="38" l="1"/>
  <c r="AR122" i="38"/>
  <c r="AH122" i="38"/>
  <c r="AF122" i="38"/>
  <c r="AC122" i="38"/>
  <c r="AE122" i="38"/>
  <c r="D123" i="38"/>
  <c r="AD123" i="38" s="1"/>
  <c r="C123" i="38"/>
  <c r="B123" i="38"/>
  <c r="A124" i="38"/>
  <c r="E123" i="38"/>
  <c r="AH123" i="38" l="1"/>
  <c r="AR123" i="38"/>
  <c r="AG123" i="38"/>
  <c r="AE123" i="38"/>
  <c r="AF123" i="38"/>
  <c r="AC123" i="38"/>
  <c r="A125" i="38"/>
  <c r="E124" i="38"/>
  <c r="D124" i="38"/>
  <c r="AD124" i="38" s="1"/>
  <c r="C124" i="38"/>
  <c r="B124" i="38"/>
  <c r="AR124" i="38" l="1"/>
  <c r="AH124" i="38"/>
  <c r="AG124" i="38"/>
  <c r="AE124" i="38"/>
  <c r="AF124" i="38"/>
  <c r="AC124" i="38"/>
  <c r="D125" i="38"/>
  <c r="AD125" i="38" s="1"/>
  <c r="B125" i="38"/>
  <c r="E125" i="38"/>
  <c r="C125" i="38"/>
  <c r="A126" i="38"/>
  <c r="AH125" i="38" l="1"/>
  <c r="AG125" i="38"/>
  <c r="AR125" i="38"/>
  <c r="AE125" i="38"/>
  <c r="AF125" i="38"/>
  <c r="AC125" i="38"/>
  <c r="E126" i="38"/>
  <c r="C126" i="38"/>
  <c r="B126" i="38"/>
  <c r="D126" i="38"/>
  <c r="AD126" i="38" s="1"/>
  <c r="A127" i="38"/>
  <c r="AH126" i="38" l="1"/>
  <c r="AG126" i="38"/>
  <c r="AR126" i="38"/>
  <c r="AF126" i="38"/>
  <c r="AE126" i="38"/>
  <c r="AC126" i="38"/>
  <c r="B127" i="38"/>
  <c r="D127" i="38"/>
  <c r="AD127" i="38" s="1"/>
  <c r="C127" i="38"/>
  <c r="A128" i="38"/>
  <c r="E127" i="38"/>
  <c r="AR127" i="38" l="1"/>
  <c r="AH127" i="38"/>
  <c r="AG127" i="38"/>
  <c r="AE127" i="38"/>
  <c r="AC127" i="38"/>
  <c r="AF127" i="38"/>
  <c r="E128" i="38"/>
  <c r="D128" i="38"/>
  <c r="AD128" i="38" s="1"/>
  <c r="C128" i="38"/>
  <c r="A129" i="38"/>
  <c r="B128" i="38"/>
  <c r="AR128" i="38" l="1"/>
  <c r="AH128" i="38"/>
  <c r="AG128" i="38"/>
  <c r="AE128" i="38"/>
  <c r="AC128" i="38"/>
  <c r="AF128" i="38"/>
  <c r="A130" i="38"/>
  <c r="B129" i="38"/>
  <c r="E129" i="38"/>
  <c r="D129" i="38"/>
  <c r="AD129" i="38" s="1"/>
  <c r="C129" i="38"/>
  <c r="AR129" i="38" l="1"/>
  <c r="AH129" i="38"/>
  <c r="AG129" i="38"/>
  <c r="AE129" i="38"/>
  <c r="AC129" i="38"/>
  <c r="AF129" i="38"/>
  <c r="E130" i="38"/>
  <c r="C130" i="38"/>
  <c r="B130" i="38"/>
  <c r="A131" i="38"/>
  <c r="D130" i="38"/>
  <c r="AD130" i="38" s="1"/>
  <c r="AR130" i="38" l="1"/>
  <c r="AH130" i="38"/>
  <c r="AG130" i="38"/>
  <c r="AE130" i="38"/>
  <c r="AC130" i="38"/>
  <c r="AF130" i="38"/>
  <c r="A132" i="38"/>
  <c r="E131" i="38"/>
  <c r="D131" i="38"/>
  <c r="AD131" i="38" s="1"/>
  <c r="C131" i="38"/>
  <c r="B131" i="38"/>
  <c r="AR131" i="38" l="1"/>
  <c r="AG131" i="38"/>
  <c r="AH131" i="38"/>
  <c r="AE131" i="38"/>
  <c r="AC131" i="38"/>
  <c r="AF131" i="38"/>
  <c r="C132" i="38"/>
  <c r="E132" i="38"/>
  <c r="D132" i="38"/>
  <c r="AD132" i="38" s="1"/>
  <c r="B132" i="38"/>
  <c r="A133" i="38"/>
  <c r="AH132" i="38" l="1"/>
  <c r="AR132" i="38"/>
  <c r="AG132" i="38"/>
  <c r="AE132" i="38"/>
  <c r="AC132" i="38"/>
  <c r="AF132" i="38"/>
  <c r="A134" i="38"/>
  <c r="E133" i="38"/>
  <c r="D133" i="38"/>
  <c r="AD133" i="38" s="1"/>
  <c r="B133" i="38"/>
  <c r="C133" i="38"/>
  <c r="AG133" i="38" l="1"/>
  <c r="AR133" i="38"/>
  <c r="AH133" i="38"/>
  <c r="AE133" i="38"/>
  <c r="AC133" i="38"/>
  <c r="AF133" i="38"/>
  <c r="C134" i="38"/>
  <c r="B134" i="38"/>
  <c r="A135" i="38"/>
  <c r="E134" i="38"/>
  <c r="D134" i="38"/>
  <c r="AD134" i="38" s="1"/>
  <c r="AH134" i="38" l="1"/>
  <c r="AG134" i="38"/>
  <c r="AR134" i="38"/>
  <c r="AE134" i="38"/>
  <c r="AC134" i="38"/>
  <c r="AF134" i="38"/>
  <c r="D135" i="38"/>
  <c r="AD135" i="38" s="1"/>
  <c r="C135" i="38"/>
  <c r="B135" i="38"/>
  <c r="A136" i="38"/>
  <c r="E135" i="38"/>
  <c r="AH135" i="38" l="1"/>
  <c r="AR135" i="38"/>
  <c r="AG135" i="38"/>
  <c r="AE135" i="38"/>
  <c r="AC135" i="38"/>
  <c r="AF135" i="38"/>
  <c r="A137" i="38"/>
  <c r="E136" i="38"/>
  <c r="D136" i="38"/>
  <c r="AD136" i="38" s="1"/>
  <c r="C136" i="38"/>
  <c r="B136" i="38"/>
  <c r="AR136" i="38" l="1"/>
  <c r="AH136" i="38"/>
  <c r="AG136" i="38"/>
  <c r="AE136" i="38"/>
  <c r="AC136" i="38"/>
  <c r="AF136" i="38"/>
  <c r="D137" i="38"/>
  <c r="AD137" i="38" s="1"/>
  <c r="B137" i="38"/>
  <c r="E137" i="38"/>
  <c r="A138" i="38"/>
  <c r="C137" i="38"/>
  <c r="AH137" i="38" l="1"/>
  <c r="AR137" i="38"/>
  <c r="AG137" i="38"/>
  <c r="AE137" i="38"/>
  <c r="AC137" i="38"/>
  <c r="AF137" i="38"/>
  <c r="E138" i="38"/>
  <c r="A139" i="38"/>
  <c r="D138" i="38"/>
  <c r="AD138" i="38" s="1"/>
  <c r="C138" i="38"/>
  <c r="B138" i="38"/>
  <c r="AH138" i="38" l="1"/>
  <c r="AR138" i="38"/>
  <c r="AG138" i="38"/>
  <c r="AE138" i="38"/>
  <c r="AC138" i="38"/>
  <c r="AF138" i="38"/>
  <c r="B139" i="38"/>
  <c r="D139" i="38"/>
  <c r="AD139" i="38" s="1"/>
  <c r="C139" i="38"/>
  <c r="A140" i="38"/>
  <c r="E139" i="38"/>
  <c r="AR139" i="38" l="1"/>
  <c r="AH139" i="38"/>
  <c r="AG139" i="38"/>
  <c r="AE139" i="38"/>
  <c r="AC139" i="38"/>
  <c r="AF139" i="38"/>
  <c r="E140" i="38"/>
  <c r="D140" i="38"/>
  <c r="AD140" i="38" s="1"/>
  <c r="C140" i="38"/>
  <c r="A141" i="38"/>
  <c r="B140" i="38"/>
  <c r="AR140" i="38" l="1"/>
  <c r="AH140" i="38"/>
  <c r="AG140" i="38"/>
  <c r="AE140" i="38"/>
  <c r="AC140" i="38"/>
  <c r="AF140" i="38"/>
  <c r="A142" i="38"/>
  <c r="B141" i="38"/>
  <c r="E141" i="38"/>
  <c r="D141" i="38"/>
  <c r="AD141" i="38" s="1"/>
  <c r="C141" i="38"/>
  <c r="AR141" i="38" l="1"/>
  <c r="AH141" i="38"/>
  <c r="AG141" i="38"/>
  <c r="AE141" i="38"/>
  <c r="AC141" i="38"/>
  <c r="AF141" i="38"/>
  <c r="E142" i="38"/>
  <c r="C142" i="38"/>
  <c r="B142" i="38"/>
  <c r="D142" i="38"/>
  <c r="AD142" i="38" s="1"/>
  <c r="A143" i="38"/>
  <c r="AR142" i="38" l="1"/>
  <c r="AH142" i="38"/>
  <c r="AG142" i="38"/>
  <c r="AE142" i="38"/>
  <c r="AC142" i="38"/>
  <c r="AF142" i="38"/>
  <c r="A144" i="38"/>
  <c r="D143" i="38"/>
  <c r="AD143" i="38" s="1"/>
  <c r="C143" i="38"/>
  <c r="B143" i="38"/>
  <c r="E143" i="38"/>
  <c r="AR143" i="38" l="1"/>
  <c r="AH143" i="38"/>
  <c r="AG143" i="38"/>
  <c r="AE143" i="38"/>
  <c r="AC143" i="38"/>
  <c r="AF143" i="38"/>
  <c r="C144" i="38"/>
  <c r="E144" i="38"/>
  <c r="D144" i="38"/>
  <c r="AD144" i="38" s="1"/>
  <c r="A145" i="38"/>
  <c r="B144" i="38"/>
  <c r="AH144" i="38" l="1"/>
  <c r="AR144" i="38"/>
  <c r="AG144" i="38"/>
  <c r="AE144" i="38"/>
  <c r="AC144" i="38"/>
  <c r="AF144" i="38"/>
  <c r="A146" i="38"/>
  <c r="E145" i="38"/>
  <c r="D145" i="38"/>
  <c r="AD145" i="38" s="1"/>
  <c r="C145" i="38"/>
  <c r="B145" i="38"/>
  <c r="AG145" i="38" l="1"/>
  <c r="AR145" i="38"/>
  <c r="AH145" i="38"/>
  <c r="AE145" i="38"/>
  <c r="AC145" i="38"/>
  <c r="AF145" i="38"/>
  <c r="D146" i="38"/>
  <c r="AD146" i="38" s="1"/>
  <c r="C146" i="38"/>
  <c r="B146" i="38"/>
  <c r="A147" i="38"/>
  <c r="E146" i="38"/>
  <c r="AG146" i="38" l="1"/>
  <c r="AH146" i="38"/>
  <c r="AR146" i="38"/>
  <c r="AE146" i="38"/>
  <c r="AC146" i="38"/>
  <c r="AF146" i="38"/>
  <c r="D147" i="38"/>
  <c r="AD147" i="38" s="1"/>
  <c r="C147" i="38"/>
  <c r="B147" i="38"/>
  <c r="A148" i="38"/>
  <c r="E147" i="38"/>
  <c r="AH147" i="38" l="1"/>
  <c r="AR147" i="38"/>
  <c r="AG147" i="38"/>
  <c r="AE147" i="38"/>
  <c r="AC147" i="38"/>
  <c r="AF147" i="38"/>
  <c r="A149" i="38"/>
  <c r="C148" i="38"/>
  <c r="B148" i="38"/>
  <c r="E148" i="38"/>
  <c r="D148" i="38"/>
  <c r="AD148" i="38" s="1"/>
  <c r="AR148" i="38" l="1"/>
  <c r="AH148" i="38"/>
  <c r="AG148" i="38"/>
  <c r="AE148" i="38"/>
  <c r="AC148" i="38"/>
  <c r="AF148" i="38"/>
  <c r="D149" i="38"/>
  <c r="AD149" i="38" s="1"/>
  <c r="B149" i="38"/>
  <c r="A150" i="38"/>
  <c r="E149" i="38"/>
  <c r="C149" i="38"/>
  <c r="AH149" i="38" l="1"/>
  <c r="AG149" i="38"/>
  <c r="AR149" i="38"/>
  <c r="AE149" i="38"/>
  <c r="AC149" i="38"/>
  <c r="AF149" i="38"/>
  <c r="E150" i="38"/>
  <c r="D150" i="38"/>
  <c r="AD150" i="38" s="1"/>
  <c r="C150" i="38"/>
  <c r="A151" i="38"/>
  <c r="B150" i="38"/>
  <c r="AG150" i="38" l="1"/>
  <c r="AR150" i="38"/>
  <c r="AH150" i="38"/>
  <c r="AE150" i="38"/>
  <c r="AC150" i="38"/>
  <c r="AF150" i="38"/>
  <c r="B151" i="38"/>
  <c r="E151" i="38"/>
  <c r="D151" i="38"/>
  <c r="AD151" i="38" s="1"/>
  <c r="C151" i="38"/>
  <c r="A152" i="38"/>
  <c r="AR151" i="38" l="1"/>
  <c r="AH151" i="38"/>
  <c r="AG151" i="38"/>
  <c r="AE151" i="38"/>
  <c r="AC151" i="38"/>
  <c r="AF151" i="38"/>
  <c r="E152" i="38"/>
  <c r="D152" i="38"/>
  <c r="AD152" i="38" s="1"/>
  <c r="C152" i="38"/>
  <c r="A153" i="38"/>
  <c r="B152" i="38"/>
  <c r="AR152" i="38" l="1"/>
  <c r="AH152" i="38"/>
  <c r="AG152" i="38"/>
  <c r="AE152" i="38"/>
  <c r="AC152" i="38"/>
  <c r="AF152" i="38"/>
  <c r="A154" i="38"/>
  <c r="D153" i="38"/>
  <c r="AD153" i="38" s="1"/>
  <c r="C153" i="38"/>
  <c r="B153" i="38"/>
  <c r="E153" i="38"/>
  <c r="AR153" i="38" l="1"/>
  <c r="AG153" i="38"/>
  <c r="AH153" i="38"/>
  <c r="AE153" i="38"/>
  <c r="AC153" i="38"/>
  <c r="AF153" i="38"/>
  <c r="E154" i="38"/>
  <c r="C154" i="38"/>
  <c r="B154" i="38"/>
  <c r="A155" i="38"/>
  <c r="D154" i="38"/>
  <c r="AD154" i="38" s="1"/>
  <c r="AR154" i="38" l="1"/>
  <c r="AG154" i="38"/>
  <c r="AH154" i="38"/>
  <c r="AE154" i="38"/>
  <c r="AC154" i="38"/>
  <c r="AF154" i="38"/>
  <c r="A156" i="38"/>
  <c r="B155" i="38"/>
  <c r="D155" i="38"/>
  <c r="AD155" i="38" s="1"/>
  <c r="C155" i="38"/>
  <c r="E155" i="38"/>
  <c r="AR155" i="38" l="1"/>
  <c r="AH155" i="38"/>
  <c r="AG155" i="38"/>
  <c r="AE155" i="38"/>
  <c r="AC155" i="38"/>
  <c r="AF155" i="38"/>
  <c r="C156" i="38"/>
  <c r="E156" i="38"/>
  <c r="D156" i="38"/>
  <c r="AD156" i="38" s="1"/>
  <c r="B156" i="38"/>
  <c r="A157" i="38"/>
  <c r="AH156" i="38" l="1"/>
  <c r="AR156" i="38"/>
  <c r="AG156" i="38"/>
  <c r="AE156" i="38"/>
  <c r="AC156" i="38"/>
  <c r="AF156" i="38"/>
  <c r="A158" i="38"/>
  <c r="E157" i="38"/>
  <c r="D157" i="38"/>
  <c r="AD157" i="38" s="1"/>
  <c r="C157" i="38"/>
  <c r="B157" i="38"/>
  <c r="AH157" i="38" l="1"/>
  <c r="AG157" i="38"/>
  <c r="AR157" i="38"/>
  <c r="AE157" i="38"/>
  <c r="AC157" i="38"/>
  <c r="AF157" i="38"/>
  <c r="E158" i="38"/>
  <c r="D158" i="38"/>
  <c r="AD158" i="38" s="1"/>
  <c r="C158" i="38"/>
  <c r="B158" i="38"/>
  <c r="A159" i="38"/>
  <c r="AH158" i="38" l="1"/>
  <c r="AG158" i="38"/>
  <c r="AR158" i="38"/>
  <c r="AC158" i="38"/>
  <c r="AE158" i="38"/>
  <c r="AF158" i="38"/>
  <c r="D159" i="38"/>
  <c r="AD159" i="38" s="1"/>
  <c r="C159" i="38"/>
  <c r="B159" i="38"/>
  <c r="A160" i="38"/>
  <c r="E159" i="38"/>
  <c r="AH159" i="38" l="1"/>
  <c r="AR159" i="38"/>
  <c r="AG159" i="38"/>
  <c r="AC159" i="38"/>
  <c r="AE159" i="38"/>
  <c r="AF159" i="38"/>
  <c r="A161" i="38"/>
  <c r="C160" i="38"/>
  <c r="B160" i="38"/>
  <c r="E160" i="38"/>
  <c r="D160" i="38"/>
  <c r="AD160" i="38" s="1"/>
  <c r="AR160" i="38" l="1"/>
  <c r="AH160" i="38"/>
  <c r="AG160" i="38"/>
  <c r="AC160" i="38"/>
  <c r="AE160" i="38"/>
  <c r="AF160" i="38"/>
  <c r="D161" i="38"/>
  <c r="AD161" i="38" s="1"/>
  <c r="B161" i="38"/>
  <c r="A162" i="38"/>
  <c r="E161" i="38"/>
  <c r="C161" i="38"/>
  <c r="AH161" i="38" l="1"/>
  <c r="AR161" i="38"/>
  <c r="AG161" i="38"/>
  <c r="AC161" i="38"/>
  <c r="AE161" i="38"/>
  <c r="AF161" i="38"/>
  <c r="E162" i="38"/>
  <c r="C162" i="38"/>
  <c r="B162" i="38"/>
  <c r="A163" i="38"/>
  <c r="D162" i="38"/>
  <c r="AD162" i="38" s="1"/>
  <c r="AR162" i="38" l="1"/>
  <c r="AH162" i="38"/>
  <c r="AG162" i="38"/>
  <c r="AC162" i="38"/>
  <c r="AE162" i="38"/>
  <c r="AF162" i="38"/>
  <c r="B163" i="38"/>
  <c r="E163" i="38"/>
  <c r="D163" i="38"/>
  <c r="AD163" i="38" s="1"/>
  <c r="C163" i="38"/>
  <c r="A164" i="38"/>
  <c r="AR163" i="38" l="1"/>
  <c r="AH163" i="38"/>
  <c r="AG163" i="38"/>
  <c r="AC163" i="38"/>
  <c r="AE163" i="38"/>
  <c r="AF163" i="38"/>
  <c r="E164" i="38"/>
  <c r="D164" i="38"/>
  <c r="AD164" i="38" s="1"/>
  <c r="C164" i="38"/>
  <c r="A165" i="38"/>
  <c r="B164" i="38"/>
  <c r="AR164" i="38" l="1"/>
  <c r="AG164" i="38"/>
  <c r="AH164" i="38"/>
  <c r="AC164" i="38"/>
  <c r="AE164" i="38"/>
  <c r="AF164" i="38"/>
  <c r="A166" i="38"/>
  <c r="D165" i="38"/>
  <c r="AD165" i="38" s="1"/>
  <c r="C165" i="38"/>
  <c r="B165" i="38"/>
  <c r="E165" i="38"/>
  <c r="AR165" i="38" l="1"/>
  <c r="AG165" i="38"/>
  <c r="AH165" i="38"/>
  <c r="AC165" i="38"/>
  <c r="AE165" i="38"/>
  <c r="AF165" i="38"/>
  <c r="E166" i="38"/>
  <c r="C166" i="38"/>
  <c r="B166" i="38"/>
  <c r="A167" i="38"/>
  <c r="D166" i="38"/>
  <c r="AD166" i="38" s="1"/>
  <c r="AR166" i="38" l="1"/>
  <c r="AH166" i="38"/>
  <c r="AG166" i="38"/>
  <c r="AC166" i="38"/>
  <c r="AE166" i="38"/>
  <c r="AF166" i="38"/>
  <c r="A168" i="38"/>
  <c r="B167" i="38"/>
  <c r="D167" i="38"/>
  <c r="AD167" i="38" s="1"/>
  <c r="C167" i="38"/>
  <c r="E167" i="38"/>
  <c r="AR167" i="38" l="1"/>
  <c r="AH167" i="38"/>
  <c r="AG167" i="38"/>
  <c r="AC167" i="38"/>
  <c r="AE167" i="38"/>
  <c r="AF167" i="38"/>
  <c r="C168" i="38"/>
  <c r="E168" i="38"/>
  <c r="D168" i="38"/>
  <c r="AD168" i="38" s="1"/>
  <c r="A169" i="38"/>
  <c r="B168" i="38"/>
  <c r="AH168" i="38" l="1"/>
  <c r="AR168" i="38"/>
  <c r="AG168" i="38"/>
  <c r="AC168" i="38"/>
  <c r="AE168" i="38"/>
  <c r="AF168" i="38"/>
  <c r="A170" i="38"/>
  <c r="E169" i="38"/>
  <c r="D169" i="38"/>
  <c r="AD169" i="38" s="1"/>
  <c r="C169" i="38"/>
  <c r="B169" i="38"/>
  <c r="AG169" i="38" l="1"/>
  <c r="AR169" i="38"/>
  <c r="AH169" i="38"/>
  <c r="AC169" i="38"/>
  <c r="AE169" i="38"/>
  <c r="AF169" i="38"/>
  <c r="E170" i="38"/>
  <c r="D170" i="38"/>
  <c r="AD170" i="38" s="1"/>
  <c r="C170" i="38"/>
  <c r="B170" i="38"/>
  <c r="A171" i="38"/>
  <c r="AG170" i="38" l="1"/>
  <c r="AH170" i="38"/>
  <c r="AR170" i="38"/>
  <c r="AC170" i="38"/>
  <c r="AE170" i="38"/>
  <c r="AF170" i="38"/>
  <c r="E171" i="38"/>
  <c r="D171" i="38"/>
  <c r="AD171" i="38" s="1"/>
  <c r="C171" i="38"/>
  <c r="B171" i="38"/>
  <c r="A172" i="38"/>
  <c r="AH171" i="38" l="1"/>
  <c r="AR171" i="38"/>
  <c r="AG171" i="38"/>
  <c r="AC171" i="38"/>
  <c r="AE171" i="38"/>
  <c r="AF171" i="38"/>
  <c r="A173" i="38"/>
  <c r="C172" i="38"/>
  <c r="B172" i="38"/>
  <c r="E172" i="38"/>
  <c r="D172" i="38"/>
  <c r="AD172" i="38" s="1"/>
  <c r="AR172" i="38" l="1"/>
  <c r="AH172" i="38"/>
  <c r="AG172" i="38"/>
  <c r="AC172" i="38"/>
  <c r="AE172" i="38"/>
  <c r="AF172" i="38"/>
  <c r="D173" i="38"/>
  <c r="AD173" i="38" s="1"/>
  <c r="C173" i="38"/>
  <c r="B173" i="38"/>
  <c r="A174" i="38"/>
  <c r="E173" i="38"/>
  <c r="AH173" i="38" l="1"/>
  <c r="AG173" i="38"/>
  <c r="AR173" i="38"/>
  <c r="AC173" i="38"/>
  <c r="AE173" i="38"/>
  <c r="AF173" i="38"/>
  <c r="A175" i="38"/>
  <c r="E174" i="38"/>
  <c r="D174" i="38"/>
  <c r="AD174" i="38" s="1"/>
  <c r="C174" i="38"/>
  <c r="B174" i="38"/>
  <c r="AG174" i="38" l="1"/>
  <c r="AR174" i="38"/>
  <c r="AH174" i="38"/>
  <c r="AC174" i="38"/>
  <c r="AE174" i="38"/>
  <c r="AF174" i="38"/>
  <c r="B175" i="38"/>
  <c r="E175" i="38"/>
  <c r="D175" i="38"/>
  <c r="AD175" i="38" s="1"/>
  <c r="C175" i="38"/>
  <c r="A176" i="38"/>
  <c r="AR175" i="38" l="1"/>
  <c r="AH175" i="38"/>
  <c r="AG175" i="38"/>
  <c r="AC175" i="38"/>
  <c r="AE175" i="38"/>
  <c r="AF175" i="38"/>
  <c r="E176" i="38"/>
  <c r="D176" i="38"/>
  <c r="AD176" i="38" s="1"/>
  <c r="C176" i="38"/>
  <c r="A177" i="38"/>
  <c r="B176" i="38"/>
  <c r="AR176" i="38" l="1"/>
  <c r="AG176" i="38"/>
  <c r="AH176" i="38"/>
  <c r="AC176" i="38"/>
  <c r="AE176" i="38"/>
  <c r="AF176" i="38"/>
  <c r="A178" i="38"/>
  <c r="D177" i="38"/>
  <c r="AD177" i="38" s="1"/>
  <c r="C177" i="38"/>
  <c r="B177" i="38"/>
  <c r="E177" i="38"/>
  <c r="AR177" i="38" l="1"/>
  <c r="AH177" i="38"/>
  <c r="AG177" i="38"/>
  <c r="AC177" i="38"/>
  <c r="AE177" i="38"/>
  <c r="AF177" i="38"/>
  <c r="E178" i="38"/>
  <c r="D178" i="38"/>
  <c r="AD178" i="38" s="1"/>
  <c r="C178" i="38"/>
  <c r="B178" i="38"/>
  <c r="A179" i="38"/>
  <c r="AH178" i="38" l="1"/>
  <c r="AR178" i="38"/>
  <c r="AG178" i="38"/>
  <c r="AC178" i="38"/>
  <c r="AE178" i="38"/>
  <c r="AF178" i="38"/>
  <c r="A180" i="38"/>
  <c r="B179" i="38"/>
  <c r="C179" i="38"/>
  <c r="E179" i="38"/>
  <c r="D179" i="38"/>
  <c r="AD179" i="38" s="1"/>
  <c r="AR179" i="38" l="1"/>
  <c r="AH179" i="38"/>
  <c r="AG179" i="38"/>
  <c r="AC179" i="38"/>
  <c r="AE179" i="38"/>
  <c r="AF179" i="38"/>
  <c r="C180" i="38"/>
  <c r="B180" i="38"/>
  <c r="E180" i="38"/>
  <c r="D180" i="38"/>
  <c r="AD180" i="38" s="1"/>
  <c r="A181" i="38"/>
  <c r="AH180" i="38" l="1"/>
  <c r="AR180" i="38"/>
  <c r="AG180" i="38"/>
  <c r="AC180" i="38"/>
  <c r="AE180" i="38"/>
  <c r="AF180" i="38"/>
  <c r="A182" i="38"/>
  <c r="E181" i="38"/>
  <c r="D181" i="38"/>
  <c r="AD181" i="38" s="1"/>
  <c r="C181" i="38"/>
  <c r="B181" i="38"/>
  <c r="AG181" i="38" l="1"/>
  <c r="AH181" i="38"/>
  <c r="AR181" i="38"/>
  <c r="AC181" i="38"/>
  <c r="AE181" i="38"/>
  <c r="AF181" i="38"/>
  <c r="E182" i="38"/>
  <c r="D182" i="38"/>
  <c r="AD182" i="38" s="1"/>
  <c r="C182" i="38"/>
  <c r="B182" i="38"/>
  <c r="A183" i="38"/>
  <c r="AG182" i="38" l="1"/>
  <c r="AH182" i="38"/>
  <c r="AR182" i="38"/>
  <c r="AC182" i="38"/>
  <c r="AE182" i="38"/>
  <c r="AF182" i="38"/>
  <c r="E183" i="38"/>
  <c r="D183" i="38"/>
  <c r="AD183" i="38" s="1"/>
  <c r="C183" i="38"/>
  <c r="B183" i="38"/>
  <c r="A184" i="38"/>
  <c r="AH183" i="38" l="1"/>
  <c r="AR183" i="38"/>
  <c r="AG183" i="38"/>
  <c r="AC183" i="38"/>
  <c r="AE183" i="38"/>
  <c r="AF183" i="38"/>
  <c r="A185" i="38"/>
  <c r="C184" i="38"/>
  <c r="B184" i="38"/>
  <c r="E184" i="38"/>
  <c r="D184" i="38"/>
  <c r="AD184" i="38" s="1"/>
  <c r="AR184" i="38" l="1"/>
  <c r="AH184" i="38"/>
  <c r="AG184" i="38"/>
  <c r="AC184" i="38"/>
  <c r="AE184" i="38"/>
  <c r="AF184" i="38"/>
  <c r="D185" i="38"/>
  <c r="AD185" i="38" s="1"/>
  <c r="C185" i="38"/>
  <c r="B185" i="38"/>
  <c r="A186" i="38"/>
  <c r="E185" i="38"/>
  <c r="AH185" i="38" l="1"/>
  <c r="AR185" i="38"/>
  <c r="AG185" i="38"/>
  <c r="AC185" i="38"/>
  <c r="AE185" i="38"/>
  <c r="AF185" i="38"/>
  <c r="A187" i="38"/>
  <c r="E186" i="38"/>
  <c r="D186" i="38"/>
  <c r="AD186" i="38" s="1"/>
  <c r="C186" i="38"/>
  <c r="B186" i="38"/>
  <c r="AR186" i="38" l="1"/>
  <c r="AG186" i="38"/>
  <c r="AH186" i="38"/>
  <c r="AC186" i="38"/>
  <c r="AE186" i="38"/>
  <c r="AF186" i="38"/>
  <c r="B187" i="38"/>
  <c r="E187" i="38"/>
  <c r="D187" i="38"/>
  <c r="AD187" i="38" s="1"/>
  <c r="C187" i="38"/>
  <c r="A188" i="38"/>
  <c r="AR187" i="38" l="1"/>
  <c r="AH187" i="38"/>
  <c r="AG187" i="38"/>
  <c r="AC187" i="38"/>
  <c r="AE187" i="38"/>
  <c r="AF187" i="38"/>
  <c r="A189" i="38"/>
  <c r="E188" i="38"/>
  <c r="D188" i="38"/>
  <c r="AD188" i="38" s="1"/>
  <c r="C188" i="38"/>
  <c r="B188" i="38"/>
  <c r="AR188" i="38" l="1"/>
  <c r="AH188" i="38"/>
  <c r="AG188" i="38"/>
  <c r="AE188" i="38"/>
  <c r="AC188" i="38"/>
  <c r="AF188" i="38"/>
  <c r="E189" i="38"/>
  <c r="D189" i="38"/>
  <c r="AD189" i="38" s="1"/>
  <c r="A190" i="38"/>
  <c r="B189" i="38"/>
  <c r="C189" i="38"/>
  <c r="AR189" i="38" l="1"/>
  <c r="AH189" i="38"/>
  <c r="AG189" i="38"/>
  <c r="AE189" i="38"/>
  <c r="AC189" i="38"/>
  <c r="AF189" i="38"/>
  <c r="A191" i="38"/>
  <c r="E190" i="38"/>
  <c r="D190" i="38"/>
  <c r="AD190" i="38" s="1"/>
  <c r="C190" i="38"/>
  <c r="B190" i="38"/>
  <c r="AR190" i="38" l="1"/>
  <c r="AH190" i="38"/>
  <c r="AG190" i="38"/>
  <c r="AE190" i="38"/>
  <c r="AC190" i="38"/>
  <c r="AF190" i="38"/>
  <c r="C191" i="38"/>
  <c r="B191" i="38"/>
  <c r="E191" i="38"/>
  <c r="D191" i="38"/>
  <c r="AD191" i="38" s="1"/>
  <c r="A192" i="38"/>
  <c r="AR191" i="38" l="1"/>
  <c r="AH191" i="38"/>
  <c r="AG191" i="38"/>
  <c r="AC191" i="38"/>
  <c r="AE191" i="38"/>
  <c r="AF191" i="38"/>
  <c r="A193" i="38"/>
  <c r="D192" i="38"/>
  <c r="AD192" i="38" s="1"/>
  <c r="C192" i="38"/>
  <c r="B192" i="38"/>
  <c r="E192" i="38"/>
  <c r="AH192" i="38" l="1"/>
  <c r="AR192" i="38"/>
  <c r="AG192" i="38"/>
  <c r="AC192" i="38"/>
  <c r="AE192" i="38"/>
  <c r="AF192" i="38"/>
  <c r="A194" i="38"/>
  <c r="B193" i="38"/>
  <c r="E193" i="38"/>
  <c r="D193" i="38"/>
  <c r="AD193" i="38" s="1"/>
  <c r="C193" i="38"/>
  <c r="AG193" i="38" l="1"/>
  <c r="AR193" i="38"/>
  <c r="AH193" i="38"/>
  <c r="AE193" i="38"/>
  <c r="AC193" i="38"/>
  <c r="AF193" i="38"/>
  <c r="E194" i="38"/>
  <c r="D194" i="38"/>
  <c r="AD194" i="38" s="1"/>
  <c r="C194" i="38"/>
  <c r="B194" i="38"/>
  <c r="A195" i="38"/>
  <c r="AG194" i="38" l="1"/>
  <c r="AH194" i="38"/>
  <c r="AR194" i="38"/>
  <c r="AE194" i="38"/>
  <c r="AC194" i="38"/>
  <c r="AF194" i="38"/>
  <c r="A196" i="38"/>
  <c r="E195" i="38"/>
  <c r="D195" i="38"/>
  <c r="AD195" i="38" s="1"/>
  <c r="C195" i="38"/>
  <c r="B195" i="38"/>
  <c r="AH195" i="38" l="1"/>
  <c r="AR195" i="38"/>
  <c r="AG195" i="38"/>
  <c r="AC195" i="38"/>
  <c r="AE195" i="38"/>
  <c r="AF195" i="38"/>
  <c r="D196" i="38"/>
  <c r="AD196" i="38" s="1"/>
  <c r="C196" i="38"/>
  <c r="B196" i="38"/>
  <c r="A197" i="38"/>
  <c r="E196" i="38"/>
  <c r="AR196" i="38" l="1"/>
  <c r="AH196" i="38"/>
  <c r="AG196" i="38"/>
  <c r="AE196" i="38"/>
  <c r="AC196" i="38"/>
  <c r="AF196" i="38"/>
  <c r="A198" i="38"/>
  <c r="D197" i="38"/>
  <c r="AD197" i="38" s="1"/>
  <c r="C197" i="38"/>
  <c r="B197" i="38"/>
  <c r="E197" i="38"/>
  <c r="AH197" i="38" l="1"/>
  <c r="AG197" i="38"/>
  <c r="AR197" i="38"/>
  <c r="AE197" i="38"/>
  <c r="AC197" i="38"/>
  <c r="AF197" i="38"/>
  <c r="B198" i="38"/>
  <c r="E198" i="38"/>
  <c r="D198" i="38"/>
  <c r="AD198" i="38" s="1"/>
  <c r="C198" i="38"/>
  <c r="A199" i="38"/>
  <c r="AH198" i="38" l="1"/>
  <c r="AG198" i="38"/>
  <c r="AR198" i="38"/>
  <c r="AC198" i="38"/>
  <c r="AE198" i="38"/>
  <c r="AF198" i="38"/>
  <c r="E199" i="38"/>
  <c r="D199" i="38"/>
  <c r="AD199" i="38" s="1"/>
  <c r="C199" i="38"/>
  <c r="B199" i="38"/>
  <c r="A200" i="38"/>
  <c r="AR199" i="38" l="1"/>
  <c r="AH199" i="38"/>
  <c r="AG199" i="38"/>
  <c r="AE199" i="38"/>
  <c r="AC199" i="38"/>
  <c r="AF199" i="38"/>
  <c r="C200" i="38"/>
  <c r="B200" i="38"/>
  <c r="A201" i="38"/>
  <c r="E200" i="38"/>
  <c r="D200" i="38"/>
  <c r="AD200" i="38" s="1"/>
  <c r="AR200" i="38" l="1"/>
  <c r="AH200" i="38"/>
  <c r="AG200" i="38"/>
  <c r="AC200" i="38"/>
  <c r="AE200" i="38"/>
  <c r="AF200" i="38"/>
  <c r="E201" i="38"/>
  <c r="D201" i="38"/>
  <c r="AD201" i="38" s="1"/>
  <c r="C201" i="38"/>
  <c r="B201" i="38"/>
  <c r="A202" i="38"/>
  <c r="AR201" i="38" l="1"/>
  <c r="AH201" i="38"/>
  <c r="AG201" i="38"/>
  <c r="AC201" i="38"/>
  <c r="AE201" i="38"/>
  <c r="AF201" i="38"/>
  <c r="A203" i="38"/>
  <c r="E202" i="38"/>
  <c r="D202" i="38"/>
  <c r="AD202" i="38" s="1"/>
  <c r="C202" i="38"/>
  <c r="B202" i="38"/>
  <c r="AH202" i="38" l="1"/>
  <c r="AR202" i="38"/>
  <c r="AG202" i="38"/>
  <c r="AC202" i="38"/>
  <c r="AE202" i="38"/>
  <c r="AF202" i="38"/>
  <c r="C203" i="38"/>
  <c r="B203" i="38"/>
  <c r="A204" i="38"/>
  <c r="E203" i="38"/>
  <c r="D203" i="38"/>
  <c r="AD203" i="38" s="1"/>
  <c r="AR203" i="38" l="1"/>
  <c r="AH203" i="38"/>
  <c r="AG203" i="38"/>
  <c r="AE203" i="38"/>
  <c r="AC203" i="38"/>
  <c r="AF203" i="38"/>
  <c r="A205" i="38"/>
  <c r="E204" i="38"/>
  <c r="C204" i="38"/>
  <c r="B204" i="38"/>
  <c r="D204" i="38"/>
  <c r="AD204" i="38" s="1"/>
  <c r="AH204" i="38" l="1"/>
  <c r="AR204" i="38"/>
  <c r="AG204" i="38"/>
  <c r="AC204" i="38"/>
  <c r="AE204" i="38"/>
  <c r="AF204" i="38"/>
  <c r="D205" i="38"/>
  <c r="AD205" i="38" s="1"/>
  <c r="E205" i="38"/>
  <c r="C205" i="38"/>
  <c r="B205" i="38"/>
  <c r="A206" i="38"/>
  <c r="AG205" i="38" l="1"/>
  <c r="AR205" i="38"/>
  <c r="AH205" i="38"/>
  <c r="AC205" i="38"/>
  <c r="AE205" i="38"/>
  <c r="AF205" i="38"/>
  <c r="E206" i="38"/>
  <c r="D206" i="38"/>
  <c r="AD206" i="38" s="1"/>
  <c r="C206" i="38"/>
  <c r="A207" i="38"/>
  <c r="B206" i="38"/>
  <c r="AG206" i="38" l="1"/>
  <c r="AH206" i="38"/>
  <c r="AR206" i="38"/>
  <c r="AC206" i="38"/>
  <c r="AE206" i="38"/>
  <c r="AF206" i="38"/>
  <c r="B207" i="38"/>
  <c r="A208" i="38"/>
  <c r="E207" i="38"/>
  <c r="D207" i="38"/>
  <c r="AD207" i="38" s="1"/>
  <c r="C207" i="38"/>
  <c r="AH207" i="38" l="1"/>
  <c r="AR207" i="38"/>
  <c r="AG207" i="38"/>
  <c r="AE207" i="38"/>
  <c r="AC207" i="38"/>
  <c r="AF207" i="38"/>
  <c r="D208" i="38"/>
  <c r="AD208" i="38" s="1"/>
  <c r="C208" i="38"/>
  <c r="B208" i="38"/>
  <c r="A209" i="38"/>
  <c r="E208" i="38"/>
  <c r="AR208" i="38" l="1"/>
  <c r="AH208" i="38"/>
  <c r="AG208" i="38"/>
  <c r="AE208" i="38"/>
  <c r="AC208" i="38"/>
  <c r="AF208" i="38"/>
  <c r="A210" i="38"/>
  <c r="D209" i="38"/>
  <c r="AD209" i="38" s="1"/>
  <c r="C209" i="38"/>
  <c r="B209" i="38"/>
  <c r="E209" i="38"/>
  <c r="AH209" i="38" l="1"/>
  <c r="AR209" i="38"/>
  <c r="AG209" i="38"/>
  <c r="AE209" i="38"/>
  <c r="AC209" i="38"/>
  <c r="AF209" i="38"/>
  <c r="E210" i="38"/>
  <c r="B210" i="38"/>
  <c r="A211" i="38"/>
  <c r="C210" i="38"/>
  <c r="D210" i="38"/>
  <c r="AD210" i="38" s="1"/>
  <c r="AR210" i="38" l="1"/>
  <c r="AH210" i="38"/>
  <c r="AG210" i="38"/>
  <c r="AC210" i="38"/>
  <c r="AE210" i="38"/>
  <c r="AF210" i="38"/>
  <c r="E211" i="38"/>
  <c r="D211" i="38"/>
  <c r="AD211" i="38" s="1"/>
  <c r="A212" i="38"/>
  <c r="C211" i="38"/>
  <c r="B211" i="38"/>
  <c r="AR211" i="38" l="1"/>
  <c r="AH211" i="38"/>
  <c r="AG211" i="38"/>
  <c r="AE211" i="38"/>
  <c r="AC211" i="38"/>
  <c r="AF211" i="38"/>
  <c r="C212" i="38"/>
  <c r="E212" i="38"/>
  <c r="D212" i="38"/>
  <c r="AD212" i="38" s="1"/>
  <c r="B212" i="38"/>
  <c r="A213" i="38"/>
  <c r="AR212" i="38" l="1"/>
  <c r="AH212" i="38"/>
  <c r="AG212" i="38"/>
  <c r="AE212" i="38"/>
  <c r="AC212" i="38"/>
  <c r="AF212" i="38"/>
  <c r="A214" i="38"/>
  <c r="E213" i="38"/>
  <c r="D213" i="38"/>
  <c r="AD213" i="38" s="1"/>
  <c r="C213" i="38"/>
  <c r="B213" i="38"/>
  <c r="AR213" i="38" l="1"/>
  <c r="AH213" i="38"/>
  <c r="AG213" i="38"/>
  <c r="AC213" i="38"/>
  <c r="AE213" i="38"/>
  <c r="AF213" i="38"/>
  <c r="A215" i="38"/>
  <c r="C214" i="38"/>
  <c r="E214" i="38"/>
  <c r="D214" i="38"/>
  <c r="AD214" i="38" s="1"/>
  <c r="B214" i="38"/>
  <c r="AR214" i="38" l="1"/>
  <c r="AH214" i="38"/>
  <c r="AG214" i="38"/>
  <c r="AC214" i="38"/>
  <c r="AE214" i="38"/>
  <c r="AF214" i="38"/>
  <c r="C215" i="38"/>
  <c r="B215" i="38"/>
  <c r="A216" i="38"/>
  <c r="D215" i="38"/>
  <c r="AD215" i="38" s="1"/>
  <c r="E215" i="38"/>
  <c r="AR215" i="38" l="1"/>
  <c r="AG215" i="38"/>
  <c r="AH215" i="38"/>
  <c r="AC215" i="38"/>
  <c r="AE215" i="38"/>
  <c r="AF215" i="38"/>
  <c r="A217" i="38"/>
  <c r="E216" i="38"/>
  <c r="C216" i="38"/>
  <c r="B216" i="38"/>
  <c r="D216" i="38"/>
  <c r="AD216" i="38" s="1"/>
  <c r="AH216" i="38" l="1"/>
  <c r="AR216" i="38"/>
  <c r="AG216" i="38"/>
  <c r="AC216" i="38"/>
  <c r="AE216" i="38"/>
  <c r="AF216" i="38"/>
  <c r="D217" i="38"/>
  <c r="AD217" i="38" s="1"/>
  <c r="A218" i="38"/>
  <c r="E217" i="38"/>
  <c r="C217" i="38"/>
  <c r="B217" i="38"/>
  <c r="AH217" i="38" l="1"/>
  <c r="AG217" i="38"/>
  <c r="AR217" i="38"/>
  <c r="AC217" i="38"/>
  <c r="AE217" i="38"/>
  <c r="AF217" i="38"/>
  <c r="E218" i="38"/>
  <c r="D218" i="38"/>
  <c r="AD218" i="38" s="1"/>
  <c r="C218" i="38"/>
  <c r="B218" i="38"/>
  <c r="A219" i="38"/>
  <c r="AH218" i="38" l="1"/>
  <c r="AG218" i="38"/>
  <c r="AR218" i="38"/>
  <c r="AE218" i="38"/>
  <c r="AC218" i="38"/>
  <c r="AF218" i="38"/>
  <c r="B219" i="38"/>
  <c r="A220" i="38"/>
  <c r="D219" i="38"/>
  <c r="AD219" i="38" s="1"/>
  <c r="E219" i="38"/>
  <c r="C219" i="38"/>
  <c r="AH219" i="38" l="1"/>
  <c r="AR219" i="38"/>
  <c r="AG219" i="38"/>
  <c r="AE219" i="38"/>
  <c r="AC219" i="38"/>
  <c r="AF219" i="38"/>
  <c r="D220" i="38"/>
  <c r="AD220" i="38" s="1"/>
  <c r="C220" i="38"/>
  <c r="B220" i="38"/>
  <c r="A221" i="38"/>
  <c r="E220" i="38"/>
  <c r="AR220" i="38" l="1"/>
  <c r="AH220" i="38"/>
  <c r="AG220" i="38"/>
  <c r="AC220" i="38"/>
  <c r="AE220" i="38"/>
  <c r="AF220" i="38"/>
  <c r="A222" i="38"/>
  <c r="B221" i="38"/>
  <c r="E221" i="38"/>
  <c r="D221" i="38"/>
  <c r="AD221" i="38" s="1"/>
  <c r="C221" i="38"/>
  <c r="AH221" i="38" l="1"/>
  <c r="AR221" i="38"/>
  <c r="AG221" i="38"/>
  <c r="AE221" i="38"/>
  <c r="AC221" i="38"/>
  <c r="AF221" i="38"/>
  <c r="E222" i="38"/>
  <c r="B222" i="38"/>
  <c r="C222" i="38"/>
  <c r="A223" i="38"/>
  <c r="D222" i="38"/>
  <c r="AD222" i="38" s="1"/>
  <c r="AH222" i="38" l="1"/>
  <c r="AG222" i="38"/>
  <c r="AR222" i="38"/>
  <c r="AE222" i="38"/>
  <c r="AC222" i="38"/>
  <c r="AF222" i="38"/>
  <c r="E223" i="38"/>
  <c r="D223" i="38"/>
  <c r="AD223" i="38" s="1"/>
  <c r="B223" i="38"/>
  <c r="C223" i="38"/>
  <c r="A224" i="38"/>
  <c r="AR223" i="38" l="1"/>
  <c r="AH223" i="38"/>
  <c r="AG223" i="38"/>
  <c r="AC223" i="38"/>
  <c r="AE223" i="38"/>
  <c r="AF223" i="38"/>
  <c r="C224" i="38"/>
  <c r="E224" i="38"/>
  <c r="A225" i="38"/>
  <c r="D224" i="38"/>
  <c r="AD224" i="38" s="1"/>
  <c r="B224" i="38"/>
  <c r="AR224" i="38" l="1"/>
  <c r="AH224" i="38"/>
  <c r="AG224" i="38"/>
  <c r="AC224" i="38"/>
  <c r="AE224" i="38"/>
  <c r="AF224" i="38"/>
  <c r="A226" i="38"/>
  <c r="E225" i="38"/>
  <c r="D225" i="38"/>
  <c r="AD225" i="38" s="1"/>
  <c r="C225" i="38"/>
  <c r="B225" i="38"/>
  <c r="AR225" i="38" l="1"/>
  <c r="AG225" i="38"/>
  <c r="AH225" i="38"/>
  <c r="AC225" i="38"/>
  <c r="AE225" i="38"/>
  <c r="AF225" i="38"/>
  <c r="A227" i="38"/>
  <c r="C226" i="38"/>
  <c r="E226" i="38"/>
  <c r="D226" i="38"/>
  <c r="AD226" i="38" s="1"/>
  <c r="B226" i="38"/>
  <c r="AR226" i="38" l="1"/>
  <c r="AG226" i="38"/>
  <c r="AH226" i="38"/>
  <c r="AC226" i="38"/>
  <c r="AE226" i="38"/>
  <c r="AF226" i="38"/>
  <c r="C227" i="38"/>
  <c r="B227" i="38"/>
  <c r="A228" i="38"/>
  <c r="E227" i="38"/>
  <c r="D227" i="38"/>
  <c r="AD227" i="38" s="1"/>
  <c r="AR227" i="38" l="1"/>
  <c r="AH227" i="38"/>
  <c r="AG227" i="38"/>
  <c r="AC227" i="38"/>
  <c r="AE227" i="38"/>
  <c r="AF227" i="38"/>
  <c r="A229" i="38"/>
  <c r="E228" i="38"/>
  <c r="D228" i="38"/>
  <c r="AD228" i="38" s="1"/>
  <c r="C228" i="38"/>
  <c r="B228" i="38"/>
  <c r="AH228" i="38" l="1"/>
  <c r="AG228" i="38"/>
  <c r="AR228" i="38"/>
  <c r="AE228" i="38"/>
  <c r="AC228" i="38"/>
  <c r="AF228" i="38"/>
  <c r="D229" i="38"/>
  <c r="AD229" i="38" s="1"/>
  <c r="B229" i="38"/>
  <c r="A230" i="38"/>
  <c r="E229" i="38"/>
  <c r="C229" i="38"/>
  <c r="AG229" i="38" l="1"/>
  <c r="AH229" i="38"/>
  <c r="AR229" i="38"/>
  <c r="AC229" i="38"/>
  <c r="AE229" i="38"/>
  <c r="AF229" i="38"/>
  <c r="E230" i="38"/>
  <c r="D230" i="38"/>
  <c r="AD230" i="38" s="1"/>
  <c r="C230" i="38"/>
  <c r="A231" i="38"/>
  <c r="B230" i="38"/>
  <c r="AR230" i="38" l="1"/>
  <c r="AG230" i="38"/>
  <c r="AH230" i="38"/>
  <c r="AC230" i="38"/>
  <c r="AE230" i="38"/>
  <c r="AF230" i="38"/>
  <c r="B231" i="38"/>
  <c r="A232" i="38"/>
  <c r="D231" i="38"/>
  <c r="AD231" i="38" s="1"/>
  <c r="E231" i="38"/>
  <c r="C231" i="38"/>
  <c r="AH231" i="38" l="1"/>
  <c r="AR231" i="38"/>
  <c r="AG231" i="38"/>
  <c r="AE231" i="38"/>
  <c r="AC231" i="38"/>
  <c r="AF231" i="38"/>
  <c r="D232" i="38"/>
  <c r="AD232" i="38" s="1"/>
  <c r="C232" i="38"/>
  <c r="B232" i="38"/>
  <c r="E232" i="38"/>
  <c r="A233" i="38"/>
  <c r="AR232" i="38" l="1"/>
  <c r="AH232" i="38"/>
  <c r="AG232" i="38"/>
  <c r="AE232" i="38"/>
  <c r="AC232" i="38"/>
  <c r="AF232" i="38"/>
  <c r="A234" i="38"/>
  <c r="B233" i="38"/>
  <c r="D233" i="38"/>
  <c r="AD233" i="38" s="1"/>
  <c r="C233" i="38"/>
  <c r="E233" i="38"/>
  <c r="AH233" i="38" l="1"/>
  <c r="AR233" i="38"/>
  <c r="AG233" i="38"/>
  <c r="AC233" i="38"/>
  <c r="AE233" i="38"/>
  <c r="AF233" i="38"/>
  <c r="E234" i="38"/>
  <c r="B234" i="38"/>
  <c r="A235" i="38"/>
  <c r="D234" i="38"/>
  <c r="AD234" i="38" s="1"/>
  <c r="C234" i="38"/>
  <c r="AR234" i="38" l="1"/>
  <c r="AG234" i="38"/>
  <c r="AH234" i="38"/>
  <c r="AC234" i="38"/>
  <c r="AE234" i="38"/>
  <c r="AF234" i="38"/>
  <c r="E235" i="38"/>
  <c r="D235" i="38"/>
  <c r="AD235" i="38" s="1"/>
  <c r="A236" i="38"/>
  <c r="C235" i="38"/>
  <c r="B235" i="38"/>
  <c r="AR235" i="38" l="1"/>
  <c r="AH235" i="38"/>
  <c r="AG235" i="38"/>
  <c r="AC235" i="38"/>
  <c r="AE235" i="38"/>
  <c r="AF235" i="38"/>
  <c r="C236" i="38"/>
  <c r="E236" i="38"/>
  <c r="D236" i="38"/>
  <c r="AD236" i="38" s="1"/>
  <c r="B236" i="38"/>
  <c r="A237" i="38"/>
  <c r="AR236" i="38" l="1"/>
  <c r="AG236" i="38"/>
  <c r="AH236" i="38"/>
  <c r="AE236" i="38"/>
  <c r="AC236" i="38"/>
  <c r="AF236" i="38"/>
  <c r="A238" i="38"/>
  <c r="E237" i="38"/>
  <c r="D237" i="38"/>
  <c r="AD237" i="38" s="1"/>
  <c r="C237" i="38"/>
  <c r="B237" i="38"/>
  <c r="AR237" i="38" l="1"/>
  <c r="AH237" i="38"/>
  <c r="AG237" i="38"/>
  <c r="AE237" i="38"/>
  <c r="AC237" i="38"/>
  <c r="AF237" i="38"/>
  <c r="A239" i="38"/>
  <c r="C238" i="38"/>
  <c r="E238" i="38"/>
  <c r="D238" i="38"/>
  <c r="AD238" i="38" s="1"/>
  <c r="B238" i="38"/>
  <c r="AH238" i="38" l="1"/>
  <c r="AR238" i="38"/>
  <c r="AG238" i="38"/>
  <c r="AC238" i="38"/>
  <c r="AE238" i="38"/>
  <c r="AF238" i="38"/>
  <c r="D239" i="38"/>
  <c r="AD239" i="38" s="1"/>
  <c r="C239" i="38"/>
  <c r="B239" i="38"/>
  <c r="A240" i="38"/>
  <c r="E239" i="38"/>
  <c r="AR239" i="38" l="1"/>
  <c r="AH239" i="38"/>
  <c r="AG239" i="38"/>
  <c r="AE239" i="38"/>
  <c r="AC239" i="38"/>
  <c r="AF239" i="38"/>
  <c r="A241" i="38"/>
  <c r="E240" i="38"/>
  <c r="D240" i="38"/>
  <c r="AD240" i="38" s="1"/>
  <c r="C240" i="38"/>
  <c r="B240" i="38"/>
  <c r="AH240" i="38" l="1"/>
  <c r="AG240" i="38"/>
  <c r="AR240" i="38"/>
  <c r="AE240" i="38"/>
  <c r="AC240" i="38"/>
  <c r="AF240" i="38"/>
  <c r="D241" i="38"/>
  <c r="AD241" i="38" s="1"/>
  <c r="B241" i="38"/>
  <c r="A242" i="38"/>
  <c r="E241" i="38"/>
  <c r="C241" i="38"/>
  <c r="AH241" i="38" l="1"/>
  <c r="AG241" i="38"/>
  <c r="AR241" i="38"/>
  <c r="AC241" i="38"/>
  <c r="AE241" i="38"/>
  <c r="AF241" i="38"/>
  <c r="E242" i="38"/>
  <c r="D242" i="38"/>
  <c r="AD242" i="38" s="1"/>
  <c r="C242" i="38"/>
  <c r="B242" i="38"/>
  <c r="A243" i="38"/>
  <c r="AH242" i="38" l="1"/>
  <c r="AG242" i="38"/>
  <c r="AR242" i="38"/>
  <c r="AE242" i="38"/>
  <c r="AC242" i="38"/>
  <c r="AF242" i="38"/>
  <c r="B243" i="38"/>
  <c r="A244" i="38"/>
  <c r="D243" i="38"/>
  <c r="AD243" i="38" s="1"/>
  <c r="E243" i="38"/>
  <c r="C243" i="38"/>
  <c r="AH243" i="38" l="1"/>
  <c r="AR243" i="38"/>
  <c r="AG243" i="38"/>
  <c r="AC243" i="38"/>
  <c r="AE243" i="38"/>
  <c r="AF243" i="38"/>
  <c r="E244" i="38"/>
  <c r="D244" i="38"/>
  <c r="AD244" i="38" s="1"/>
  <c r="C244" i="38"/>
  <c r="B244" i="38"/>
  <c r="A245" i="38"/>
  <c r="AR244" i="38" l="1"/>
  <c r="AH244" i="38"/>
  <c r="AG244" i="38"/>
  <c r="AE244" i="38"/>
  <c r="AC244" i="38"/>
  <c r="AF244" i="38"/>
  <c r="A246" i="38"/>
  <c r="B245" i="38"/>
  <c r="E245" i="38"/>
  <c r="D245" i="38"/>
  <c r="AD245" i="38" s="1"/>
  <c r="C245" i="38"/>
  <c r="AH245" i="38" l="1"/>
  <c r="AR245" i="38"/>
  <c r="AG245" i="38"/>
  <c r="AC245" i="38"/>
  <c r="AE245" i="38"/>
  <c r="AF245" i="38"/>
  <c r="E246" i="38"/>
  <c r="C246" i="38"/>
  <c r="B246" i="38"/>
  <c r="A247" i="38"/>
  <c r="D246" i="38"/>
  <c r="AD246" i="38" s="1"/>
  <c r="AG246" i="38" l="1"/>
  <c r="AR246" i="38"/>
  <c r="AH246" i="38"/>
  <c r="AE246" i="38"/>
  <c r="AC246" i="38"/>
  <c r="AF246" i="38"/>
  <c r="A248" i="38"/>
  <c r="E247" i="38"/>
  <c r="D247" i="38"/>
  <c r="AD247" i="38" s="1"/>
  <c r="C247" i="38"/>
  <c r="B247" i="38"/>
  <c r="AR247" i="38" l="1"/>
  <c r="AH247" i="38"/>
  <c r="AG247" i="38"/>
  <c r="AC247" i="38"/>
  <c r="AE247" i="38"/>
  <c r="AF247" i="38"/>
  <c r="C248" i="38"/>
  <c r="E248" i="38"/>
  <c r="D248" i="38"/>
  <c r="AD248" i="38" s="1"/>
  <c r="B248" i="38"/>
  <c r="A249" i="38"/>
  <c r="AR248" i="38" l="1"/>
  <c r="AG248" i="38"/>
  <c r="AH248" i="38"/>
  <c r="AE248" i="38"/>
  <c r="AC248" i="38"/>
  <c r="AF248" i="38"/>
  <c r="A250" i="38"/>
  <c r="E249" i="38"/>
  <c r="D249" i="38"/>
  <c r="AD249" i="38" s="1"/>
  <c r="C249" i="38"/>
  <c r="B249" i="38"/>
  <c r="AR249" i="38" l="1"/>
  <c r="AH249" i="38"/>
  <c r="AG249" i="38"/>
  <c r="AC249" i="38"/>
  <c r="AE249" i="38"/>
  <c r="AF249" i="38"/>
  <c r="A251" i="38"/>
  <c r="C250" i="38"/>
  <c r="E250" i="38"/>
  <c r="D250" i="38"/>
  <c r="AD250" i="38" s="1"/>
  <c r="B250" i="38"/>
  <c r="AH250" i="38" l="1"/>
  <c r="AR250" i="38"/>
  <c r="AG250" i="38"/>
  <c r="AE250" i="38"/>
  <c r="AC250" i="38"/>
  <c r="AF250" i="38"/>
  <c r="D251" i="38"/>
  <c r="AD251" i="38" s="1"/>
  <c r="C251" i="38"/>
  <c r="B251" i="38"/>
  <c r="A252" i="38"/>
  <c r="E251" i="38"/>
  <c r="AR251" i="38" l="1"/>
  <c r="AH251" i="38"/>
  <c r="AG251" i="38"/>
  <c r="AE251" i="38"/>
  <c r="AC251" i="38"/>
  <c r="AF251" i="38"/>
  <c r="A253" i="38"/>
  <c r="E252" i="38"/>
  <c r="D252" i="38"/>
  <c r="AD252" i="38" s="1"/>
  <c r="C252" i="38"/>
  <c r="B252" i="38"/>
  <c r="AH252" i="38" l="1"/>
  <c r="AR252" i="38"/>
  <c r="AG252" i="38"/>
  <c r="AE252" i="38"/>
  <c r="AC252" i="38"/>
  <c r="AF252" i="38"/>
  <c r="D253" i="38"/>
  <c r="AD253" i="38" s="1"/>
  <c r="B253" i="38"/>
  <c r="A254" i="38"/>
  <c r="E253" i="38"/>
  <c r="C253" i="38"/>
  <c r="AR253" i="38" l="1"/>
  <c r="AG253" i="38"/>
  <c r="AH253" i="38"/>
  <c r="AC253" i="38"/>
  <c r="AE253" i="38"/>
  <c r="AF253" i="38"/>
  <c r="E254" i="38"/>
  <c r="D254" i="38"/>
  <c r="AD254" i="38" s="1"/>
  <c r="C254" i="38"/>
  <c r="B254" i="38"/>
  <c r="A255" i="38"/>
  <c r="AR254" i="38" l="1"/>
  <c r="AG254" i="38"/>
  <c r="AH254" i="38"/>
  <c r="AE254" i="38"/>
  <c r="AC254" i="38"/>
  <c r="AF254" i="38"/>
  <c r="B255" i="38"/>
  <c r="A256" i="38"/>
  <c r="D255" i="38"/>
  <c r="AD255" i="38" s="1"/>
  <c r="E255" i="38"/>
  <c r="C255" i="38"/>
  <c r="AH255" i="38" l="1"/>
  <c r="AR255" i="38"/>
  <c r="AG255" i="38"/>
  <c r="AC255" i="38"/>
  <c r="AE255" i="38"/>
  <c r="AF255" i="38"/>
  <c r="E256" i="38"/>
  <c r="D256" i="38"/>
  <c r="AD256" i="38" s="1"/>
  <c r="C256" i="38"/>
  <c r="B256" i="38"/>
  <c r="A257" i="38"/>
  <c r="AR256" i="38" l="1"/>
  <c r="AH256" i="38"/>
  <c r="AG256" i="38"/>
  <c r="AE256" i="38"/>
  <c r="AC256" i="38"/>
  <c r="AF256" i="38"/>
  <c r="A258" i="38"/>
  <c r="D257" i="38"/>
  <c r="AD257" i="38" s="1"/>
  <c r="B257" i="38"/>
  <c r="C257" i="38"/>
  <c r="E257" i="38"/>
  <c r="AH257" i="38" l="1"/>
  <c r="AR257" i="38"/>
  <c r="AG257" i="38"/>
  <c r="AE257" i="38"/>
  <c r="AC257" i="38"/>
  <c r="AF257" i="38"/>
  <c r="E258" i="38"/>
  <c r="C258" i="38"/>
  <c r="B258" i="38"/>
  <c r="D258" i="38"/>
  <c r="AD258" i="38" s="1"/>
  <c r="A259" i="38"/>
  <c r="AG258" i="38" l="1"/>
  <c r="AH258" i="38"/>
  <c r="AR258" i="38"/>
  <c r="AE258" i="38"/>
  <c r="AC258" i="38"/>
  <c r="AF258" i="38"/>
  <c r="A260" i="38"/>
  <c r="E259" i="38"/>
  <c r="D259" i="38"/>
  <c r="AD259" i="38" s="1"/>
  <c r="B259" i="38"/>
  <c r="C259" i="38"/>
  <c r="AR259" i="38" l="1"/>
  <c r="AH259" i="38"/>
  <c r="AG259" i="38"/>
  <c r="AE259" i="38"/>
  <c r="AC259" i="38"/>
  <c r="AF259" i="38"/>
  <c r="C260" i="38"/>
  <c r="E260" i="38"/>
  <c r="A261" i="38"/>
  <c r="D260" i="38"/>
  <c r="AD260" i="38" s="1"/>
  <c r="B260" i="38"/>
  <c r="AR260" i="38" l="1"/>
  <c r="AH260" i="38"/>
  <c r="AG260" i="38"/>
  <c r="AC260" i="38"/>
  <c r="AE260" i="38"/>
  <c r="AF260" i="38"/>
  <c r="A262" i="38"/>
  <c r="E261" i="38"/>
  <c r="D261" i="38"/>
  <c r="AD261" i="38" s="1"/>
  <c r="C261" i="38"/>
  <c r="B261" i="38"/>
  <c r="AR261" i="38" l="1"/>
  <c r="AH261" i="38"/>
  <c r="AG261" i="38"/>
  <c r="AC261" i="38"/>
  <c r="AE261" i="38"/>
  <c r="AF261" i="38"/>
  <c r="A263" i="38"/>
  <c r="E262" i="38"/>
  <c r="C262" i="38"/>
  <c r="D262" i="38"/>
  <c r="AD262" i="38" s="1"/>
  <c r="B262" i="38"/>
  <c r="AH262" i="38" l="1"/>
  <c r="AR262" i="38"/>
  <c r="AG262" i="38"/>
  <c r="AC262" i="38"/>
  <c r="AE262" i="38"/>
  <c r="AF262" i="38"/>
  <c r="D263" i="38"/>
  <c r="AD263" i="38" s="1"/>
  <c r="C263" i="38"/>
  <c r="B263" i="38"/>
  <c r="A264" i="38"/>
  <c r="E263" i="38"/>
  <c r="AR263" i="38" l="1"/>
  <c r="AH263" i="38"/>
  <c r="AG263" i="38"/>
  <c r="AE263" i="38"/>
  <c r="AC263" i="38"/>
  <c r="AF263" i="38"/>
  <c r="A265" i="38"/>
  <c r="E264" i="38"/>
  <c r="C264" i="38"/>
  <c r="B264" i="38"/>
  <c r="D264" i="38"/>
  <c r="AD264" i="38" s="1"/>
  <c r="AH264" i="38" l="1"/>
  <c r="AG264" i="38"/>
  <c r="AR264" i="38"/>
  <c r="AE264" i="38"/>
  <c r="AC264" i="38"/>
  <c r="AF264" i="38"/>
  <c r="D265" i="38"/>
  <c r="AD265" i="38" s="1"/>
  <c r="B265" i="38"/>
  <c r="A266" i="38"/>
  <c r="E265" i="38"/>
  <c r="C265" i="38"/>
  <c r="AG265" i="38" l="1"/>
  <c r="AR265" i="38"/>
  <c r="AH265" i="38"/>
  <c r="AC265" i="38"/>
  <c r="AE265" i="38"/>
  <c r="AF265" i="38"/>
  <c r="E266" i="38"/>
  <c r="D266" i="38"/>
  <c r="AD266" i="38" s="1"/>
  <c r="C266" i="38"/>
  <c r="B266" i="38"/>
  <c r="A267" i="38"/>
  <c r="AG266" i="38" l="1"/>
  <c r="AR266" i="38"/>
  <c r="AH266" i="38"/>
  <c r="AE266" i="38"/>
  <c r="AC266" i="38"/>
  <c r="AF266" i="38"/>
  <c r="B267" i="38"/>
  <c r="A268" i="38"/>
  <c r="D267" i="38"/>
  <c r="AD267" i="38" s="1"/>
  <c r="E267" i="38"/>
  <c r="C267" i="38"/>
  <c r="AH267" i="38" l="1"/>
  <c r="AR267" i="38"/>
  <c r="AG267" i="38"/>
  <c r="AE267" i="38"/>
  <c r="AC267" i="38"/>
  <c r="AF267" i="38"/>
  <c r="E268" i="38"/>
  <c r="D268" i="38"/>
  <c r="AD268" i="38" s="1"/>
  <c r="C268" i="38"/>
  <c r="B268" i="38"/>
  <c r="A269" i="38"/>
  <c r="AR268" i="38" l="1"/>
  <c r="AH268" i="38"/>
  <c r="AG268" i="38"/>
  <c r="AE268" i="38"/>
  <c r="AC268" i="38"/>
  <c r="AF268" i="38"/>
  <c r="A270" i="38"/>
  <c r="D269" i="38"/>
  <c r="AD269" i="38" s="1"/>
  <c r="C269" i="38"/>
  <c r="B269" i="38"/>
  <c r="E269" i="38"/>
  <c r="AH269" i="38" l="1"/>
  <c r="AR269" i="38"/>
  <c r="AG269" i="38"/>
  <c r="AE269" i="38"/>
  <c r="AC269" i="38"/>
  <c r="AF269" i="38"/>
  <c r="E270" i="38"/>
  <c r="C270" i="38"/>
  <c r="B270" i="38"/>
  <c r="A271" i="38"/>
  <c r="D270" i="38"/>
  <c r="AD270" i="38" s="1"/>
  <c r="AR270" i="38" l="1"/>
  <c r="AH270" i="38"/>
  <c r="AG270" i="38"/>
  <c r="AE270" i="38"/>
  <c r="AC270" i="38"/>
  <c r="AF270" i="38"/>
  <c r="A272" i="38"/>
  <c r="E271" i="38"/>
  <c r="D271" i="38"/>
  <c r="AD271" i="38" s="1"/>
  <c r="B271" i="38"/>
  <c r="C271" i="38"/>
  <c r="AR271" i="38" l="1"/>
  <c r="AH271" i="38"/>
  <c r="AG271" i="38"/>
  <c r="AE271" i="38"/>
  <c r="AC271" i="38"/>
  <c r="AF271" i="38"/>
  <c r="C272" i="38"/>
  <c r="E272" i="38"/>
  <c r="B272" i="38"/>
  <c r="D272" i="38"/>
  <c r="AD272" i="38" s="1"/>
  <c r="A273" i="38"/>
  <c r="AR272" i="38" l="1"/>
  <c r="AH272" i="38"/>
  <c r="AG272" i="38"/>
  <c r="AC272" i="38"/>
  <c r="AE272" i="38"/>
  <c r="AF272" i="38"/>
  <c r="A274" i="38"/>
  <c r="E273" i="38"/>
  <c r="D273" i="38"/>
  <c r="AD273" i="38" s="1"/>
  <c r="C273" i="38"/>
  <c r="B273" i="38"/>
  <c r="AR273" i="38" l="1"/>
  <c r="AH273" i="38"/>
  <c r="AG273" i="38"/>
  <c r="AE273" i="38"/>
  <c r="AC273" i="38"/>
  <c r="AF273" i="38"/>
  <c r="A275" i="38"/>
  <c r="E274" i="38"/>
  <c r="D274" i="38"/>
  <c r="AD274" i="38" s="1"/>
  <c r="C274" i="38"/>
  <c r="B274" i="38"/>
  <c r="AR274" i="38" l="1"/>
  <c r="AH274" i="38"/>
  <c r="AG274" i="38"/>
  <c r="AE274" i="38"/>
  <c r="AC274" i="38"/>
  <c r="AF274" i="38"/>
  <c r="E275" i="38"/>
  <c r="D275" i="38"/>
  <c r="AD275" i="38" s="1"/>
  <c r="C275" i="38"/>
  <c r="B275" i="38"/>
  <c r="A276" i="38"/>
  <c r="AR275" i="38" l="1"/>
  <c r="AH275" i="38"/>
  <c r="AG275" i="38"/>
  <c r="AE275" i="38"/>
  <c r="AC275" i="38"/>
  <c r="AF275" i="38"/>
  <c r="A277" i="38"/>
  <c r="E276" i="38"/>
  <c r="C276" i="38"/>
  <c r="B276" i="38"/>
  <c r="D276" i="38"/>
  <c r="AD276" i="38" s="1"/>
  <c r="AH276" i="38" l="1"/>
  <c r="AG276" i="38"/>
  <c r="AR276" i="38"/>
  <c r="AC276" i="38"/>
  <c r="AE276" i="38"/>
  <c r="AF276" i="38"/>
  <c r="D277" i="38"/>
  <c r="AD277" i="38" s="1"/>
  <c r="C277" i="38"/>
  <c r="B277" i="38"/>
  <c r="A278" i="38"/>
  <c r="E277" i="38"/>
  <c r="AG277" i="38" l="1"/>
  <c r="AR277" i="38"/>
  <c r="AH277" i="38"/>
  <c r="AC277" i="38"/>
  <c r="AE277" i="38"/>
  <c r="AF277" i="38"/>
  <c r="A279" i="38"/>
  <c r="E278" i="38"/>
  <c r="D278" i="38"/>
  <c r="AD278" i="38" s="1"/>
  <c r="C278" i="38"/>
  <c r="B278" i="38"/>
  <c r="AH278" i="38" l="1"/>
  <c r="AG278" i="38"/>
  <c r="AR278" i="38"/>
  <c r="AE278" i="38"/>
  <c r="AC278" i="38"/>
  <c r="AF278" i="38"/>
  <c r="B279" i="38"/>
  <c r="A280" i="38"/>
  <c r="E279" i="38"/>
  <c r="D279" i="38"/>
  <c r="AD279" i="38" s="1"/>
  <c r="C279" i="38"/>
  <c r="AH279" i="38" l="1"/>
  <c r="AR279" i="38"/>
  <c r="AG279" i="38"/>
  <c r="AE279" i="38"/>
  <c r="AC279" i="38"/>
  <c r="AF279" i="38"/>
  <c r="E280" i="38"/>
  <c r="D280" i="38"/>
  <c r="AD280" i="38" s="1"/>
  <c r="C280" i="38"/>
  <c r="B280" i="38"/>
  <c r="A281" i="38"/>
  <c r="AR280" i="38" l="1"/>
  <c r="AH280" i="38"/>
  <c r="AG280" i="38"/>
  <c r="AC280" i="38"/>
  <c r="AE280" i="38"/>
  <c r="AF280" i="38"/>
  <c r="A282" i="38"/>
  <c r="D281" i="38"/>
  <c r="AD281" i="38" s="1"/>
  <c r="C281" i="38"/>
  <c r="B281" i="38"/>
  <c r="E281" i="38"/>
  <c r="AH281" i="38" l="1"/>
  <c r="AR281" i="38"/>
  <c r="AG281" i="38"/>
  <c r="AC281" i="38"/>
  <c r="AF281" i="38"/>
  <c r="AE281" i="38"/>
  <c r="E282" i="38"/>
  <c r="D282" i="38"/>
  <c r="AD282" i="38" s="1"/>
  <c r="C282" i="38"/>
  <c r="B282" i="38"/>
  <c r="A283" i="38"/>
  <c r="AH282" i="38" l="1"/>
  <c r="AR282" i="38"/>
  <c r="AG282" i="38"/>
  <c r="AC282" i="38"/>
  <c r="AF282" i="38"/>
  <c r="AE282" i="38"/>
  <c r="A284" i="38"/>
  <c r="E283" i="38"/>
  <c r="D283" i="38"/>
  <c r="AD283" i="38" s="1"/>
  <c r="B283" i="38"/>
  <c r="C283" i="38"/>
  <c r="AR283" i="38" l="1"/>
  <c r="AH283" i="38"/>
  <c r="AG283" i="38"/>
  <c r="AC283" i="38"/>
  <c r="AF283" i="38"/>
  <c r="AE283" i="38"/>
  <c r="D284" i="38"/>
  <c r="AD284" i="38" s="1"/>
  <c r="C284" i="38"/>
  <c r="B284" i="38"/>
  <c r="A285" i="38"/>
  <c r="E284" i="38"/>
  <c r="AR284" i="38" l="1"/>
  <c r="AH284" i="38"/>
  <c r="AG284" i="38"/>
  <c r="AC284" i="38"/>
  <c r="AE284" i="38"/>
  <c r="AF284" i="38"/>
  <c r="B285" i="38"/>
  <c r="A286" i="38"/>
  <c r="D285" i="38"/>
  <c r="AD285" i="38" s="1"/>
  <c r="C285" i="38"/>
  <c r="E285" i="38"/>
  <c r="AR285" i="38" l="1"/>
  <c r="AH285" i="38"/>
  <c r="AG285" i="38"/>
  <c r="AC285" i="38"/>
  <c r="AE285" i="38"/>
  <c r="AF285" i="38"/>
  <c r="A287" i="38"/>
  <c r="E286" i="38"/>
  <c r="D286" i="38"/>
  <c r="AD286" i="38" s="1"/>
  <c r="C286" i="38"/>
  <c r="B286" i="38"/>
  <c r="AR286" i="38" l="1"/>
  <c r="AG286" i="38"/>
  <c r="AH286" i="38"/>
  <c r="AC286" i="38"/>
  <c r="AE286" i="38"/>
  <c r="AF286" i="38"/>
  <c r="C287" i="38"/>
  <c r="B287" i="38"/>
  <c r="A288" i="38"/>
  <c r="E287" i="38"/>
  <c r="D287" i="38"/>
  <c r="AD287" i="38" s="1"/>
  <c r="AR287" i="38" l="1"/>
  <c r="AG287" i="38"/>
  <c r="AH287" i="38"/>
  <c r="AC287" i="38"/>
  <c r="AF287" i="38"/>
  <c r="AE287" i="38"/>
  <c r="A289" i="38"/>
  <c r="E288" i="38"/>
  <c r="C288" i="38"/>
  <c r="B288" i="38"/>
  <c r="D288" i="38"/>
  <c r="AD288" i="38" s="1"/>
  <c r="AH288" i="38" l="1"/>
  <c r="AG288" i="38"/>
  <c r="AR288" i="38"/>
  <c r="AC288" i="38"/>
  <c r="AF288" i="38"/>
  <c r="AE288" i="38"/>
  <c r="E289" i="38"/>
  <c r="D289" i="38"/>
  <c r="AD289" i="38" s="1"/>
  <c r="B289" i="38"/>
  <c r="A290" i="38"/>
  <c r="C289" i="38"/>
  <c r="AG289" i="38" l="1"/>
  <c r="AH289" i="38"/>
  <c r="AR289" i="38"/>
  <c r="AC289" i="38"/>
  <c r="AE289" i="38"/>
  <c r="AF289" i="38"/>
  <c r="C290" i="38"/>
  <c r="E290" i="38"/>
  <c r="D290" i="38"/>
  <c r="AD290" i="38" s="1"/>
  <c r="B290" i="38"/>
  <c r="A291" i="38"/>
  <c r="AG290" i="38" l="1"/>
  <c r="AH290" i="38"/>
  <c r="AR290" i="38"/>
  <c r="AC290" i="38"/>
  <c r="AE290" i="38"/>
  <c r="AF290" i="38"/>
  <c r="A292" i="38"/>
  <c r="C291" i="38"/>
  <c r="E291" i="38"/>
  <c r="D291" i="38"/>
  <c r="AD291" i="38" s="1"/>
  <c r="B291" i="38"/>
  <c r="AH291" i="38" l="1"/>
  <c r="AR291" i="38"/>
  <c r="AG291" i="38"/>
  <c r="AC291" i="38"/>
  <c r="AF291" i="38"/>
  <c r="AE291" i="38"/>
  <c r="D292" i="38"/>
  <c r="AD292" i="38" s="1"/>
  <c r="A293" i="38"/>
  <c r="E292" i="38"/>
  <c r="B292" i="38"/>
  <c r="C292" i="38"/>
  <c r="AR292" i="38" l="1"/>
  <c r="AH292" i="38"/>
  <c r="AG292" i="38"/>
  <c r="AC292" i="38"/>
  <c r="AF292" i="38"/>
  <c r="AE292" i="38"/>
  <c r="E293" i="38"/>
  <c r="C293" i="38"/>
  <c r="B293" i="38"/>
  <c r="A294" i="38"/>
  <c r="D293" i="38"/>
  <c r="AD293" i="38" s="1"/>
  <c r="AH293" i="38" l="1"/>
  <c r="AR293" i="38"/>
  <c r="AG293" i="38"/>
  <c r="AC293" i="38"/>
  <c r="AF293" i="38"/>
  <c r="AE293" i="38"/>
  <c r="B294" i="38"/>
  <c r="D294" i="38"/>
  <c r="AD294" i="38" s="1"/>
  <c r="C294" i="38"/>
  <c r="A295" i="38"/>
  <c r="E294" i="38"/>
  <c r="AR294" i="38" l="1"/>
  <c r="AG294" i="38"/>
  <c r="AH294" i="38"/>
  <c r="AC294" i="38"/>
  <c r="AF294" i="38"/>
  <c r="AE294" i="38"/>
  <c r="D295" i="38"/>
  <c r="AD295" i="38" s="1"/>
  <c r="A296" i="38"/>
  <c r="E295" i="38"/>
  <c r="C295" i="38"/>
  <c r="B295" i="38"/>
  <c r="AR295" i="38" l="1"/>
  <c r="AH295" i="38"/>
  <c r="AG295" i="38"/>
  <c r="AC295" i="38"/>
  <c r="AF295" i="38"/>
  <c r="AE295" i="38"/>
  <c r="D296" i="38"/>
  <c r="AD296" i="38" s="1"/>
  <c r="A297" i="38"/>
  <c r="E296" i="38"/>
  <c r="C296" i="38"/>
  <c r="B296" i="38"/>
  <c r="AR296" i="38" l="1"/>
  <c r="AH296" i="38"/>
  <c r="AG296" i="38"/>
  <c r="AC296" i="38"/>
  <c r="AE296" i="38"/>
  <c r="AF296" i="38"/>
  <c r="E297" i="38"/>
  <c r="B297" i="38"/>
  <c r="A298" i="38"/>
  <c r="D297" i="38"/>
  <c r="AD297" i="38" s="1"/>
  <c r="C297" i="38"/>
  <c r="AR297" i="38" l="1"/>
  <c r="AG297" i="38"/>
  <c r="AH297" i="38"/>
  <c r="AC297" i="38"/>
  <c r="AE297" i="38"/>
  <c r="AF297" i="38"/>
  <c r="B298" i="38"/>
  <c r="C298" i="38"/>
  <c r="A299" i="38"/>
  <c r="E298" i="38"/>
  <c r="D298" i="38"/>
  <c r="AD298" i="38" s="1"/>
  <c r="AR298" i="38" l="1"/>
  <c r="AH298" i="38"/>
  <c r="AG298" i="38"/>
  <c r="AC298" i="38"/>
  <c r="AF298" i="38"/>
  <c r="AE298" i="38"/>
  <c r="C299" i="38"/>
  <c r="E299" i="38"/>
  <c r="D299" i="38"/>
  <c r="AD299" i="38" s="1"/>
  <c r="B299" i="38"/>
  <c r="A300" i="38"/>
  <c r="AR299" i="38" l="1"/>
  <c r="AH299" i="38"/>
  <c r="AG299" i="38"/>
  <c r="AC299" i="38"/>
  <c r="AF299" i="38"/>
  <c r="AE299" i="38"/>
  <c r="A301" i="38"/>
  <c r="E300" i="38"/>
  <c r="D300" i="38"/>
  <c r="AD300" i="38" s="1"/>
  <c r="C300" i="38"/>
  <c r="B300" i="38"/>
  <c r="AH300" i="38" l="1"/>
  <c r="AG300" i="38"/>
  <c r="AR300" i="38"/>
  <c r="AC300" i="38"/>
  <c r="AE300" i="38"/>
  <c r="AF300" i="38"/>
  <c r="E301" i="38"/>
  <c r="C301" i="38"/>
  <c r="D301" i="38"/>
  <c r="AD301" i="38" s="1"/>
  <c r="B301" i="38"/>
  <c r="A302" i="38"/>
  <c r="AH301" i="38" l="1"/>
  <c r="AG301" i="38"/>
  <c r="AR301" i="38"/>
  <c r="AC301" i="38"/>
  <c r="AE301" i="38"/>
  <c r="AF301" i="38"/>
  <c r="D302" i="38"/>
  <c r="AD302" i="38" s="1"/>
  <c r="C302" i="38"/>
  <c r="A303" i="38"/>
  <c r="E302" i="38"/>
  <c r="B302" i="38"/>
  <c r="AH302" i="38" l="1"/>
  <c r="AG302" i="38"/>
  <c r="AR302" i="38"/>
  <c r="AC302" i="38"/>
  <c r="AF302" i="38"/>
  <c r="AE302" i="38"/>
  <c r="A304" i="38"/>
  <c r="C303" i="38"/>
  <c r="D303" i="38"/>
  <c r="AD303" i="38" s="1"/>
  <c r="B303" i="38"/>
  <c r="E303" i="38"/>
  <c r="AH303" i="38" l="1"/>
  <c r="AR303" i="38"/>
  <c r="AG303" i="38"/>
  <c r="AC303" i="38"/>
  <c r="AE303" i="38"/>
  <c r="AF303" i="38"/>
  <c r="D304" i="38"/>
  <c r="AD304" i="38" s="1"/>
  <c r="B304" i="38"/>
  <c r="A305" i="38"/>
  <c r="E304" i="38"/>
  <c r="C304" i="38"/>
  <c r="AR304" i="38" l="1"/>
  <c r="AH304" i="38"/>
  <c r="AG304" i="38"/>
  <c r="AC304" i="38"/>
  <c r="AF304" i="38"/>
  <c r="AE304" i="38"/>
  <c r="C305" i="38"/>
  <c r="B305" i="38"/>
  <c r="E305" i="38"/>
  <c r="D305" i="38"/>
  <c r="AD305" i="38" s="1"/>
  <c r="A306" i="38"/>
  <c r="AH305" i="38" l="1"/>
  <c r="AR305" i="38"/>
  <c r="AG305" i="38"/>
  <c r="AC305" i="38"/>
  <c r="AE305" i="38"/>
  <c r="AF305" i="38"/>
  <c r="B306" i="38"/>
  <c r="E306" i="38"/>
  <c r="D306" i="38"/>
  <c r="AD306" i="38" s="1"/>
  <c r="A307" i="38"/>
  <c r="C306" i="38"/>
  <c r="AH306" i="38" l="1"/>
  <c r="AG306" i="38"/>
  <c r="AR306" i="38"/>
  <c r="AC306" i="38"/>
  <c r="AF306" i="38"/>
  <c r="AE306" i="38"/>
  <c r="E307" i="38"/>
  <c r="D307" i="38"/>
  <c r="AD307" i="38" s="1"/>
  <c r="A308" i="38"/>
  <c r="C307" i="38"/>
  <c r="B307" i="38"/>
  <c r="AR307" i="38" l="1"/>
  <c r="AH307" i="38"/>
  <c r="AG307" i="38"/>
  <c r="AC307" i="38"/>
  <c r="AF307" i="38"/>
  <c r="AE307" i="38"/>
  <c r="D308" i="38"/>
  <c r="AD308" i="38" s="1"/>
  <c r="C308" i="38"/>
  <c r="B308" i="38"/>
  <c r="A309" i="38"/>
  <c r="E308" i="38"/>
  <c r="AR308" i="38" l="1"/>
  <c r="AG308" i="38"/>
  <c r="AH308" i="38"/>
  <c r="AC308" i="38"/>
  <c r="AE308" i="38"/>
  <c r="AF308" i="38"/>
  <c r="E309" i="38"/>
  <c r="C309" i="38"/>
  <c r="B309" i="38"/>
  <c r="A310" i="38"/>
  <c r="D309" i="38"/>
  <c r="AD309" i="38" s="1"/>
  <c r="AR309" i="38" l="1"/>
  <c r="AG309" i="38"/>
  <c r="AH309" i="38"/>
  <c r="AC309" i="38"/>
  <c r="AF309" i="38"/>
  <c r="AE309" i="38"/>
  <c r="A311" i="38"/>
  <c r="B310" i="38"/>
  <c r="E310" i="38"/>
  <c r="D310" i="38"/>
  <c r="AD310" i="38" s="1"/>
  <c r="C310" i="38"/>
  <c r="AH310" i="38" l="1"/>
  <c r="AR310" i="38"/>
  <c r="AG310" i="38"/>
  <c r="AC310" i="38"/>
  <c r="AF310" i="38"/>
  <c r="AE310" i="38"/>
  <c r="C311" i="38"/>
  <c r="E311" i="38"/>
  <c r="D311" i="38"/>
  <c r="AD311" i="38" s="1"/>
  <c r="B311" i="38"/>
  <c r="A312" i="38"/>
  <c r="AR311" i="38" l="1"/>
  <c r="AH311" i="38"/>
  <c r="AG311" i="38"/>
  <c r="AC311" i="38"/>
  <c r="AE311" i="38"/>
  <c r="AF311" i="38"/>
  <c r="A313" i="38"/>
  <c r="E312" i="38"/>
  <c r="D312" i="38"/>
  <c r="AD312" i="38" s="1"/>
  <c r="C312" i="38"/>
  <c r="B312" i="38"/>
  <c r="AH312" i="38" l="1"/>
  <c r="AG312" i="38"/>
  <c r="AR312" i="38"/>
  <c r="AC312" i="38"/>
  <c r="AE312" i="38"/>
  <c r="AF312" i="38"/>
  <c r="E313" i="38"/>
  <c r="D313" i="38"/>
  <c r="AD313" i="38" s="1"/>
  <c r="C313" i="38"/>
  <c r="A314" i="38"/>
  <c r="B313" i="38"/>
  <c r="AR313" i="38" l="1"/>
  <c r="AG313" i="38"/>
  <c r="AH313" i="38"/>
  <c r="AC313" i="38"/>
  <c r="AE313" i="38"/>
  <c r="AF313" i="38"/>
  <c r="D314" i="38"/>
  <c r="AD314" i="38" s="1"/>
  <c r="C314" i="38"/>
  <c r="A315" i="38"/>
  <c r="E314" i="38"/>
  <c r="B314" i="38"/>
  <c r="AR314" i="38" l="1"/>
  <c r="AG314" i="38"/>
  <c r="AH314" i="38"/>
  <c r="AC314" i="38"/>
  <c r="AE314" i="38"/>
  <c r="AF314" i="38"/>
  <c r="A316" i="38"/>
  <c r="D315" i="38"/>
  <c r="AD315" i="38" s="1"/>
  <c r="C315" i="38"/>
  <c r="B315" i="38"/>
  <c r="E315" i="38"/>
  <c r="AH315" i="38" l="1"/>
  <c r="AR315" i="38"/>
  <c r="AG315" i="38"/>
  <c r="AC315" i="38"/>
  <c r="AF315" i="38"/>
  <c r="AE315" i="38"/>
  <c r="D316" i="38"/>
  <c r="AD316" i="38" s="1"/>
  <c r="B316" i="38"/>
  <c r="A317" i="38"/>
  <c r="E316" i="38"/>
  <c r="C316" i="38"/>
  <c r="AR316" i="38" l="1"/>
  <c r="AH316" i="38"/>
  <c r="AG316" i="38"/>
  <c r="AC316" i="38"/>
  <c r="AF316" i="38"/>
  <c r="AE316" i="38"/>
  <c r="B317" i="38"/>
  <c r="E317" i="38"/>
  <c r="A318" i="38"/>
  <c r="D317" i="38"/>
  <c r="AD317" i="38" s="1"/>
  <c r="C317" i="38"/>
  <c r="AH317" i="38" l="1"/>
  <c r="AR317" i="38"/>
  <c r="AG317" i="38"/>
  <c r="AC317" i="38"/>
  <c r="AF317" i="38"/>
  <c r="AE317" i="38"/>
  <c r="B318" i="38"/>
  <c r="E318" i="38"/>
  <c r="D318" i="38"/>
  <c r="AD318" i="38" s="1"/>
  <c r="C318" i="38"/>
  <c r="A319" i="38"/>
  <c r="AR318" i="38" l="1"/>
  <c r="AG318" i="38"/>
  <c r="AH318" i="38"/>
  <c r="AC318" i="38"/>
  <c r="AE318" i="38"/>
  <c r="AF318" i="38"/>
  <c r="E319" i="38"/>
  <c r="D319" i="38"/>
  <c r="AD319" i="38" s="1"/>
  <c r="B319" i="38"/>
  <c r="A320" i="38"/>
  <c r="C319" i="38"/>
  <c r="AR319" i="38" l="1"/>
  <c r="AH319" i="38"/>
  <c r="AG319" i="38"/>
  <c r="AC319" i="38"/>
  <c r="AF319" i="38"/>
  <c r="AE319" i="38"/>
  <c r="E320" i="38"/>
  <c r="D320" i="38"/>
  <c r="AD320" i="38" s="1"/>
  <c r="C320" i="38"/>
  <c r="B320" i="38"/>
  <c r="A321" i="38"/>
  <c r="AR320" i="38" l="1"/>
  <c r="AG320" i="38"/>
  <c r="AH320" i="38"/>
  <c r="AC320" i="38"/>
  <c r="AE320" i="38"/>
  <c r="AF320" i="38"/>
  <c r="E321" i="38"/>
  <c r="C321" i="38"/>
  <c r="B321" i="38"/>
  <c r="A322" i="38"/>
  <c r="D321" i="38"/>
  <c r="AD321" i="38" s="1"/>
  <c r="AR321" i="38" l="1"/>
  <c r="AH321" i="38"/>
  <c r="AG321" i="38"/>
  <c r="AC321" i="38"/>
  <c r="AF321" i="38"/>
  <c r="AE321" i="38"/>
  <c r="A323" i="38"/>
  <c r="C322" i="38"/>
  <c r="B322" i="38"/>
  <c r="E322" i="38"/>
  <c r="D322" i="38"/>
  <c r="AD322" i="38" s="1"/>
  <c r="AH322" i="38" l="1"/>
  <c r="AR322" i="38"/>
  <c r="AG322" i="38"/>
  <c r="AC322" i="38"/>
  <c r="AE322" i="38"/>
  <c r="AF322" i="38"/>
  <c r="C323" i="38"/>
  <c r="A324" i="38"/>
  <c r="E323" i="38"/>
  <c r="D323" i="38"/>
  <c r="AD323" i="38" s="1"/>
  <c r="B323" i="38"/>
  <c r="AR323" i="38" l="1"/>
  <c r="AH323" i="38"/>
  <c r="AG323" i="38"/>
  <c r="AC323" i="38"/>
  <c r="AE323" i="38"/>
  <c r="AF323" i="38"/>
  <c r="A325" i="38"/>
  <c r="E324" i="38"/>
  <c r="D324" i="38"/>
  <c r="AD324" i="38" s="1"/>
  <c r="C324" i="38"/>
  <c r="B324" i="38"/>
  <c r="AH324" i="38" l="1"/>
  <c r="AG324" i="38"/>
  <c r="AR324" i="38"/>
  <c r="AC324" i="38"/>
  <c r="AF324" i="38"/>
  <c r="AE324" i="38"/>
  <c r="E325" i="38"/>
  <c r="D325" i="38"/>
  <c r="AD325" i="38" s="1"/>
  <c r="C325" i="38"/>
  <c r="A326" i="38"/>
  <c r="B325" i="38"/>
  <c r="AG325" i="38" l="1"/>
  <c r="AH325" i="38"/>
  <c r="AR325" i="38"/>
  <c r="AC325" i="38"/>
  <c r="AE325" i="38"/>
  <c r="AF325" i="38"/>
  <c r="D326" i="38"/>
  <c r="AD326" i="38" s="1"/>
  <c r="C326" i="38"/>
  <c r="A327" i="38"/>
  <c r="E326" i="38"/>
  <c r="B326" i="38"/>
  <c r="AG326" i="38" l="1"/>
  <c r="AR326" i="38"/>
  <c r="AH326" i="38"/>
  <c r="AC326" i="38"/>
  <c r="AE326" i="38"/>
  <c r="AF326" i="38"/>
  <c r="A328" i="38"/>
  <c r="D327" i="38"/>
  <c r="AD327" i="38" s="1"/>
  <c r="C327" i="38"/>
  <c r="B327" i="38"/>
  <c r="E327" i="38"/>
  <c r="AH327" i="38" l="1"/>
  <c r="AR327" i="38"/>
  <c r="AG327" i="38"/>
  <c r="AC327" i="38"/>
  <c r="AE327" i="38"/>
  <c r="AF327" i="38"/>
  <c r="D328" i="38"/>
  <c r="AD328" i="38" s="1"/>
  <c r="B328" i="38"/>
  <c r="A329" i="38"/>
  <c r="E328" i="38"/>
  <c r="C328" i="38"/>
  <c r="AR328" i="38" l="1"/>
  <c r="AH328" i="38"/>
  <c r="AG328" i="38"/>
  <c r="AC328" i="38"/>
  <c r="AF328" i="38"/>
  <c r="AE328" i="38"/>
  <c r="B329" i="38"/>
  <c r="E329" i="38"/>
  <c r="A330" i="38"/>
  <c r="D329" i="38"/>
  <c r="AD329" i="38" s="1"/>
  <c r="C329" i="38"/>
  <c r="AH329" i="38" l="1"/>
  <c r="AG329" i="38"/>
  <c r="AR329" i="38"/>
  <c r="AC329" i="38"/>
  <c r="AE329" i="38"/>
  <c r="AF329" i="38"/>
  <c r="B330" i="38"/>
  <c r="E330" i="38"/>
  <c r="D330" i="38"/>
  <c r="AD330" i="38" s="1"/>
  <c r="C330" i="38"/>
  <c r="A331" i="38"/>
  <c r="AG330" i="38" l="1"/>
  <c r="AH330" i="38"/>
  <c r="AR330" i="38"/>
  <c r="AC330" i="38"/>
  <c r="AE330" i="38"/>
  <c r="AF330" i="38"/>
  <c r="E331" i="38"/>
  <c r="D331" i="38"/>
  <c r="AD331" i="38" s="1"/>
  <c r="A332" i="38"/>
  <c r="C331" i="38"/>
  <c r="B331" i="38"/>
  <c r="AR331" i="38" l="1"/>
  <c r="AH331" i="38"/>
  <c r="AG331" i="38"/>
  <c r="AC331" i="38"/>
  <c r="AF331" i="38"/>
  <c r="AE331" i="38"/>
  <c r="E332" i="38"/>
  <c r="D332" i="38"/>
  <c r="AD332" i="38" s="1"/>
  <c r="C332" i="38"/>
  <c r="B332" i="38"/>
  <c r="A333" i="38"/>
  <c r="AR332" i="38" l="1"/>
  <c r="AH332" i="38"/>
  <c r="AG332" i="38"/>
  <c r="AC332" i="38"/>
  <c r="AF332" i="38"/>
  <c r="AE332" i="38"/>
  <c r="E333" i="38"/>
  <c r="C333" i="38"/>
  <c r="B333" i="38"/>
  <c r="A334" i="38"/>
  <c r="D333" i="38"/>
  <c r="AD333" i="38" s="1"/>
  <c r="AR333" i="38" l="1"/>
  <c r="AH333" i="38"/>
  <c r="AG333" i="38"/>
  <c r="AC333" i="38"/>
  <c r="AF333" i="38"/>
  <c r="AE333" i="38"/>
  <c r="A335" i="38"/>
  <c r="C334" i="38"/>
  <c r="B334" i="38"/>
  <c r="E334" i="38"/>
  <c r="D334" i="38"/>
  <c r="AD334" i="38" s="1"/>
  <c r="AR334" i="38" l="1"/>
  <c r="AH334" i="38"/>
  <c r="AG334" i="38"/>
  <c r="AC334" i="38"/>
  <c r="AE334" i="38"/>
  <c r="AF334" i="38"/>
  <c r="C335" i="38"/>
  <c r="A336" i="38"/>
  <c r="E335" i="38"/>
  <c r="D335" i="38"/>
  <c r="AD335" i="38" s="1"/>
  <c r="B335" i="38"/>
  <c r="AR335" i="38" l="1"/>
  <c r="AH335" i="38"/>
  <c r="AG335" i="38"/>
  <c r="AC335" i="38"/>
  <c r="AF335" i="38"/>
  <c r="AE335" i="38"/>
  <c r="A337" i="38"/>
  <c r="E336" i="38"/>
  <c r="D336" i="38"/>
  <c r="AD336" i="38" s="1"/>
  <c r="C336" i="38"/>
  <c r="B336" i="38"/>
  <c r="AH336" i="38" l="1"/>
  <c r="AR336" i="38"/>
  <c r="AG336" i="38"/>
  <c r="AC336" i="38"/>
  <c r="AE336" i="38"/>
  <c r="AF336" i="38"/>
  <c r="E337" i="38"/>
  <c r="D337" i="38"/>
  <c r="AD337" i="38" s="1"/>
  <c r="C337" i="38"/>
  <c r="A338" i="38"/>
  <c r="B337" i="38"/>
  <c r="AR337" i="38" l="1"/>
  <c r="AG337" i="38"/>
  <c r="AH337" i="38"/>
  <c r="AC337" i="38"/>
  <c r="AE337" i="38"/>
  <c r="AF337" i="38"/>
  <c r="D338" i="38"/>
  <c r="AD338" i="38" s="1"/>
  <c r="C338" i="38"/>
  <c r="A339" i="38"/>
  <c r="E338" i="38"/>
  <c r="B338" i="38"/>
  <c r="AR338" i="38" l="1"/>
  <c r="AG338" i="38"/>
  <c r="AH338" i="38"/>
  <c r="AC338" i="38"/>
  <c r="AE338" i="38"/>
  <c r="AF338" i="38"/>
  <c r="A340" i="38"/>
  <c r="D339" i="38"/>
  <c r="AD339" i="38" s="1"/>
  <c r="C339" i="38"/>
  <c r="B339" i="38"/>
  <c r="E339" i="38"/>
  <c r="AH339" i="38" l="1"/>
  <c r="AR339" i="38"/>
  <c r="AG339" i="38"/>
  <c r="AE339" i="38"/>
  <c r="AC339" i="38"/>
  <c r="AF339" i="38"/>
  <c r="D340" i="38"/>
  <c r="AD340" i="38" s="1"/>
  <c r="B340" i="38"/>
  <c r="A341" i="38"/>
  <c r="C340" i="38"/>
  <c r="E340" i="38"/>
  <c r="AR340" i="38" l="1"/>
  <c r="AH340" i="38"/>
  <c r="AG340" i="38"/>
  <c r="AE340" i="38"/>
  <c r="AC340" i="38"/>
  <c r="AF340" i="38"/>
  <c r="B341" i="38"/>
  <c r="C341" i="38"/>
  <c r="E341" i="38"/>
  <c r="A342" i="38"/>
  <c r="D341" i="38"/>
  <c r="AD341" i="38" s="1"/>
  <c r="AH341" i="38" l="1"/>
  <c r="AG341" i="38"/>
  <c r="AR341" i="38"/>
  <c r="AE341" i="38"/>
  <c r="AC341" i="38"/>
  <c r="AF341" i="38"/>
  <c r="B342" i="38"/>
  <c r="E342" i="38"/>
  <c r="D342" i="38"/>
  <c r="AD342" i="38" s="1"/>
  <c r="C342" i="38"/>
  <c r="A343" i="38"/>
  <c r="AH342" i="38" l="1"/>
  <c r="AR342" i="38"/>
  <c r="AG342" i="38"/>
  <c r="AC342" i="38"/>
  <c r="AE342" i="38"/>
  <c r="AF342" i="38"/>
  <c r="E343" i="38"/>
  <c r="D343" i="38"/>
  <c r="AD343" i="38" s="1"/>
  <c r="A344" i="38"/>
  <c r="C343" i="38"/>
  <c r="B343" i="38"/>
  <c r="AR343" i="38" l="1"/>
  <c r="AH343" i="38"/>
  <c r="AG343" i="38"/>
  <c r="AC343" i="38"/>
  <c r="AE343" i="38"/>
  <c r="AF343" i="38"/>
  <c r="E344" i="38"/>
  <c r="D344" i="38"/>
  <c r="AD344" i="38" s="1"/>
  <c r="C344" i="38"/>
  <c r="B344" i="38"/>
  <c r="A345" i="38"/>
  <c r="AR344" i="38" l="1"/>
  <c r="AH344" i="38"/>
  <c r="AG344" i="38"/>
  <c r="AC344" i="38"/>
  <c r="AE344" i="38"/>
  <c r="AF344" i="38"/>
  <c r="E345" i="38"/>
  <c r="D345" i="38"/>
  <c r="AD345" i="38" s="1"/>
  <c r="C345" i="38"/>
  <c r="B345" i="38"/>
  <c r="A346" i="38"/>
  <c r="AR345" i="38" l="1"/>
  <c r="AH345" i="38"/>
  <c r="AG345" i="38"/>
  <c r="AC345" i="38"/>
  <c r="AE345" i="38"/>
  <c r="AF345" i="38"/>
  <c r="A347" i="38"/>
  <c r="C346" i="38"/>
  <c r="B346" i="38"/>
  <c r="E346" i="38"/>
  <c r="D346" i="38"/>
  <c r="AD346" i="38" s="1"/>
  <c r="AH346" i="38" l="1"/>
  <c r="AR346" i="38"/>
  <c r="AG346" i="38"/>
  <c r="AE346" i="38"/>
  <c r="AC346" i="38"/>
  <c r="AF346" i="38"/>
  <c r="D347" i="38"/>
  <c r="AD347" i="38" s="1"/>
  <c r="C347" i="38"/>
  <c r="B347" i="38"/>
  <c r="A348" i="38"/>
  <c r="E347" i="38"/>
  <c r="AR347" i="38" l="1"/>
  <c r="AG347" i="38"/>
  <c r="AH347" i="38"/>
  <c r="AE347" i="38"/>
  <c r="AC347" i="38"/>
  <c r="AF347" i="38"/>
  <c r="A349" i="38"/>
  <c r="E348" i="38"/>
  <c r="D348" i="38"/>
  <c r="AD348" i="38" s="1"/>
  <c r="B348" i="38"/>
  <c r="C348" i="38"/>
  <c r="AH348" i="38" l="1"/>
  <c r="AR348" i="38"/>
  <c r="AG348" i="38"/>
  <c r="AE348" i="38"/>
  <c r="AC348" i="38"/>
  <c r="AF348" i="38"/>
  <c r="B349" i="38"/>
  <c r="E349" i="38"/>
  <c r="D349" i="38"/>
  <c r="AD349" i="38" s="1"/>
  <c r="C349" i="38"/>
  <c r="A350" i="38"/>
  <c r="AG349" i="38" l="1"/>
  <c r="AR349" i="38"/>
  <c r="AH349" i="38"/>
  <c r="AC349" i="38"/>
  <c r="AE349" i="38"/>
  <c r="AF349" i="38"/>
  <c r="E350" i="38"/>
  <c r="D350" i="38"/>
  <c r="AD350" i="38" s="1"/>
  <c r="C350" i="38"/>
  <c r="A351" i="38"/>
  <c r="B350" i="38"/>
  <c r="AG350" i="38" l="1"/>
  <c r="AH350" i="38"/>
  <c r="AR350" i="38"/>
  <c r="AE350" i="38"/>
  <c r="AC350" i="38"/>
  <c r="AF350" i="38"/>
  <c r="A352" i="38"/>
  <c r="D351" i="38"/>
  <c r="AD351" i="38" s="1"/>
  <c r="C351" i="38"/>
  <c r="B351" i="38"/>
  <c r="E351" i="38"/>
  <c r="AH351" i="38" l="1"/>
  <c r="AR351" i="38"/>
  <c r="AG351" i="38"/>
  <c r="AC351" i="38"/>
  <c r="AE351" i="38"/>
  <c r="AF351" i="38"/>
  <c r="E352" i="38"/>
  <c r="D352" i="38"/>
  <c r="AD352" i="38" s="1"/>
  <c r="C352" i="38"/>
  <c r="B352" i="38"/>
  <c r="A353" i="38"/>
  <c r="AR352" i="38" l="1"/>
  <c r="AH352" i="38"/>
  <c r="AG352" i="38"/>
  <c r="AC352" i="38"/>
  <c r="AE352" i="38"/>
  <c r="AF352" i="38"/>
  <c r="A354" i="38"/>
  <c r="B353" i="38"/>
  <c r="E353" i="38"/>
  <c r="D353" i="38"/>
  <c r="AD353" i="38" s="1"/>
  <c r="C353" i="38"/>
  <c r="AH353" i="38" l="1"/>
  <c r="AR353" i="38"/>
  <c r="AG353" i="38"/>
  <c r="AE353" i="38"/>
  <c r="AC353" i="38"/>
  <c r="AF353" i="38"/>
  <c r="C354" i="38"/>
  <c r="B354" i="38"/>
  <c r="E354" i="38"/>
  <c r="D354" i="38"/>
  <c r="AD354" i="38" s="1"/>
  <c r="A355" i="38"/>
  <c r="AR354" i="38" l="1"/>
  <c r="AH354" i="38"/>
  <c r="AG354" i="38"/>
  <c r="AC354" i="38"/>
  <c r="AE354" i="38"/>
  <c r="AF354" i="38"/>
  <c r="A356" i="38"/>
  <c r="E355" i="38"/>
  <c r="D355" i="38"/>
  <c r="AD355" i="38" s="1"/>
  <c r="C355" i="38"/>
  <c r="B355" i="38"/>
  <c r="AR355" i="38" l="1"/>
  <c r="AH355" i="38"/>
  <c r="AG355" i="38"/>
  <c r="AC355" i="38"/>
  <c r="AE355" i="38"/>
  <c r="AF355" i="38"/>
  <c r="E356" i="38"/>
  <c r="D356" i="38"/>
  <c r="AD356" i="38" s="1"/>
  <c r="C356" i="38"/>
  <c r="B356" i="38"/>
  <c r="A357" i="38"/>
  <c r="AR356" i="38" l="1"/>
  <c r="AH356" i="38"/>
  <c r="AG356" i="38"/>
  <c r="AC356" i="38"/>
  <c r="AE356" i="38"/>
  <c r="AF356" i="38"/>
  <c r="E357" i="38"/>
  <c r="D357" i="38"/>
  <c r="AD357" i="38" s="1"/>
  <c r="C357" i="38"/>
  <c r="B357" i="38"/>
  <c r="A358" i="38"/>
  <c r="AR357" i="38" l="1"/>
  <c r="AH357" i="38"/>
  <c r="AG357" i="38"/>
  <c r="AE357" i="38"/>
  <c r="AC357" i="38"/>
  <c r="AF357" i="38"/>
  <c r="A359" i="38"/>
  <c r="C358" i="38"/>
  <c r="B358" i="38"/>
  <c r="E358" i="38"/>
  <c r="D358" i="38"/>
  <c r="AD358" i="38" s="1"/>
  <c r="AR358" i="38" l="1"/>
  <c r="AG358" i="38"/>
  <c r="AH358" i="38"/>
  <c r="AE358" i="38"/>
  <c r="AC358" i="38"/>
  <c r="AF358" i="38"/>
  <c r="D359" i="38"/>
  <c r="AD359" i="38" s="1"/>
  <c r="C359" i="38"/>
  <c r="B359" i="38"/>
  <c r="A360" i="38"/>
  <c r="E359" i="38"/>
  <c r="AR359" i="38" l="1"/>
  <c r="AH359" i="38"/>
  <c r="AG359" i="38"/>
  <c r="AE359" i="38"/>
  <c r="AC359" i="38"/>
  <c r="AF359" i="38"/>
  <c r="A361" i="38"/>
  <c r="E360" i="38"/>
  <c r="D360" i="38"/>
  <c r="AD360" i="38" s="1"/>
  <c r="C360" i="38"/>
  <c r="B360" i="38"/>
  <c r="AH360" i="38" l="1"/>
  <c r="AR360" i="38"/>
  <c r="AG360" i="38"/>
  <c r="AE360" i="38"/>
  <c r="AC360" i="38"/>
  <c r="AF360" i="38"/>
  <c r="B361" i="38"/>
  <c r="E361" i="38"/>
  <c r="D361" i="38"/>
  <c r="AD361" i="38" s="1"/>
  <c r="C361" i="38"/>
  <c r="A362" i="38"/>
  <c r="AH361" i="38" l="1"/>
  <c r="AG361" i="38"/>
  <c r="AR361" i="38"/>
  <c r="AC361" i="38"/>
  <c r="AE361" i="38"/>
  <c r="AF361" i="38"/>
  <c r="E362" i="38"/>
  <c r="D362" i="38"/>
  <c r="AD362" i="38" s="1"/>
  <c r="C362" i="38"/>
  <c r="A363" i="38"/>
  <c r="B362" i="38"/>
  <c r="AH362" i="38" l="1"/>
  <c r="AG362" i="38"/>
  <c r="AR362" i="38"/>
  <c r="AC362" i="38"/>
  <c r="AE362" i="38"/>
  <c r="AF362" i="38"/>
  <c r="A364" i="38"/>
  <c r="D363" i="38"/>
  <c r="AD363" i="38" s="1"/>
  <c r="C363" i="38"/>
  <c r="B363" i="38"/>
  <c r="E363" i="38"/>
  <c r="AH363" i="38" l="1"/>
  <c r="AR363" i="38"/>
  <c r="AG363" i="38"/>
  <c r="AE363" i="38"/>
  <c r="AC363" i="38"/>
  <c r="AF363" i="38"/>
  <c r="E364" i="38"/>
  <c r="D364" i="38"/>
  <c r="AD364" i="38" s="1"/>
  <c r="C364" i="38"/>
  <c r="B364" i="38"/>
  <c r="A365" i="38"/>
  <c r="AR364" i="38" l="1"/>
  <c r="AH364" i="38"/>
  <c r="AG364" i="38"/>
  <c r="AC364" i="38"/>
  <c r="AE364" i="38"/>
  <c r="AF364" i="38"/>
  <c r="A366" i="38"/>
  <c r="B365" i="38"/>
  <c r="E365" i="38"/>
  <c r="C365" i="38"/>
  <c r="D365" i="38"/>
  <c r="AD365" i="38" s="1"/>
  <c r="AH365" i="38" l="1"/>
  <c r="AR365" i="38"/>
  <c r="AG365" i="38"/>
  <c r="AE365" i="38"/>
  <c r="AC365" i="38"/>
  <c r="AF365" i="38"/>
  <c r="C366" i="38"/>
  <c r="B366" i="38"/>
  <c r="E366" i="38"/>
  <c r="D366" i="38"/>
  <c r="AD366" i="38" s="1"/>
  <c r="A367" i="38"/>
  <c r="AH366" i="38" l="1"/>
  <c r="AG366" i="38"/>
  <c r="AR366" i="38"/>
  <c r="AE366" i="38"/>
  <c r="AC366" i="38"/>
  <c r="AF366" i="38"/>
  <c r="A368" i="38"/>
  <c r="E367" i="38"/>
  <c r="D367" i="38"/>
  <c r="AD367" i="38" s="1"/>
  <c r="C367" i="38"/>
  <c r="B367" i="38"/>
  <c r="AR367" i="38" l="1"/>
  <c r="AH367" i="38"/>
  <c r="AG367" i="38"/>
  <c r="AC367" i="38"/>
  <c r="AE367" i="38"/>
  <c r="AF367" i="38"/>
  <c r="E368" i="38"/>
  <c r="D368" i="38"/>
  <c r="AD368" i="38" s="1"/>
  <c r="C368" i="38"/>
  <c r="B368" i="38"/>
  <c r="A369" i="38"/>
  <c r="C11" i="9" l="1"/>
  <c r="C26" i="9"/>
  <c r="C17" i="9"/>
  <c r="C14" i="9"/>
  <c r="AR368" i="38"/>
  <c r="AH368" i="38"/>
  <c r="AG368" i="38"/>
  <c r="AC368" i="38"/>
  <c r="AE368" i="38"/>
  <c r="AF368" i="38"/>
  <c r="E369" i="38"/>
  <c r="D369" i="38"/>
  <c r="AD369" i="38" s="1"/>
  <c r="C369" i="38"/>
  <c r="B369" i="38"/>
  <c r="AR369" i="38" l="1"/>
  <c r="AG369" i="38"/>
  <c r="AH369" i="38"/>
  <c r="AE369" i="38"/>
  <c r="AC369" i="38"/>
  <c r="AF369" i="38"/>
  <c r="Q9" i="39"/>
  <c r="Q6" i="39"/>
  <c r="Z3" i="39"/>
  <c r="Q8" i="39"/>
  <c r="Z4" i="39"/>
  <c r="AM4" i="39"/>
  <c r="AM2" i="39"/>
  <c r="Z2" i="39"/>
  <c r="Q3" i="39"/>
  <c r="Q10" i="39"/>
  <c r="Q11" i="39"/>
  <c r="Q4" i="39"/>
  <c r="Q7" i="39"/>
  <c r="Q2" i="39"/>
  <c r="AM3" i="39"/>
  <c r="Q5" i="39"/>
  <c r="BJ6" i="20"/>
  <c r="BJ7" i="20"/>
  <c r="BJ8" i="20"/>
  <c r="BJ9" i="20"/>
  <c r="BJ10" i="20"/>
  <c r="BJ11" i="20"/>
  <c r="BJ12" i="20"/>
  <c r="BJ13" i="20"/>
  <c r="BJ14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51" i="20"/>
  <c r="BJ52" i="20"/>
  <c r="BJ53" i="20"/>
  <c r="BJ54" i="20"/>
  <c r="BJ55" i="20"/>
  <c r="BJ56" i="20"/>
  <c r="BJ57" i="20"/>
  <c r="BJ58" i="20"/>
  <c r="BJ59" i="20"/>
  <c r="BJ60" i="20"/>
  <c r="BJ61" i="20"/>
  <c r="BJ62" i="20"/>
  <c r="BJ63" i="20"/>
  <c r="BJ64" i="20"/>
  <c r="BJ65" i="20"/>
  <c r="BJ66" i="20"/>
  <c r="BJ67" i="20"/>
  <c r="BJ68" i="20"/>
  <c r="BJ69" i="20"/>
  <c r="BJ70" i="20"/>
  <c r="BJ71" i="20"/>
  <c r="BJ72" i="20"/>
  <c r="BJ73" i="20"/>
  <c r="BJ74" i="20"/>
  <c r="BJ75" i="20"/>
  <c r="BJ76" i="20"/>
  <c r="BJ77" i="20"/>
  <c r="BJ78" i="20"/>
  <c r="BJ79" i="20"/>
  <c r="BJ80" i="20"/>
  <c r="BJ81" i="20"/>
  <c r="BJ82" i="20"/>
  <c r="BJ83" i="20"/>
  <c r="BJ84" i="20"/>
  <c r="BJ85" i="20"/>
  <c r="BJ86" i="20"/>
  <c r="BJ87" i="20"/>
  <c r="BJ88" i="20"/>
  <c r="BJ89" i="20"/>
  <c r="BJ90" i="20"/>
  <c r="BJ91" i="20"/>
  <c r="BJ92" i="20"/>
  <c r="BJ93" i="20"/>
  <c r="BJ94" i="20"/>
  <c r="BJ95" i="20"/>
  <c r="BJ96" i="20"/>
  <c r="BJ97" i="20"/>
  <c r="BJ98" i="20"/>
  <c r="BJ99" i="20"/>
  <c r="BJ100" i="20"/>
  <c r="BJ101" i="20"/>
  <c r="BJ102" i="20"/>
  <c r="BJ103" i="20"/>
  <c r="BJ104" i="20"/>
  <c r="BJ105" i="20"/>
  <c r="BJ106" i="20"/>
  <c r="BJ107" i="20"/>
  <c r="BJ108" i="20"/>
  <c r="BJ109" i="20"/>
  <c r="BJ110" i="20"/>
  <c r="BJ111" i="20"/>
  <c r="BJ112" i="20"/>
  <c r="BJ113" i="20"/>
  <c r="BJ114" i="20"/>
  <c r="BJ115" i="20"/>
  <c r="BJ116" i="20"/>
  <c r="BJ117" i="20"/>
  <c r="BJ118" i="20"/>
  <c r="BJ119" i="20"/>
  <c r="BJ120" i="20"/>
  <c r="BJ121" i="20"/>
  <c r="BJ122" i="20"/>
  <c r="BJ123" i="20"/>
  <c r="BJ124" i="20"/>
  <c r="BJ125" i="20"/>
  <c r="BJ126" i="20"/>
  <c r="BJ127" i="20"/>
  <c r="BJ128" i="20"/>
  <c r="BJ129" i="20"/>
  <c r="BJ130" i="20"/>
  <c r="BJ131" i="20"/>
  <c r="BJ132" i="20"/>
  <c r="BJ133" i="20"/>
  <c r="BJ134" i="20"/>
  <c r="BJ135" i="20"/>
  <c r="BJ136" i="20"/>
  <c r="BJ137" i="20"/>
  <c r="BJ138" i="20"/>
  <c r="BJ139" i="20"/>
  <c r="BJ140" i="20"/>
  <c r="BJ141" i="20"/>
  <c r="BJ142" i="20"/>
  <c r="BJ143" i="20"/>
  <c r="BJ144" i="20"/>
  <c r="BJ145" i="20"/>
  <c r="BJ146" i="20"/>
  <c r="BJ147" i="20"/>
  <c r="BJ148" i="20"/>
  <c r="BJ149" i="20"/>
  <c r="BJ150" i="20"/>
  <c r="BJ151" i="20"/>
  <c r="BJ152" i="20"/>
  <c r="BJ153" i="20"/>
  <c r="BJ154" i="20"/>
  <c r="BJ155" i="20"/>
  <c r="BJ156" i="20"/>
  <c r="BJ157" i="20"/>
  <c r="BJ158" i="20"/>
  <c r="BJ159" i="20"/>
  <c r="BJ160" i="20"/>
  <c r="BJ161" i="20"/>
  <c r="BJ162" i="20"/>
  <c r="BJ163" i="20"/>
  <c r="BJ164" i="20"/>
  <c r="BJ165" i="20"/>
  <c r="BJ166" i="20"/>
  <c r="BJ167" i="20"/>
  <c r="BJ168" i="20"/>
  <c r="BJ169" i="20"/>
  <c r="BJ170" i="20"/>
  <c r="BJ171" i="20"/>
  <c r="BJ172" i="20"/>
  <c r="BJ173" i="20"/>
  <c r="BJ174" i="20"/>
  <c r="BJ175" i="20"/>
  <c r="BJ176" i="20"/>
  <c r="BJ177" i="20"/>
  <c r="BJ178" i="20"/>
  <c r="BJ179" i="20"/>
  <c r="BJ180" i="20"/>
  <c r="BJ181" i="20"/>
  <c r="BJ182" i="20"/>
  <c r="BJ183" i="20"/>
  <c r="BJ184" i="20"/>
  <c r="BJ185" i="20"/>
  <c r="BJ186" i="20"/>
  <c r="BJ187" i="20"/>
  <c r="BJ188" i="20"/>
  <c r="BJ189" i="20"/>
  <c r="BJ190" i="20"/>
  <c r="BJ191" i="20"/>
  <c r="BJ192" i="20"/>
  <c r="BJ193" i="20"/>
  <c r="BJ194" i="20"/>
  <c r="BJ195" i="20"/>
  <c r="BJ196" i="20"/>
  <c r="BJ197" i="20"/>
  <c r="BJ198" i="20"/>
  <c r="BJ199" i="20"/>
  <c r="BJ200" i="20"/>
  <c r="BJ201" i="20"/>
  <c r="BJ202" i="20"/>
  <c r="BJ203" i="20"/>
  <c r="BJ204" i="20"/>
  <c r="BJ205" i="20"/>
  <c r="BJ206" i="20"/>
  <c r="BJ207" i="20"/>
  <c r="BJ208" i="20"/>
  <c r="BJ209" i="20"/>
  <c r="BJ210" i="20"/>
  <c r="BJ211" i="20"/>
  <c r="BJ212" i="20"/>
  <c r="BJ213" i="20"/>
  <c r="BJ214" i="20"/>
  <c r="BJ215" i="20"/>
  <c r="BJ216" i="20"/>
  <c r="BJ217" i="20"/>
  <c r="BJ218" i="20"/>
  <c r="BJ219" i="20"/>
  <c r="BJ220" i="20"/>
  <c r="BJ221" i="20"/>
  <c r="BJ222" i="20"/>
  <c r="BJ223" i="20"/>
  <c r="BJ224" i="20"/>
  <c r="BJ225" i="20"/>
  <c r="BJ226" i="20"/>
  <c r="BJ227" i="20"/>
  <c r="BJ228" i="20"/>
  <c r="BJ229" i="20"/>
  <c r="BJ230" i="20"/>
  <c r="BJ231" i="20"/>
  <c r="BJ232" i="20"/>
  <c r="BJ233" i="20"/>
  <c r="BJ234" i="20"/>
  <c r="BJ235" i="20"/>
  <c r="BJ236" i="20"/>
  <c r="BJ237" i="20"/>
  <c r="BJ238" i="20"/>
  <c r="BJ239" i="20"/>
  <c r="BJ240" i="20"/>
  <c r="BJ241" i="20"/>
  <c r="BJ242" i="20"/>
  <c r="BJ243" i="20"/>
  <c r="BJ244" i="20"/>
  <c r="BJ245" i="20"/>
  <c r="BJ246" i="20"/>
  <c r="BJ247" i="20"/>
  <c r="BJ248" i="20"/>
  <c r="BJ249" i="20"/>
  <c r="BJ250" i="20"/>
  <c r="BJ251" i="20"/>
  <c r="BJ252" i="20"/>
  <c r="BJ253" i="20"/>
  <c r="BJ254" i="20"/>
  <c r="BJ255" i="20"/>
  <c r="BJ256" i="20"/>
  <c r="BJ257" i="20"/>
  <c r="BJ258" i="20"/>
  <c r="BJ259" i="20"/>
  <c r="BJ260" i="20"/>
  <c r="BJ261" i="20"/>
  <c r="BJ262" i="20"/>
  <c r="BJ263" i="20"/>
  <c r="BJ264" i="20"/>
  <c r="BJ265" i="20"/>
  <c r="BJ266" i="20"/>
  <c r="BJ267" i="20"/>
  <c r="BJ268" i="20"/>
  <c r="BJ269" i="20"/>
  <c r="BJ270" i="20"/>
  <c r="BJ271" i="20"/>
  <c r="BJ272" i="20"/>
  <c r="BJ273" i="20"/>
  <c r="BJ274" i="20"/>
  <c r="BJ275" i="20"/>
  <c r="BJ276" i="20"/>
  <c r="BJ277" i="20"/>
  <c r="BJ278" i="20"/>
  <c r="BJ279" i="20"/>
  <c r="BJ280" i="20"/>
  <c r="BJ281" i="20"/>
  <c r="BJ282" i="20"/>
  <c r="U4" i="39" l="1"/>
  <c r="X4" i="39" s="1"/>
  <c r="R4" i="39"/>
  <c r="U11" i="39"/>
  <c r="X11" i="39" s="1"/>
  <c r="R11" i="39"/>
  <c r="R10" i="39"/>
  <c r="U10" i="39"/>
  <c r="X10" i="39" s="1"/>
  <c r="U3" i="39"/>
  <c r="X3" i="39" s="1"/>
  <c r="R3" i="39"/>
  <c r="AN2" i="39"/>
  <c r="AN4" i="39"/>
  <c r="AN3" i="39"/>
  <c r="U7" i="39"/>
  <c r="X7" i="39" s="1"/>
  <c r="R7" i="39"/>
  <c r="AA2" i="39"/>
  <c r="AA4" i="39"/>
  <c r="AA3" i="39"/>
  <c r="U8" i="39"/>
  <c r="X8" i="39" s="1"/>
  <c r="R8" i="39"/>
  <c r="U5" i="39"/>
  <c r="X5" i="39" s="1"/>
  <c r="R5" i="39"/>
  <c r="U6" i="39"/>
  <c r="X6" i="39" s="1"/>
  <c r="R6" i="39"/>
  <c r="U2" i="39"/>
  <c r="R2" i="39"/>
  <c r="R9" i="39"/>
  <c r="U9" i="39"/>
  <c r="X9" i="39" s="1"/>
  <c r="BD6" i="20"/>
  <c r="BD7" i="20"/>
  <c r="BD8" i="20"/>
  <c r="BD9" i="20"/>
  <c r="BD10" i="20"/>
  <c r="BD11" i="20"/>
  <c r="BD12" i="20"/>
  <c r="BD13" i="20"/>
  <c r="BD14" i="20"/>
  <c r="BD18" i="20"/>
  <c r="BD19" i="20"/>
  <c r="BD20" i="20"/>
  <c r="BD21" i="20"/>
  <c r="BD22" i="20"/>
  <c r="BD23" i="20"/>
  <c r="BD24" i="20"/>
  <c r="BD25" i="20"/>
  <c r="BD26" i="20"/>
  <c r="BD27" i="20"/>
  <c r="BD28" i="20"/>
  <c r="BD29" i="20"/>
  <c r="BD30" i="20"/>
  <c r="BD31" i="20"/>
  <c r="BD32" i="20"/>
  <c r="BD33" i="20"/>
  <c r="BD34" i="20"/>
  <c r="BD35" i="20"/>
  <c r="BD36" i="20"/>
  <c r="BD37" i="20"/>
  <c r="BD38" i="20"/>
  <c r="BD39" i="20"/>
  <c r="BD40" i="20"/>
  <c r="BD41" i="20"/>
  <c r="BD42" i="20"/>
  <c r="BD43" i="20"/>
  <c r="BD44" i="20"/>
  <c r="BD45" i="20"/>
  <c r="BD46" i="20"/>
  <c r="BD47" i="20"/>
  <c r="BD48" i="20"/>
  <c r="BD49" i="20"/>
  <c r="BD50" i="20"/>
  <c r="BD51" i="20"/>
  <c r="BD52" i="20"/>
  <c r="BD53" i="20"/>
  <c r="BD54" i="20"/>
  <c r="BD55" i="20"/>
  <c r="BD56" i="20"/>
  <c r="BD57" i="20"/>
  <c r="BD58" i="20"/>
  <c r="BD59" i="20"/>
  <c r="BD60" i="20"/>
  <c r="BD61" i="20"/>
  <c r="BD62" i="20"/>
  <c r="BD63" i="20"/>
  <c r="BD64" i="20"/>
  <c r="BD65" i="20"/>
  <c r="BD66" i="20"/>
  <c r="BD67" i="20"/>
  <c r="BD68" i="20"/>
  <c r="BD69" i="20"/>
  <c r="BD70" i="20"/>
  <c r="BD71" i="20"/>
  <c r="BD72" i="20"/>
  <c r="BD73" i="20"/>
  <c r="BD74" i="20"/>
  <c r="BD75" i="20"/>
  <c r="BD76" i="20"/>
  <c r="BD77" i="20"/>
  <c r="BD78" i="20"/>
  <c r="BD79" i="20"/>
  <c r="BD80" i="20"/>
  <c r="BD81" i="20"/>
  <c r="BD82" i="20"/>
  <c r="BD83" i="20"/>
  <c r="BD84" i="20"/>
  <c r="BD85" i="20"/>
  <c r="BD86" i="20"/>
  <c r="BD87" i="20"/>
  <c r="BD88" i="20"/>
  <c r="BD89" i="20"/>
  <c r="BD90" i="20"/>
  <c r="BD91" i="20"/>
  <c r="BD92" i="20"/>
  <c r="BD93" i="20"/>
  <c r="BD94" i="20"/>
  <c r="BD95" i="20"/>
  <c r="BD96" i="20"/>
  <c r="BD97" i="20"/>
  <c r="BD98" i="20"/>
  <c r="BD99" i="20"/>
  <c r="BD100" i="20"/>
  <c r="BD101" i="20"/>
  <c r="BD102" i="20"/>
  <c r="BD103" i="20"/>
  <c r="BD104" i="20"/>
  <c r="BD106" i="20"/>
  <c r="BD107" i="20"/>
  <c r="BD108" i="20"/>
  <c r="BD109" i="20"/>
  <c r="BD110" i="20"/>
  <c r="BD111" i="20"/>
  <c r="BD112" i="20"/>
  <c r="BD113" i="20"/>
  <c r="BD114" i="20"/>
  <c r="BD115" i="20"/>
  <c r="BD116" i="20"/>
  <c r="BD117" i="20"/>
  <c r="BD118" i="20"/>
  <c r="BD119" i="20"/>
  <c r="BD120" i="20"/>
  <c r="BD121" i="20"/>
  <c r="BD122" i="20"/>
  <c r="BD123" i="20"/>
  <c r="BD124" i="20"/>
  <c r="BD125" i="20"/>
  <c r="BD126" i="20"/>
  <c r="BD127" i="20"/>
  <c r="BD128" i="20"/>
  <c r="BD129" i="20"/>
  <c r="BD130" i="20"/>
  <c r="BD131" i="20"/>
  <c r="BD132" i="20"/>
  <c r="BD133" i="20"/>
  <c r="BD134" i="20"/>
  <c r="BD135" i="20"/>
  <c r="BD136" i="20"/>
  <c r="BD137" i="20"/>
  <c r="BD138" i="20"/>
  <c r="BD139" i="20"/>
  <c r="BD140" i="20"/>
  <c r="BD141" i="20"/>
  <c r="BD142" i="20"/>
  <c r="BD143" i="20"/>
  <c r="BD144" i="20"/>
  <c r="BD145" i="20"/>
  <c r="BD146" i="20"/>
  <c r="BD147" i="20"/>
  <c r="BD148" i="20"/>
  <c r="BD149" i="20"/>
  <c r="BD150" i="20"/>
  <c r="BD151" i="20"/>
  <c r="BD152" i="20"/>
  <c r="BD153" i="20"/>
  <c r="BD154" i="20"/>
  <c r="BD155" i="20"/>
  <c r="BD156" i="20"/>
  <c r="BD157" i="20"/>
  <c r="BD158" i="20"/>
  <c r="BD159" i="20"/>
  <c r="BD160" i="20"/>
  <c r="BD161" i="20"/>
  <c r="BD162" i="20"/>
  <c r="BD163" i="20"/>
  <c r="BD164" i="20"/>
  <c r="BD165" i="20"/>
  <c r="BD166" i="20"/>
  <c r="BD167" i="20"/>
  <c r="BD168" i="20"/>
  <c r="BD169" i="20"/>
  <c r="BD170" i="20"/>
  <c r="BD171" i="20"/>
  <c r="BD172" i="20"/>
  <c r="BD173" i="20"/>
  <c r="BD174" i="20"/>
  <c r="BD175" i="20"/>
  <c r="BD176" i="20"/>
  <c r="BD177" i="20"/>
  <c r="BD178" i="20"/>
  <c r="BD179" i="20"/>
  <c r="BD180" i="20"/>
  <c r="BD181" i="20"/>
  <c r="BD182" i="20"/>
  <c r="BD183" i="20"/>
  <c r="BD184" i="20"/>
  <c r="BD185" i="20"/>
  <c r="BD186" i="20"/>
  <c r="BD187" i="20"/>
  <c r="BD188" i="20"/>
  <c r="BD189" i="20"/>
  <c r="BD190" i="20"/>
  <c r="BD191" i="20"/>
  <c r="BD192" i="20"/>
  <c r="BD193" i="20"/>
  <c r="BD194" i="20"/>
  <c r="BD195" i="20"/>
  <c r="BD196" i="20"/>
  <c r="BD197" i="20"/>
  <c r="BD198" i="20"/>
  <c r="BD199" i="20"/>
  <c r="BD200" i="20"/>
  <c r="S9" i="39" l="1"/>
  <c r="S10" i="39"/>
  <c r="S8" i="39"/>
  <c r="S11" i="39"/>
  <c r="S3" i="39"/>
  <c r="S4" i="39"/>
  <c r="S5" i="39"/>
  <c r="S6" i="39"/>
  <c r="S2" i="39"/>
  <c r="S7" i="39"/>
  <c r="X2" i="39"/>
  <c r="V6" i="39"/>
  <c r="Y6" i="39" s="1"/>
  <c r="V7" i="39"/>
  <c r="Y7" i="39" s="1"/>
  <c r="V8" i="39"/>
  <c r="Y8" i="39" s="1"/>
  <c r="V9" i="39"/>
  <c r="Y9" i="39" s="1"/>
  <c r="V10" i="39"/>
  <c r="Y10" i="39" s="1"/>
  <c r="V2" i="39"/>
  <c r="Y2" i="39" s="1"/>
  <c r="V11" i="39"/>
  <c r="Y11" i="39" s="1"/>
  <c r="V3" i="39"/>
  <c r="Y3" i="39" s="1"/>
  <c r="V4" i="39"/>
  <c r="Y4" i="39" s="1"/>
  <c r="V5" i="39"/>
  <c r="Y5" i="39" s="1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57" i="30"/>
  <c r="R58" i="30"/>
  <c r="R59" i="30"/>
  <c r="R60" i="30"/>
  <c r="R61" i="30"/>
  <c r="R62" i="30"/>
  <c r="R63" i="30"/>
  <c r="R64" i="30"/>
  <c r="R65" i="30"/>
  <c r="R66" i="30"/>
  <c r="R67" i="30"/>
  <c r="R68" i="30"/>
  <c r="R69" i="30"/>
  <c r="R70" i="30"/>
  <c r="R71" i="30"/>
  <c r="R72" i="30"/>
  <c r="R73" i="30"/>
  <c r="R74" i="30"/>
  <c r="R75" i="30"/>
  <c r="R76" i="30"/>
  <c r="R77" i="30"/>
  <c r="R78" i="30"/>
  <c r="R79" i="30"/>
  <c r="R80" i="30"/>
  <c r="R81" i="30"/>
  <c r="R82" i="30"/>
  <c r="R83" i="30"/>
  <c r="R84" i="30"/>
  <c r="R85" i="30"/>
  <c r="R86" i="30"/>
  <c r="R87" i="30"/>
  <c r="R88" i="30"/>
  <c r="R89" i="30"/>
  <c r="R90" i="30"/>
  <c r="R91" i="30"/>
  <c r="R92" i="30"/>
  <c r="R93" i="30"/>
  <c r="R94" i="30"/>
  <c r="R95" i="30"/>
  <c r="R96" i="30"/>
  <c r="R97" i="30"/>
  <c r="R98" i="30"/>
  <c r="R99" i="30"/>
  <c r="R100" i="30"/>
  <c r="R101" i="30"/>
  <c r="R102" i="30"/>
  <c r="R103" i="30"/>
  <c r="R104" i="30"/>
  <c r="R105" i="30"/>
  <c r="R106" i="30"/>
  <c r="R107" i="30"/>
  <c r="R108" i="30"/>
  <c r="R109" i="30"/>
  <c r="R110" i="30"/>
  <c r="R111" i="30"/>
  <c r="R112" i="30"/>
  <c r="R113" i="30"/>
  <c r="R114" i="30"/>
  <c r="R115" i="30"/>
  <c r="R116" i="30"/>
  <c r="R117" i="30"/>
  <c r="R118" i="30"/>
  <c r="R119" i="30"/>
  <c r="R120" i="30"/>
  <c r="R121" i="30"/>
  <c r="R122" i="30"/>
  <c r="R123" i="30"/>
  <c r="R124" i="30"/>
  <c r="R125" i="30"/>
  <c r="R126" i="30"/>
  <c r="R127" i="30"/>
  <c r="R128" i="30"/>
  <c r="R129" i="30"/>
  <c r="R130" i="30"/>
  <c r="R131" i="30"/>
  <c r="R132" i="30"/>
  <c r="R133" i="30"/>
  <c r="R134" i="30"/>
  <c r="R135" i="30"/>
  <c r="R136" i="30"/>
  <c r="R137" i="30"/>
  <c r="R138" i="30"/>
  <c r="R139" i="30"/>
  <c r="R140" i="30"/>
  <c r="R141" i="30"/>
  <c r="R142" i="30"/>
  <c r="R143" i="30"/>
  <c r="R144" i="30"/>
  <c r="R145" i="30"/>
  <c r="R146" i="30"/>
  <c r="R147" i="30"/>
  <c r="R148" i="30"/>
  <c r="R149" i="30"/>
  <c r="R150" i="30"/>
  <c r="R151" i="30"/>
  <c r="R152" i="30"/>
  <c r="R153" i="30"/>
  <c r="R154" i="30"/>
  <c r="R155" i="30"/>
  <c r="R156" i="30"/>
  <c r="R157" i="30"/>
  <c r="R158" i="30"/>
  <c r="R159" i="30"/>
  <c r="R160" i="30"/>
  <c r="R161" i="30"/>
  <c r="R162" i="30"/>
  <c r="R163" i="30"/>
  <c r="R164" i="30"/>
  <c r="R165" i="30"/>
  <c r="R166" i="30"/>
  <c r="R167" i="30"/>
  <c r="R168" i="30"/>
  <c r="R169" i="30"/>
  <c r="R170" i="30"/>
  <c r="R171" i="30"/>
  <c r="R172" i="30"/>
  <c r="R173" i="30"/>
  <c r="R174" i="30"/>
  <c r="R175" i="30"/>
  <c r="R176" i="30"/>
  <c r="R177" i="30"/>
  <c r="R178" i="30"/>
  <c r="R179" i="30"/>
  <c r="R180" i="30"/>
  <c r="R181" i="30"/>
  <c r="R182" i="30"/>
  <c r="R183" i="30"/>
  <c r="R184" i="30"/>
  <c r="R185" i="30"/>
  <c r="R186" i="30"/>
  <c r="R187" i="30"/>
  <c r="R188" i="30"/>
  <c r="R189" i="30"/>
  <c r="R190" i="30"/>
  <c r="R191" i="30"/>
  <c r="R192" i="30"/>
  <c r="R193" i="30"/>
  <c r="R194" i="30"/>
  <c r="R195" i="30"/>
  <c r="R196" i="30"/>
  <c r="R197" i="30"/>
  <c r="R198" i="30"/>
  <c r="R199" i="30"/>
  <c r="R200" i="30"/>
  <c r="R201" i="30"/>
  <c r="R202" i="30"/>
  <c r="R203" i="30"/>
  <c r="R204" i="30"/>
  <c r="R205" i="30"/>
  <c r="R206" i="30"/>
  <c r="R207" i="30"/>
  <c r="R208" i="30"/>
  <c r="R209" i="30"/>
  <c r="R210" i="30"/>
  <c r="R211" i="30"/>
  <c r="R212" i="30"/>
  <c r="R213" i="30"/>
  <c r="R214" i="30"/>
  <c r="R215" i="30"/>
  <c r="R216" i="30"/>
  <c r="R217" i="30"/>
  <c r="R218" i="30"/>
  <c r="R219" i="30"/>
  <c r="R220" i="30"/>
  <c r="R221" i="30"/>
  <c r="R222" i="30"/>
  <c r="R223" i="30"/>
  <c r="R224" i="30"/>
  <c r="R225" i="30"/>
  <c r="R226" i="30"/>
  <c r="R227" i="30"/>
  <c r="R228" i="30"/>
  <c r="R229" i="30"/>
  <c r="R230" i="30"/>
  <c r="R231" i="30"/>
  <c r="R232" i="30"/>
  <c r="R233" i="30"/>
  <c r="R234" i="30"/>
  <c r="R235" i="30"/>
  <c r="R236" i="30"/>
  <c r="R237" i="30"/>
  <c r="R238" i="30"/>
  <c r="R239" i="30"/>
  <c r="R240" i="30"/>
  <c r="R241" i="30"/>
  <c r="R242" i="30"/>
  <c r="R243" i="30"/>
  <c r="R244" i="30"/>
  <c r="R245" i="30"/>
  <c r="R246" i="30"/>
  <c r="R247" i="30"/>
  <c r="R248" i="30"/>
  <c r="R249" i="30"/>
  <c r="R250" i="30"/>
  <c r="R251" i="30"/>
  <c r="R252" i="30"/>
  <c r="R253" i="30"/>
  <c r="R254" i="30"/>
  <c r="R255" i="30"/>
  <c r="R256" i="30"/>
  <c r="R257" i="30"/>
  <c r="R258" i="30"/>
  <c r="R259" i="30"/>
  <c r="R260" i="30"/>
  <c r="R261" i="30"/>
  <c r="R262" i="30"/>
  <c r="R263" i="30"/>
  <c r="R264" i="30"/>
  <c r="R265" i="30"/>
  <c r="R266" i="30"/>
  <c r="R267" i="30"/>
  <c r="R268" i="30"/>
  <c r="R269" i="30"/>
  <c r="R270" i="30"/>
  <c r="R271" i="30"/>
  <c r="R272" i="30"/>
  <c r="R273" i="30"/>
  <c r="R274" i="30"/>
  <c r="R275" i="30"/>
  <c r="R276" i="30"/>
  <c r="R277" i="30"/>
  <c r="R278" i="30"/>
  <c r="R279" i="30"/>
  <c r="R280" i="30"/>
  <c r="R281" i="30"/>
  <c r="R282" i="30"/>
  <c r="R283" i="30"/>
  <c r="R284" i="30"/>
  <c r="R285" i="30"/>
  <c r="R286" i="30"/>
  <c r="R287" i="30"/>
  <c r="R288" i="30"/>
  <c r="R289" i="30"/>
  <c r="R290" i="30"/>
  <c r="R291" i="30"/>
  <c r="R292" i="30"/>
  <c r="R293" i="30"/>
  <c r="R294" i="30"/>
  <c r="R295" i="30"/>
  <c r="R296" i="30"/>
  <c r="R297" i="30"/>
  <c r="R298" i="30"/>
  <c r="R299" i="30"/>
  <c r="R300" i="30"/>
  <c r="R301" i="30"/>
  <c r="R302" i="30"/>
  <c r="R303" i="30"/>
  <c r="R304" i="30"/>
  <c r="R305" i="30"/>
  <c r="R306" i="30"/>
  <c r="R307" i="30"/>
  <c r="R308" i="30"/>
  <c r="R309" i="30"/>
  <c r="R310" i="30"/>
  <c r="R311" i="30"/>
  <c r="R312" i="30"/>
  <c r="R313" i="30"/>
  <c r="R314" i="30"/>
  <c r="R315" i="30"/>
  <c r="R316" i="30"/>
  <c r="R317" i="30"/>
  <c r="R318" i="30"/>
  <c r="R319" i="30"/>
  <c r="R320" i="30"/>
  <c r="R321" i="30"/>
  <c r="R322" i="30"/>
  <c r="R323" i="30"/>
  <c r="R324" i="30"/>
  <c r="R325" i="30"/>
  <c r="R326" i="30"/>
  <c r="R327" i="30"/>
  <c r="R328" i="30"/>
  <c r="R329" i="30"/>
  <c r="R330" i="30"/>
  <c r="R331" i="30"/>
  <c r="R332" i="30"/>
  <c r="R333" i="30"/>
  <c r="R334" i="30"/>
  <c r="R335" i="30"/>
  <c r="R336" i="30"/>
  <c r="R337" i="30"/>
  <c r="R338" i="30"/>
  <c r="R339" i="30"/>
  <c r="R340" i="30"/>
  <c r="R341" i="30"/>
  <c r="R342" i="30"/>
  <c r="R343" i="30"/>
  <c r="R344" i="30"/>
  <c r="R345" i="30"/>
  <c r="R346" i="30"/>
  <c r="R347" i="30"/>
  <c r="R348" i="30"/>
  <c r="R349" i="30"/>
  <c r="R350" i="30"/>
  <c r="R351" i="30"/>
  <c r="R352" i="30"/>
  <c r="R353" i="30"/>
  <c r="R354" i="30"/>
  <c r="R355" i="30"/>
  <c r="R356" i="30"/>
  <c r="R357" i="30"/>
  <c r="R358" i="30"/>
  <c r="R359" i="30"/>
  <c r="R360" i="30"/>
  <c r="R361" i="30"/>
  <c r="R362" i="30"/>
  <c r="R363" i="30"/>
  <c r="R364" i="30"/>
  <c r="R365" i="30"/>
  <c r="R366" i="30"/>
  <c r="R367" i="30"/>
  <c r="R368" i="30"/>
  <c r="R369" i="30"/>
  <c r="R370" i="30"/>
  <c r="R371" i="30"/>
  <c r="R372" i="30"/>
  <c r="R373" i="30"/>
  <c r="R374" i="30"/>
  <c r="R375" i="30"/>
  <c r="R376" i="30"/>
  <c r="R377" i="30"/>
  <c r="R378" i="30"/>
  <c r="R379" i="30"/>
  <c r="R380" i="30"/>
  <c r="R381" i="30"/>
  <c r="S387" i="32" l="1"/>
  <c r="S388" i="32"/>
  <c r="S389" i="32"/>
  <c r="S390" i="32"/>
  <c r="S383" i="32"/>
  <c r="S384" i="32"/>
  <c r="S385" i="32"/>
  <c r="S386" i="32"/>
  <c r="S381" i="32"/>
  <c r="S382" i="32"/>
  <c r="K450" i="27"/>
  <c r="G450" i="27"/>
  <c r="D450" i="27"/>
  <c r="C450" i="27"/>
  <c r="R450" i="27"/>
  <c r="T450" i="27" s="1"/>
  <c r="U450" i="27" s="1"/>
  <c r="S450" i="27"/>
  <c r="AD450" i="27"/>
  <c r="AE450" i="27"/>
  <c r="AF450" i="27"/>
  <c r="AG450" i="27"/>
  <c r="H450" i="27" l="1"/>
  <c r="AL450" i="27"/>
  <c r="D449" i="27"/>
  <c r="D448" i="27"/>
  <c r="D447" i="27"/>
  <c r="K449" i="27"/>
  <c r="K448" i="27"/>
  <c r="G449" i="27"/>
  <c r="G448" i="27"/>
  <c r="C449" i="27"/>
  <c r="R449" i="27"/>
  <c r="T449" i="27" s="1"/>
  <c r="U449" i="27" s="1"/>
  <c r="S449" i="27"/>
  <c r="AD449" i="27"/>
  <c r="AE449" i="27"/>
  <c r="AF449" i="27"/>
  <c r="AG449" i="27"/>
  <c r="C448" i="27"/>
  <c r="R448" i="27"/>
  <c r="T448" i="27" s="1"/>
  <c r="U448" i="27" s="1"/>
  <c r="S448" i="27"/>
  <c r="AD448" i="27"/>
  <c r="AE448" i="27"/>
  <c r="AF448" i="27"/>
  <c r="AG448" i="27"/>
  <c r="K447" i="27"/>
  <c r="G447" i="27"/>
  <c r="C447" i="27"/>
  <c r="R447" i="27"/>
  <c r="T447" i="27" s="1"/>
  <c r="U447" i="27" s="1"/>
  <c r="S447" i="27"/>
  <c r="AD447" i="27"/>
  <c r="AE447" i="27"/>
  <c r="AF447" i="27"/>
  <c r="AG447" i="27"/>
  <c r="H447" i="27" l="1"/>
  <c r="AL447" i="27"/>
  <c r="H448" i="27"/>
  <c r="AL448" i="27"/>
  <c r="H449" i="27"/>
  <c r="AL449" i="27"/>
  <c r="K446" i="27"/>
  <c r="G446" i="27"/>
  <c r="D446" i="27"/>
  <c r="C446" i="27"/>
  <c r="R446" i="27"/>
  <c r="T446" i="27" s="1"/>
  <c r="U446" i="27" s="1"/>
  <c r="S446" i="27"/>
  <c r="AD446" i="27"/>
  <c r="AE446" i="27"/>
  <c r="AF446" i="27"/>
  <c r="AG446" i="27"/>
  <c r="K445" i="27"/>
  <c r="G445" i="27"/>
  <c r="D445" i="27"/>
  <c r="C445" i="27"/>
  <c r="R445" i="27"/>
  <c r="T445" i="27" s="1"/>
  <c r="S445" i="27"/>
  <c r="AD445" i="27"/>
  <c r="AE445" i="27"/>
  <c r="AF445" i="27"/>
  <c r="AG445" i="27"/>
  <c r="K444" i="27"/>
  <c r="K443" i="27"/>
  <c r="G444" i="27"/>
  <c r="G443" i="27"/>
  <c r="D444" i="27"/>
  <c r="D443" i="27"/>
  <c r="C443" i="27"/>
  <c r="C444" i="27"/>
  <c r="R443" i="27"/>
  <c r="T443" i="27" s="1"/>
  <c r="V443" i="27" s="1"/>
  <c r="R444" i="27"/>
  <c r="T444" i="27" s="1"/>
  <c r="S443" i="27"/>
  <c r="S444" i="27"/>
  <c r="AD443" i="27"/>
  <c r="AD444" i="27"/>
  <c r="AE443" i="27"/>
  <c r="AE444" i="27"/>
  <c r="AF443" i="27"/>
  <c r="AF444" i="27"/>
  <c r="AG443" i="27"/>
  <c r="AG444" i="27"/>
  <c r="H446" i="27" l="1"/>
  <c r="AL446" i="27"/>
  <c r="H443" i="27"/>
  <c r="H444" i="27"/>
  <c r="H445" i="27"/>
  <c r="V445" i="27"/>
  <c r="AJ445" i="27" s="1"/>
  <c r="U445" i="27"/>
  <c r="AL445" i="27" s="1"/>
  <c r="U443" i="27"/>
  <c r="AL443" i="27" s="1"/>
  <c r="V444" i="27"/>
  <c r="AJ444" i="27" s="1"/>
  <c r="U444" i="27"/>
  <c r="AL444" i="27" s="1"/>
  <c r="AJ443" i="27"/>
  <c r="S376" i="32" l="1"/>
  <c r="S377" i="32"/>
  <c r="S378" i="32"/>
  <c r="S379" i="32"/>
  <c r="S380" i="32"/>
  <c r="S375" i="32"/>
  <c r="S374" i="32"/>
  <c r="S373" i="32"/>
  <c r="S372" i="32"/>
  <c r="S371" i="32"/>
  <c r="S370" i="32"/>
  <c r="S369" i="32"/>
  <c r="K442" i="27"/>
  <c r="G442" i="27"/>
  <c r="D442" i="27"/>
  <c r="C442" i="27"/>
  <c r="R442" i="27"/>
  <c r="T442" i="27" s="1"/>
  <c r="S442" i="27"/>
  <c r="AD442" i="27"/>
  <c r="AE442" i="27"/>
  <c r="AF442" i="27"/>
  <c r="AG442" i="27"/>
  <c r="AD436" i="27"/>
  <c r="AE436" i="27"/>
  <c r="AF436" i="27"/>
  <c r="AG436" i="27"/>
  <c r="R436" i="27"/>
  <c r="S436" i="27"/>
  <c r="D441" i="27"/>
  <c r="D440" i="27"/>
  <c r="D439" i="27"/>
  <c r="D438" i="27"/>
  <c r="D437" i="27"/>
  <c r="K441" i="27"/>
  <c r="K440" i="27"/>
  <c r="K439" i="27"/>
  <c r="K438" i="27"/>
  <c r="K437" i="27"/>
  <c r="K436" i="27"/>
  <c r="G441" i="27"/>
  <c r="G440" i="27"/>
  <c r="G439" i="27"/>
  <c r="G438" i="27"/>
  <c r="G437" i="27"/>
  <c r="G436" i="27"/>
  <c r="D436" i="27"/>
  <c r="C436" i="27"/>
  <c r="C437" i="27"/>
  <c r="C438" i="27"/>
  <c r="C439" i="27"/>
  <c r="C440" i="27"/>
  <c r="C441" i="27"/>
  <c r="R437" i="27"/>
  <c r="T437" i="27" s="1"/>
  <c r="R438" i="27"/>
  <c r="T438" i="27" s="1"/>
  <c r="R439" i="27"/>
  <c r="T439" i="27" s="1"/>
  <c r="R440" i="27"/>
  <c r="T440" i="27" s="1"/>
  <c r="R441" i="27"/>
  <c r="T441" i="27" s="1"/>
  <c r="U441" i="27" s="1"/>
  <c r="S437" i="27"/>
  <c r="S438" i="27"/>
  <c r="S439" i="27"/>
  <c r="S440" i="27"/>
  <c r="S441" i="27"/>
  <c r="AD437" i="27"/>
  <c r="AD438" i="27"/>
  <c r="AD439" i="27"/>
  <c r="AD440" i="27"/>
  <c r="AD441" i="27"/>
  <c r="AE437" i="27"/>
  <c r="AE438" i="27"/>
  <c r="AE439" i="27"/>
  <c r="AE440" i="27"/>
  <c r="AE441" i="27"/>
  <c r="AF437" i="27"/>
  <c r="AF438" i="27"/>
  <c r="AF439" i="27"/>
  <c r="AF440" i="27"/>
  <c r="AF441" i="27"/>
  <c r="AG437" i="27"/>
  <c r="AG438" i="27"/>
  <c r="AG439" i="27"/>
  <c r="AG440" i="27"/>
  <c r="AG441" i="27"/>
  <c r="H436" i="27" l="1"/>
  <c r="H442" i="27"/>
  <c r="H437" i="27"/>
  <c r="H438" i="27"/>
  <c r="H439" i="27"/>
  <c r="H440" i="27"/>
  <c r="H441" i="27"/>
  <c r="AL441" i="27"/>
  <c r="U442" i="27"/>
  <c r="AL442" i="27" s="1"/>
  <c r="U439" i="27"/>
  <c r="AL439" i="27" s="1"/>
  <c r="U437" i="27"/>
  <c r="AL437" i="27" s="1"/>
  <c r="U440" i="27"/>
  <c r="AL440" i="27" s="1"/>
  <c r="U438" i="27"/>
  <c r="AL438" i="27" s="1"/>
  <c r="C314" i="31" l="1"/>
  <c r="C315" i="31"/>
  <c r="C316" i="31"/>
  <c r="C317" i="31"/>
  <c r="C318" i="31"/>
  <c r="C319" i="31"/>
  <c r="C320" i="31"/>
  <c r="C321" i="31"/>
  <c r="D314" i="31"/>
  <c r="D315" i="31"/>
  <c r="D316" i="31"/>
  <c r="D317" i="31"/>
  <c r="D318" i="31"/>
  <c r="D319" i="31"/>
  <c r="D320" i="31"/>
  <c r="D321" i="31"/>
  <c r="G314" i="31"/>
  <c r="G315" i="31"/>
  <c r="G316" i="31"/>
  <c r="G317" i="31"/>
  <c r="G318" i="31"/>
  <c r="G319" i="31"/>
  <c r="H319" i="31" s="1"/>
  <c r="G320" i="31"/>
  <c r="H320" i="31" s="1"/>
  <c r="G321" i="31"/>
  <c r="H321" i="31" s="1"/>
  <c r="H314" i="31"/>
  <c r="H315" i="31"/>
  <c r="H316" i="31"/>
  <c r="H317" i="31"/>
  <c r="H318" i="31"/>
  <c r="Y314" i="31"/>
  <c r="Y315" i="31"/>
  <c r="Y316" i="31"/>
  <c r="Y317" i="31"/>
  <c r="Y318" i="31"/>
  <c r="Y319" i="31"/>
  <c r="Y320" i="31"/>
  <c r="Y321" i="31"/>
  <c r="B314" i="31"/>
  <c r="B315" i="31" s="1"/>
  <c r="B316" i="31" s="1"/>
  <c r="B317" i="31" s="1"/>
  <c r="B318" i="31" s="1"/>
  <c r="B319" i="31" s="1"/>
  <c r="B320" i="31" s="1"/>
  <c r="B321" i="31" s="1"/>
  <c r="AD432" i="27" l="1"/>
  <c r="AE432" i="27"/>
  <c r="AF432" i="27"/>
  <c r="AG432" i="27"/>
  <c r="AD433" i="27"/>
  <c r="AE433" i="27"/>
  <c r="AF433" i="27"/>
  <c r="AG433" i="27"/>
  <c r="AD434" i="27"/>
  <c r="AE434" i="27"/>
  <c r="AF434" i="27"/>
  <c r="AG434" i="27"/>
  <c r="AD435" i="27"/>
  <c r="AE435" i="27"/>
  <c r="AF435" i="27"/>
  <c r="AG435" i="27"/>
  <c r="R434" i="27"/>
  <c r="S434" i="27"/>
  <c r="R435" i="27"/>
  <c r="S435" i="27"/>
  <c r="K435" i="27"/>
  <c r="G435" i="27"/>
  <c r="D435" i="27"/>
  <c r="C435" i="27"/>
  <c r="K434" i="27"/>
  <c r="K433" i="27"/>
  <c r="K432" i="27"/>
  <c r="G434" i="27"/>
  <c r="G433" i="27"/>
  <c r="G432" i="27"/>
  <c r="C432" i="27"/>
  <c r="D432" i="27"/>
  <c r="C433" i="27"/>
  <c r="D433" i="27"/>
  <c r="C434" i="27"/>
  <c r="D434" i="27"/>
  <c r="H432" i="27" l="1"/>
  <c r="H434" i="27"/>
  <c r="H435" i="27"/>
  <c r="H433" i="27"/>
  <c r="AD429" i="27"/>
  <c r="AE429" i="27"/>
  <c r="AF429" i="27"/>
  <c r="AG429" i="27"/>
  <c r="AD430" i="27"/>
  <c r="AE430" i="27"/>
  <c r="AF430" i="27"/>
  <c r="AG430" i="27"/>
  <c r="AD431" i="27"/>
  <c r="AE431" i="27"/>
  <c r="AF431" i="27"/>
  <c r="AG431" i="27"/>
  <c r="R429" i="27"/>
  <c r="S429" i="27"/>
  <c r="R430" i="27"/>
  <c r="S430" i="27"/>
  <c r="R431" i="27"/>
  <c r="S431" i="27"/>
  <c r="R432" i="27"/>
  <c r="S432" i="27"/>
  <c r="R433" i="27"/>
  <c r="S433" i="27"/>
  <c r="K429" i="27"/>
  <c r="K430" i="27"/>
  <c r="K431" i="27"/>
  <c r="G431" i="27"/>
  <c r="G430" i="27"/>
  <c r="G429" i="27"/>
  <c r="D431" i="27"/>
  <c r="C431" i="27"/>
  <c r="D430" i="27"/>
  <c r="C430" i="27"/>
  <c r="D429" i="27"/>
  <c r="C429" i="27"/>
  <c r="H429" i="27" l="1"/>
  <c r="H430" i="27"/>
  <c r="H431" i="27"/>
  <c r="T436" i="27"/>
  <c r="U436" i="27" s="1"/>
  <c r="AL436" i="27" s="1"/>
  <c r="T432" i="27"/>
  <c r="T433" i="27"/>
  <c r="T434" i="27"/>
  <c r="T435" i="27"/>
  <c r="T430" i="27"/>
  <c r="T431" i="27"/>
  <c r="T429" i="27"/>
  <c r="U429" i="27" s="1"/>
  <c r="AL429" i="27" s="1"/>
  <c r="K428" i="27"/>
  <c r="K427" i="27"/>
  <c r="G428" i="27"/>
  <c r="G427" i="27"/>
  <c r="C428" i="27"/>
  <c r="D428" i="27"/>
  <c r="R428" i="27"/>
  <c r="T428" i="27" s="1"/>
  <c r="U428" i="27" s="1"/>
  <c r="S428" i="27"/>
  <c r="AD428" i="27"/>
  <c r="AE428" i="27"/>
  <c r="AF428" i="27"/>
  <c r="AG428" i="27"/>
  <c r="C427" i="27"/>
  <c r="D427" i="27"/>
  <c r="R427" i="27"/>
  <c r="T427" i="27" s="1"/>
  <c r="S427" i="27"/>
  <c r="AD427" i="27"/>
  <c r="AE427" i="27"/>
  <c r="AF427" i="27"/>
  <c r="AG427" i="27"/>
  <c r="H428" i="27" l="1"/>
  <c r="AL428" i="27"/>
  <c r="H427" i="27"/>
  <c r="U433" i="27"/>
  <c r="AL433" i="27" s="1"/>
  <c r="U435" i="27"/>
  <c r="AL435" i="27" s="1"/>
  <c r="U434" i="27"/>
  <c r="AL434" i="27" s="1"/>
  <c r="U432" i="27"/>
  <c r="AL432" i="27" s="1"/>
  <c r="U431" i="27"/>
  <c r="AL431" i="27" s="1"/>
  <c r="U430" i="27"/>
  <c r="AL430" i="27" s="1"/>
  <c r="U427" i="27"/>
  <c r="AL427" i="27" s="1"/>
  <c r="S367" i="32" l="1"/>
  <c r="S368" i="32"/>
  <c r="S366" i="32"/>
  <c r="K426" i="27"/>
  <c r="K425" i="27"/>
  <c r="G426" i="27"/>
  <c r="G425" i="27"/>
  <c r="C426" i="27"/>
  <c r="D426" i="27"/>
  <c r="R426" i="27"/>
  <c r="T426" i="27" s="1"/>
  <c r="S426" i="27"/>
  <c r="AD426" i="27"/>
  <c r="AE426" i="27"/>
  <c r="AF426" i="27"/>
  <c r="AG426" i="27"/>
  <c r="C425" i="27"/>
  <c r="D425" i="27"/>
  <c r="R425" i="27"/>
  <c r="T425" i="27" s="1"/>
  <c r="S425" i="27"/>
  <c r="AD425" i="27"/>
  <c r="AE425" i="27"/>
  <c r="AF425" i="27"/>
  <c r="AG425" i="27"/>
  <c r="H425" i="27" l="1"/>
  <c r="H426" i="27"/>
  <c r="U426" i="27"/>
  <c r="AL426" i="27" s="1"/>
  <c r="U425" i="27"/>
  <c r="AL425" i="27" s="1"/>
  <c r="K424" i="27" l="1"/>
  <c r="K423" i="27"/>
  <c r="K422" i="27"/>
  <c r="K421" i="27"/>
  <c r="K420" i="27"/>
  <c r="G424" i="27"/>
  <c r="G423" i="27"/>
  <c r="G422" i="27"/>
  <c r="G421" i="27"/>
  <c r="G420" i="27"/>
  <c r="C421" i="27"/>
  <c r="C422" i="27"/>
  <c r="C423" i="27"/>
  <c r="C424" i="27"/>
  <c r="D421" i="27"/>
  <c r="D422" i="27"/>
  <c r="D423" i="27"/>
  <c r="D424" i="27"/>
  <c r="R421" i="27"/>
  <c r="T421" i="27" s="1"/>
  <c r="R422" i="27"/>
  <c r="T422" i="27" s="1"/>
  <c r="U422" i="27" s="1"/>
  <c r="R423" i="27"/>
  <c r="T423" i="27" s="1"/>
  <c r="U423" i="27" s="1"/>
  <c r="R424" i="27"/>
  <c r="T424" i="27" s="1"/>
  <c r="U424" i="27" s="1"/>
  <c r="S421" i="27"/>
  <c r="S422" i="27"/>
  <c r="S423" i="27"/>
  <c r="S424" i="27"/>
  <c r="AD421" i="27"/>
  <c r="AD422" i="27"/>
  <c r="AD423" i="27"/>
  <c r="AD424" i="27"/>
  <c r="AE421" i="27"/>
  <c r="AE422" i="27"/>
  <c r="AE423" i="27"/>
  <c r="AE424" i="27"/>
  <c r="AF421" i="27"/>
  <c r="AF422" i="27"/>
  <c r="AF423" i="27"/>
  <c r="AF424" i="27"/>
  <c r="AG421" i="27"/>
  <c r="AG422" i="27"/>
  <c r="AG423" i="27"/>
  <c r="AG424" i="27"/>
  <c r="C420" i="27"/>
  <c r="D420" i="27"/>
  <c r="R420" i="27"/>
  <c r="T420" i="27" s="1"/>
  <c r="S420" i="27"/>
  <c r="AD420" i="27"/>
  <c r="AE420" i="27"/>
  <c r="AF420" i="27"/>
  <c r="AG420" i="27"/>
  <c r="C306" i="31"/>
  <c r="C307" i="31"/>
  <c r="C308" i="31"/>
  <c r="C309" i="31"/>
  <c r="C310" i="31"/>
  <c r="C311" i="31"/>
  <c r="C312" i="31"/>
  <c r="C313" i="31"/>
  <c r="D306" i="31"/>
  <c r="D307" i="31"/>
  <c r="D308" i="31"/>
  <c r="D309" i="31"/>
  <c r="D310" i="31"/>
  <c r="D311" i="31"/>
  <c r="D312" i="31"/>
  <c r="D313" i="31"/>
  <c r="G306" i="31"/>
  <c r="G307" i="31"/>
  <c r="H307" i="31" s="1"/>
  <c r="G308" i="31"/>
  <c r="G309" i="31"/>
  <c r="H309" i="31" s="1"/>
  <c r="G310" i="31"/>
  <c r="G311" i="31"/>
  <c r="H311" i="31" s="1"/>
  <c r="G312" i="31"/>
  <c r="G313" i="31"/>
  <c r="H306" i="31"/>
  <c r="H308" i="31"/>
  <c r="H310" i="31"/>
  <c r="H312" i="31"/>
  <c r="H313" i="31"/>
  <c r="Y306" i="31"/>
  <c r="Y307" i="31"/>
  <c r="Y308" i="31"/>
  <c r="Y309" i="31"/>
  <c r="Y310" i="31"/>
  <c r="Y311" i="31"/>
  <c r="Y312" i="31"/>
  <c r="Y313" i="31"/>
  <c r="B306" i="31"/>
  <c r="B307" i="31" s="1"/>
  <c r="B308" i="31" s="1"/>
  <c r="B309" i="31" s="1"/>
  <c r="B310" i="31" s="1"/>
  <c r="B311" i="31" s="1"/>
  <c r="B312" i="31" s="1"/>
  <c r="B313" i="31" s="1"/>
  <c r="H421" i="27" l="1"/>
  <c r="H420" i="27"/>
  <c r="H422" i="27"/>
  <c r="AL422" i="27"/>
  <c r="H423" i="27"/>
  <c r="AL423" i="27"/>
  <c r="H424" i="27"/>
  <c r="AL424" i="27"/>
  <c r="U421" i="27"/>
  <c r="AL421" i="27" s="1"/>
  <c r="U420" i="27"/>
  <c r="AL420" i="27" s="1"/>
  <c r="S337" i="32" l="1"/>
  <c r="K419" i="27"/>
  <c r="G419" i="27"/>
  <c r="C419" i="27"/>
  <c r="D419" i="27"/>
  <c r="R419" i="27"/>
  <c r="S419" i="27"/>
  <c r="AD419" i="27"/>
  <c r="AE419" i="27"/>
  <c r="AF419" i="27"/>
  <c r="AG419" i="27"/>
  <c r="K418" i="27"/>
  <c r="G418" i="27"/>
  <c r="H419" i="27" l="1"/>
  <c r="T419" i="27"/>
  <c r="U419" i="27" s="1"/>
  <c r="AL419" i="27" s="1"/>
  <c r="K417" i="27" l="1"/>
  <c r="H418" i="27"/>
  <c r="G417" i="27"/>
  <c r="C418" i="27"/>
  <c r="D418" i="27"/>
  <c r="R418" i="27"/>
  <c r="T418" i="27" s="1"/>
  <c r="S418" i="27"/>
  <c r="AD418" i="27"/>
  <c r="AE418" i="27"/>
  <c r="AF418" i="27"/>
  <c r="AG418" i="27"/>
  <c r="C417" i="27"/>
  <c r="D417" i="27"/>
  <c r="R417" i="27"/>
  <c r="T417" i="27" s="1"/>
  <c r="S417" i="27"/>
  <c r="AD417" i="27"/>
  <c r="AE417" i="27"/>
  <c r="AF417" i="27"/>
  <c r="AG417" i="27"/>
  <c r="H417" i="27" l="1"/>
  <c r="U418" i="27"/>
  <c r="AL418" i="27" s="1"/>
  <c r="U417" i="27"/>
  <c r="AL417" i="27" s="1"/>
  <c r="K416" i="27" l="1"/>
  <c r="G416" i="27"/>
  <c r="K415" i="27" l="1"/>
  <c r="K414" i="27"/>
  <c r="K413" i="27"/>
  <c r="K412" i="27"/>
  <c r="K411" i="27"/>
  <c r="K410" i="27"/>
  <c r="K409" i="27"/>
  <c r="K408" i="27"/>
  <c r="K407" i="27"/>
  <c r="K406" i="27"/>
  <c r="K405" i="27"/>
  <c r="K404" i="27"/>
  <c r="H416" i="27"/>
  <c r="G415" i="27"/>
  <c r="G414" i="27"/>
  <c r="G413" i="27"/>
  <c r="G412" i="27"/>
  <c r="G411" i="27"/>
  <c r="G410" i="27"/>
  <c r="G409" i="27"/>
  <c r="G408" i="27"/>
  <c r="G407" i="27"/>
  <c r="G406" i="27"/>
  <c r="G405" i="27"/>
  <c r="G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R405" i="27"/>
  <c r="R406" i="27"/>
  <c r="R407" i="27"/>
  <c r="R408" i="27"/>
  <c r="R409" i="27"/>
  <c r="R410" i="27"/>
  <c r="T410" i="27" s="1"/>
  <c r="U410" i="27" s="1"/>
  <c r="R411" i="27"/>
  <c r="T411" i="27" s="1"/>
  <c r="U411" i="27" s="1"/>
  <c r="R412" i="27"/>
  <c r="T412" i="27" s="1"/>
  <c r="U412" i="27" s="1"/>
  <c r="R413" i="27"/>
  <c r="T413" i="27" s="1"/>
  <c r="U413" i="27" s="1"/>
  <c r="R414" i="27"/>
  <c r="T414" i="27" s="1"/>
  <c r="U414" i="27" s="1"/>
  <c r="R415" i="27"/>
  <c r="T415" i="27" s="1"/>
  <c r="U415" i="27" s="1"/>
  <c r="R416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T405" i="27"/>
  <c r="U405" i="27" s="1"/>
  <c r="T406" i="27"/>
  <c r="U406" i="27" s="1"/>
  <c r="T407" i="27"/>
  <c r="U407" i="27" s="1"/>
  <c r="T408" i="27"/>
  <c r="U408" i="27" s="1"/>
  <c r="T409" i="27"/>
  <c r="AD405" i="27"/>
  <c r="AD406" i="27"/>
  <c r="AD407" i="27"/>
  <c r="AD408" i="27"/>
  <c r="AD409" i="27"/>
  <c r="AD410" i="27"/>
  <c r="AD411" i="27"/>
  <c r="AD412" i="27"/>
  <c r="AD413" i="27"/>
  <c r="AD414" i="27"/>
  <c r="AD415" i="27"/>
  <c r="AD416" i="27"/>
  <c r="AE405" i="27"/>
  <c r="AE406" i="27"/>
  <c r="AE407" i="27"/>
  <c r="AE408" i="27"/>
  <c r="AE409" i="27"/>
  <c r="AE410" i="27"/>
  <c r="AE411" i="27"/>
  <c r="AE412" i="27"/>
  <c r="AE413" i="27"/>
  <c r="AE414" i="27"/>
  <c r="AE415" i="27"/>
  <c r="AE416" i="27"/>
  <c r="AF405" i="27"/>
  <c r="AF406" i="27"/>
  <c r="AF407" i="27"/>
  <c r="AF408" i="27"/>
  <c r="AF409" i="27"/>
  <c r="AF410" i="27"/>
  <c r="AF411" i="27"/>
  <c r="AF412" i="27"/>
  <c r="AF413" i="27"/>
  <c r="AF414" i="27"/>
  <c r="AF415" i="27"/>
  <c r="AF416" i="27"/>
  <c r="AG405" i="27"/>
  <c r="AG406" i="27"/>
  <c r="AG407" i="27"/>
  <c r="AG408" i="27"/>
  <c r="AG409" i="27"/>
  <c r="AG410" i="27"/>
  <c r="AG411" i="27"/>
  <c r="AG412" i="27"/>
  <c r="AG413" i="27"/>
  <c r="AG414" i="27"/>
  <c r="AG415" i="27"/>
  <c r="AG416" i="27"/>
  <c r="C404" i="27"/>
  <c r="D404" i="27"/>
  <c r="H404" i="27"/>
  <c r="R404" i="27"/>
  <c r="T404" i="27" s="1"/>
  <c r="S404" i="27"/>
  <c r="AD404" i="27"/>
  <c r="AE404" i="27"/>
  <c r="AF404" i="27"/>
  <c r="AG404" i="27"/>
  <c r="Y3" i="31"/>
  <c r="Y4" i="31"/>
  <c r="Y5" i="31"/>
  <c r="Y6" i="31"/>
  <c r="Y7" i="31"/>
  <c r="Y8" i="31"/>
  <c r="Y9" i="31"/>
  <c r="Y10" i="31"/>
  <c r="Y11" i="31"/>
  <c r="Y12" i="31"/>
  <c r="Y13" i="31"/>
  <c r="Y14" i="31"/>
  <c r="Y15" i="31"/>
  <c r="Y16" i="31"/>
  <c r="Y17" i="31"/>
  <c r="Y18" i="31"/>
  <c r="Y19" i="31"/>
  <c r="Y20" i="31"/>
  <c r="Y21" i="31"/>
  <c r="Y22" i="31"/>
  <c r="Y23" i="31"/>
  <c r="Y24" i="31"/>
  <c r="Y25" i="31"/>
  <c r="Y26" i="31"/>
  <c r="Y27" i="31"/>
  <c r="Y28" i="31"/>
  <c r="Y29" i="31"/>
  <c r="Y30" i="31"/>
  <c r="Y31" i="31"/>
  <c r="Y32" i="31"/>
  <c r="Y33" i="31"/>
  <c r="Y34" i="31"/>
  <c r="Y35" i="31"/>
  <c r="Y36" i="31"/>
  <c r="Y37" i="31"/>
  <c r="Y38" i="31"/>
  <c r="Y39" i="31"/>
  <c r="Y40" i="31"/>
  <c r="Y41" i="31"/>
  <c r="Y42" i="31"/>
  <c r="Y43" i="31"/>
  <c r="Y44" i="31"/>
  <c r="Y45" i="31"/>
  <c r="Y46" i="31"/>
  <c r="Y47" i="31"/>
  <c r="Y48" i="31"/>
  <c r="Y49" i="31"/>
  <c r="Y50" i="31"/>
  <c r="Y51" i="31"/>
  <c r="Y52" i="31"/>
  <c r="Y53" i="31"/>
  <c r="Y54" i="31"/>
  <c r="Y55" i="31"/>
  <c r="Y56" i="31"/>
  <c r="Y57" i="31"/>
  <c r="Y58" i="31"/>
  <c r="Y59" i="31"/>
  <c r="Y60" i="31"/>
  <c r="Y61" i="31"/>
  <c r="Y62" i="31"/>
  <c r="Y63" i="31"/>
  <c r="Y64" i="31"/>
  <c r="Y65" i="31"/>
  <c r="Y66" i="31"/>
  <c r="Y67" i="31"/>
  <c r="Y68" i="31"/>
  <c r="Y69" i="31"/>
  <c r="Y70" i="31"/>
  <c r="Y71" i="31"/>
  <c r="Y72" i="31"/>
  <c r="Y73" i="31"/>
  <c r="Y74" i="31"/>
  <c r="Y75" i="31"/>
  <c r="Y76" i="31"/>
  <c r="Y77" i="31"/>
  <c r="Y78" i="31"/>
  <c r="Y79" i="31"/>
  <c r="Y80" i="31"/>
  <c r="Y81" i="31"/>
  <c r="Y82" i="31"/>
  <c r="Y83" i="31"/>
  <c r="Y84" i="31"/>
  <c r="Y85" i="31"/>
  <c r="Y86" i="31"/>
  <c r="Y87" i="31"/>
  <c r="Y88" i="31"/>
  <c r="Y89" i="31"/>
  <c r="Y90" i="31"/>
  <c r="Y91" i="31"/>
  <c r="Y92" i="31"/>
  <c r="Y93" i="31"/>
  <c r="Y94" i="31"/>
  <c r="Y95" i="31"/>
  <c r="Y96" i="31"/>
  <c r="Y97" i="31"/>
  <c r="Y98" i="31"/>
  <c r="Y99" i="31"/>
  <c r="Y100" i="31"/>
  <c r="Y101" i="31"/>
  <c r="Y102" i="31"/>
  <c r="Y103" i="31"/>
  <c r="Y104" i="31"/>
  <c r="Y105" i="31"/>
  <c r="Y106" i="31"/>
  <c r="Y107" i="31"/>
  <c r="Y108" i="31"/>
  <c r="Y109" i="31"/>
  <c r="Y110" i="31"/>
  <c r="Y111" i="31"/>
  <c r="Y112" i="31"/>
  <c r="Y113" i="31"/>
  <c r="Y114" i="31"/>
  <c r="Y115" i="31"/>
  <c r="Y116" i="31"/>
  <c r="Y117" i="31"/>
  <c r="Y118" i="31"/>
  <c r="Y119" i="31"/>
  <c r="Y120" i="31"/>
  <c r="Y121" i="31"/>
  <c r="Y122" i="31"/>
  <c r="Y123" i="31"/>
  <c r="Y124" i="31"/>
  <c r="Y125" i="31"/>
  <c r="Y126" i="31"/>
  <c r="Y127" i="31"/>
  <c r="Y128" i="31"/>
  <c r="Y129" i="31"/>
  <c r="Y130" i="31"/>
  <c r="Y131" i="31"/>
  <c r="Y132" i="31"/>
  <c r="Y133" i="31"/>
  <c r="Y134" i="31"/>
  <c r="Y135" i="31"/>
  <c r="Y136" i="31"/>
  <c r="Y137" i="31"/>
  <c r="Y138" i="31"/>
  <c r="Y139" i="31"/>
  <c r="Y140" i="31"/>
  <c r="Y141" i="31"/>
  <c r="Y142" i="31"/>
  <c r="Y143" i="31"/>
  <c r="Y144" i="31"/>
  <c r="Y145" i="31"/>
  <c r="Y146" i="31"/>
  <c r="Y147" i="31"/>
  <c r="Y148" i="31"/>
  <c r="Y149" i="31"/>
  <c r="Y150" i="31"/>
  <c r="Y151" i="31"/>
  <c r="Y152" i="31"/>
  <c r="Y153" i="31"/>
  <c r="Y154" i="31"/>
  <c r="Y155" i="31"/>
  <c r="Y156" i="31"/>
  <c r="Y157" i="31"/>
  <c r="Y158" i="31"/>
  <c r="Y159" i="31"/>
  <c r="Y160" i="31"/>
  <c r="Y161" i="31"/>
  <c r="Y162" i="31"/>
  <c r="Y163" i="31"/>
  <c r="Y164" i="31"/>
  <c r="Y165" i="31"/>
  <c r="Y166" i="31"/>
  <c r="Y167" i="31"/>
  <c r="Y168" i="31"/>
  <c r="Y169" i="31"/>
  <c r="Y170" i="31"/>
  <c r="Y171" i="31"/>
  <c r="Y172" i="31"/>
  <c r="Y173" i="31"/>
  <c r="Y174" i="31"/>
  <c r="Y175" i="31"/>
  <c r="Y176" i="31"/>
  <c r="Y177" i="31"/>
  <c r="Y178" i="31"/>
  <c r="Y179" i="31"/>
  <c r="Y180" i="31"/>
  <c r="Y181" i="31"/>
  <c r="Y182" i="31"/>
  <c r="Y183" i="31"/>
  <c r="Y184" i="31"/>
  <c r="Y185" i="31"/>
  <c r="Y186" i="31"/>
  <c r="Y187" i="31"/>
  <c r="Y188" i="31"/>
  <c r="Y189" i="31"/>
  <c r="Y190" i="31"/>
  <c r="Y191" i="31"/>
  <c r="Y192" i="31"/>
  <c r="Y193" i="31"/>
  <c r="Y194" i="31"/>
  <c r="Y195" i="31"/>
  <c r="Y196" i="31"/>
  <c r="Y197" i="31"/>
  <c r="Y198" i="31"/>
  <c r="Y199" i="31"/>
  <c r="Y200" i="31"/>
  <c r="Y201" i="31"/>
  <c r="Y202" i="31"/>
  <c r="Y203" i="31"/>
  <c r="Y204" i="31"/>
  <c r="Y205" i="31"/>
  <c r="Y206" i="31"/>
  <c r="Y207" i="31"/>
  <c r="Y208" i="31"/>
  <c r="Y209" i="31"/>
  <c r="Y210" i="31"/>
  <c r="Y211" i="31"/>
  <c r="Y212" i="31"/>
  <c r="Y213" i="31"/>
  <c r="Y214" i="31"/>
  <c r="Y215" i="31"/>
  <c r="Y216" i="31"/>
  <c r="Y217" i="31"/>
  <c r="Y218" i="31"/>
  <c r="Y219" i="31"/>
  <c r="Y220" i="31"/>
  <c r="Y221" i="31"/>
  <c r="Y222" i="31"/>
  <c r="Y223" i="31"/>
  <c r="Y224" i="31"/>
  <c r="Y225" i="31"/>
  <c r="Y226" i="31"/>
  <c r="Y227" i="31"/>
  <c r="Y228" i="31"/>
  <c r="Y229" i="31"/>
  <c r="Y230" i="31"/>
  <c r="Y231" i="31"/>
  <c r="Y232" i="31"/>
  <c r="Y233" i="31"/>
  <c r="Y234" i="31"/>
  <c r="Y235" i="31"/>
  <c r="Y236" i="31"/>
  <c r="Y237" i="31"/>
  <c r="Y238" i="31"/>
  <c r="Y239" i="31"/>
  <c r="Y240" i="31"/>
  <c r="Y241" i="31"/>
  <c r="Y242" i="31"/>
  <c r="Y243" i="31"/>
  <c r="Y244" i="31"/>
  <c r="Y245" i="31"/>
  <c r="Y246" i="31"/>
  <c r="Y247" i="31"/>
  <c r="Y248" i="31"/>
  <c r="Y249" i="31"/>
  <c r="Y250" i="31"/>
  <c r="Y251" i="31"/>
  <c r="Y252" i="31"/>
  <c r="Y253" i="31"/>
  <c r="Y254" i="31"/>
  <c r="Y255" i="31"/>
  <c r="Y256" i="31"/>
  <c r="Y257" i="31"/>
  <c r="Y258" i="31"/>
  <c r="Y259" i="31"/>
  <c r="Y260" i="31"/>
  <c r="Y261" i="31"/>
  <c r="Y262" i="31"/>
  <c r="Y263" i="31"/>
  <c r="Y264" i="31"/>
  <c r="Y265" i="31"/>
  <c r="Y266" i="31"/>
  <c r="Y267" i="31"/>
  <c r="Y268" i="31"/>
  <c r="Y269" i="31"/>
  <c r="Y270" i="31"/>
  <c r="Y271" i="31"/>
  <c r="Y272" i="31"/>
  <c r="Y273" i="31"/>
  <c r="Y274" i="31"/>
  <c r="Y275" i="31"/>
  <c r="Y276" i="31"/>
  <c r="Y277" i="31"/>
  <c r="Y278" i="31"/>
  <c r="Y279" i="31"/>
  <c r="Y280" i="31"/>
  <c r="Y281" i="31"/>
  <c r="Y282" i="31"/>
  <c r="Y283" i="31"/>
  <c r="Y284" i="31"/>
  <c r="Y285" i="31"/>
  <c r="Y286" i="31"/>
  <c r="Y287" i="31"/>
  <c r="Y288" i="31"/>
  <c r="Y289" i="31"/>
  <c r="Y290" i="31"/>
  <c r="Y291" i="31"/>
  <c r="Y292" i="31"/>
  <c r="Y293" i="31"/>
  <c r="Y294" i="31"/>
  <c r="Y295" i="31"/>
  <c r="Y296" i="31"/>
  <c r="Y297" i="31"/>
  <c r="Y298" i="31"/>
  <c r="Y299" i="31"/>
  <c r="Y300" i="31"/>
  <c r="Y301" i="31"/>
  <c r="Y302" i="31"/>
  <c r="Y303" i="31"/>
  <c r="Y304" i="31"/>
  <c r="Y305" i="31"/>
  <c r="K403" i="27"/>
  <c r="G403" i="27"/>
  <c r="C403" i="27"/>
  <c r="D403" i="27"/>
  <c r="R403" i="27"/>
  <c r="T403" i="27" s="1"/>
  <c r="U403" i="27" s="1"/>
  <c r="S403" i="27"/>
  <c r="AD403" i="27"/>
  <c r="AE403" i="27"/>
  <c r="AF403" i="27"/>
  <c r="AG403" i="27"/>
  <c r="K397" i="27"/>
  <c r="K398" i="27"/>
  <c r="K399" i="27"/>
  <c r="K400" i="27"/>
  <c r="K401" i="27"/>
  <c r="K402" i="27"/>
  <c r="G402" i="27"/>
  <c r="G401" i="27"/>
  <c r="G400" i="27"/>
  <c r="G399" i="27"/>
  <c r="G398" i="27"/>
  <c r="G397" i="27"/>
  <c r="C398" i="27"/>
  <c r="C399" i="27"/>
  <c r="C400" i="27"/>
  <c r="C401" i="27"/>
  <c r="C402" i="27"/>
  <c r="D398" i="27"/>
  <c r="D399" i="27"/>
  <c r="D400" i="27"/>
  <c r="D401" i="27"/>
  <c r="D402" i="27"/>
  <c r="R398" i="27"/>
  <c r="T398" i="27" s="1"/>
  <c r="R399" i="27"/>
  <c r="T399" i="27" s="1"/>
  <c r="R400" i="27"/>
  <c r="T400" i="27" s="1"/>
  <c r="U400" i="27" s="1"/>
  <c r="R401" i="27"/>
  <c r="T401" i="27" s="1"/>
  <c r="U401" i="27" s="1"/>
  <c r="R402" i="27"/>
  <c r="T402" i="27" s="1"/>
  <c r="U402" i="27" s="1"/>
  <c r="S398" i="27"/>
  <c r="S399" i="27"/>
  <c r="S400" i="27"/>
  <c r="S401" i="27"/>
  <c r="S402" i="27"/>
  <c r="AD398" i="27"/>
  <c r="AD399" i="27"/>
  <c r="AD400" i="27"/>
  <c r="AD401" i="27"/>
  <c r="AD402" i="27"/>
  <c r="AE398" i="27"/>
  <c r="AE399" i="27"/>
  <c r="AE400" i="27"/>
  <c r="AE401" i="27"/>
  <c r="AE402" i="27"/>
  <c r="AF398" i="27"/>
  <c r="AF399" i="27"/>
  <c r="AF400" i="27"/>
  <c r="AF401" i="27"/>
  <c r="AF402" i="27"/>
  <c r="AG398" i="27"/>
  <c r="AG399" i="27"/>
  <c r="AG400" i="27"/>
  <c r="AG401" i="27"/>
  <c r="AG402" i="27"/>
  <c r="K396" i="27"/>
  <c r="G396" i="27"/>
  <c r="C397" i="27"/>
  <c r="D397" i="27"/>
  <c r="R397" i="27"/>
  <c r="T397" i="27" s="1"/>
  <c r="S397" i="27"/>
  <c r="AD397" i="27"/>
  <c r="AE397" i="27"/>
  <c r="AF397" i="27"/>
  <c r="AG397" i="27"/>
  <c r="C396" i="27"/>
  <c r="D396" i="27"/>
  <c r="R396" i="27"/>
  <c r="T396" i="27" s="1"/>
  <c r="U396" i="27" s="1"/>
  <c r="S396" i="27"/>
  <c r="AD396" i="27"/>
  <c r="AE396" i="27"/>
  <c r="AF396" i="27"/>
  <c r="AG396" i="27"/>
  <c r="G395" i="27"/>
  <c r="G394" i="27"/>
  <c r="G393" i="27"/>
  <c r="G392" i="27"/>
  <c r="C393" i="27"/>
  <c r="C394" i="27"/>
  <c r="C395" i="27"/>
  <c r="D393" i="27"/>
  <c r="D394" i="27"/>
  <c r="D395" i="27"/>
  <c r="R393" i="27"/>
  <c r="T393" i="27" s="1"/>
  <c r="U393" i="27" s="1"/>
  <c r="R394" i="27"/>
  <c r="T394" i="27" s="1"/>
  <c r="R395" i="27"/>
  <c r="T395" i="27" s="1"/>
  <c r="S393" i="27"/>
  <c r="S394" i="27"/>
  <c r="S395" i="27"/>
  <c r="AD393" i="27"/>
  <c r="AD394" i="27"/>
  <c r="AD395" i="27"/>
  <c r="AE393" i="27"/>
  <c r="AE394" i="27"/>
  <c r="AE395" i="27"/>
  <c r="AF393" i="27"/>
  <c r="AF394" i="27"/>
  <c r="AF395" i="27"/>
  <c r="AG393" i="27"/>
  <c r="AG394" i="27"/>
  <c r="AG395" i="27"/>
  <c r="K395" i="27"/>
  <c r="K394" i="27"/>
  <c r="K393" i="27"/>
  <c r="K392" i="27"/>
  <c r="C392" i="27"/>
  <c r="D392" i="27"/>
  <c r="R392" i="27"/>
  <c r="T392" i="27" s="1"/>
  <c r="U392" i="27" s="1"/>
  <c r="S392" i="27"/>
  <c r="AD392" i="27"/>
  <c r="AE392" i="27"/>
  <c r="AF392" i="27"/>
  <c r="AG392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G391" i="27"/>
  <c r="G390" i="27"/>
  <c r="G389" i="27"/>
  <c r="G388" i="27"/>
  <c r="G387" i="27"/>
  <c r="G386" i="27"/>
  <c r="G385" i="27"/>
  <c r="G384" i="27"/>
  <c r="G383" i="27"/>
  <c r="G382" i="27"/>
  <c r="G381" i="27"/>
  <c r="G380" i="27"/>
  <c r="C382" i="27"/>
  <c r="C383" i="27"/>
  <c r="C384" i="27"/>
  <c r="C385" i="27"/>
  <c r="C386" i="27"/>
  <c r="C387" i="27"/>
  <c r="C388" i="27"/>
  <c r="C389" i="27"/>
  <c r="C390" i="27"/>
  <c r="C391" i="27"/>
  <c r="D382" i="27"/>
  <c r="D383" i="27"/>
  <c r="D384" i="27"/>
  <c r="D385" i="27"/>
  <c r="D386" i="27"/>
  <c r="D387" i="27"/>
  <c r="D388" i="27"/>
  <c r="D389" i="27"/>
  <c r="D390" i="27"/>
  <c r="D391" i="27"/>
  <c r="R382" i="27"/>
  <c r="T382" i="27" s="1"/>
  <c r="R383" i="27"/>
  <c r="T383" i="27" s="1"/>
  <c r="R384" i="27"/>
  <c r="T384" i="27" s="1"/>
  <c r="U384" i="27" s="1"/>
  <c r="R385" i="27"/>
  <c r="T385" i="27" s="1"/>
  <c r="R386" i="27"/>
  <c r="T386" i="27" s="1"/>
  <c r="U386" i="27" s="1"/>
  <c r="R387" i="27"/>
  <c r="T387" i="27" s="1"/>
  <c r="U387" i="27" s="1"/>
  <c r="R388" i="27"/>
  <c r="T388" i="27" s="1"/>
  <c r="R389" i="27"/>
  <c r="T389" i="27" s="1"/>
  <c r="U389" i="27" s="1"/>
  <c r="R390" i="27"/>
  <c r="T390" i="27" s="1"/>
  <c r="R391" i="27"/>
  <c r="T391" i="27" s="1"/>
  <c r="S382" i="27"/>
  <c r="S383" i="27"/>
  <c r="S384" i="27"/>
  <c r="S385" i="27"/>
  <c r="S386" i="27"/>
  <c r="S387" i="27"/>
  <c r="S388" i="27"/>
  <c r="S389" i="27"/>
  <c r="S390" i="27"/>
  <c r="S391" i="27"/>
  <c r="AD382" i="27"/>
  <c r="AD383" i="27"/>
  <c r="AD384" i="27"/>
  <c r="AD385" i="27"/>
  <c r="AD386" i="27"/>
  <c r="AD387" i="27"/>
  <c r="AD388" i="27"/>
  <c r="AD389" i="27"/>
  <c r="AD390" i="27"/>
  <c r="AD391" i="27"/>
  <c r="AE382" i="27"/>
  <c r="AE383" i="27"/>
  <c r="AE384" i="27"/>
  <c r="AE385" i="27"/>
  <c r="AE386" i="27"/>
  <c r="AE387" i="27"/>
  <c r="AE388" i="27"/>
  <c r="AE389" i="27"/>
  <c r="AE390" i="27"/>
  <c r="AE391" i="27"/>
  <c r="AF382" i="27"/>
  <c r="AF383" i="27"/>
  <c r="AF384" i="27"/>
  <c r="AF385" i="27"/>
  <c r="AF386" i="27"/>
  <c r="AF387" i="27"/>
  <c r="AF388" i="27"/>
  <c r="AF389" i="27"/>
  <c r="AF390" i="27"/>
  <c r="AF391" i="27"/>
  <c r="AG382" i="27"/>
  <c r="AG383" i="27"/>
  <c r="AG384" i="27"/>
  <c r="AG385" i="27"/>
  <c r="AG386" i="27"/>
  <c r="AG387" i="27"/>
  <c r="AG388" i="27"/>
  <c r="AG389" i="27"/>
  <c r="AG390" i="27"/>
  <c r="AG391" i="27"/>
  <c r="C380" i="27"/>
  <c r="C381" i="27"/>
  <c r="D380" i="27"/>
  <c r="D381" i="27"/>
  <c r="R380" i="27"/>
  <c r="T380" i="27" s="1"/>
  <c r="R381" i="27"/>
  <c r="T381" i="27" s="1"/>
  <c r="U381" i="27" s="1"/>
  <c r="S380" i="27"/>
  <c r="S381" i="27"/>
  <c r="AD380" i="27"/>
  <c r="AD381" i="27"/>
  <c r="AE380" i="27"/>
  <c r="AE381" i="27"/>
  <c r="AF380" i="27"/>
  <c r="AF381" i="27"/>
  <c r="AG380" i="27"/>
  <c r="AG381" i="27"/>
  <c r="K379" i="27"/>
  <c r="K378" i="27"/>
  <c r="K377" i="27"/>
  <c r="K376" i="27"/>
  <c r="G379" i="27"/>
  <c r="G378" i="27"/>
  <c r="G377" i="27"/>
  <c r="G376" i="27"/>
  <c r="C377" i="27"/>
  <c r="C378" i="27"/>
  <c r="C379" i="27"/>
  <c r="D377" i="27"/>
  <c r="D378" i="27"/>
  <c r="D379" i="27"/>
  <c r="R377" i="27"/>
  <c r="T377" i="27" s="1"/>
  <c r="U377" i="27" s="1"/>
  <c r="R378" i="27"/>
  <c r="T378" i="27" s="1"/>
  <c r="U378" i="27" s="1"/>
  <c r="R379" i="27"/>
  <c r="S377" i="27"/>
  <c r="S378" i="27"/>
  <c r="S379" i="27"/>
  <c r="AD377" i="27"/>
  <c r="AD378" i="27"/>
  <c r="AD379" i="27"/>
  <c r="AE377" i="27"/>
  <c r="AE378" i="27"/>
  <c r="AE379" i="27"/>
  <c r="AF377" i="27"/>
  <c r="AF378" i="27"/>
  <c r="AF379" i="27"/>
  <c r="AG377" i="27"/>
  <c r="AG378" i="27"/>
  <c r="AG379" i="27"/>
  <c r="C376" i="27"/>
  <c r="D376" i="27"/>
  <c r="R376" i="27"/>
  <c r="T376" i="27" s="1"/>
  <c r="S376" i="27"/>
  <c r="AD376" i="27"/>
  <c r="AE376" i="27"/>
  <c r="AF376" i="27"/>
  <c r="AG376" i="27"/>
  <c r="H406" i="27" l="1"/>
  <c r="AL406" i="27"/>
  <c r="H378" i="27"/>
  <c r="AL378" i="27"/>
  <c r="H386" i="27"/>
  <c r="AL386" i="27"/>
  <c r="H401" i="27"/>
  <c r="AL401" i="27"/>
  <c r="H379" i="27"/>
  <c r="H387" i="27"/>
  <c r="AL387" i="27"/>
  <c r="H402" i="27"/>
  <c r="AL402" i="27"/>
  <c r="H388" i="27"/>
  <c r="H396" i="27"/>
  <c r="AL396" i="27"/>
  <c r="H407" i="27"/>
  <c r="AL407" i="27"/>
  <c r="H408" i="27"/>
  <c r="AL408" i="27"/>
  <c r="H389" i="27"/>
  <c r="AL389" i="27"/>
  <c r="H409" i="27"/>
  <c r="H391" i="27"/>
  <c r="H410" i="27"/>
  <c r="AL410" i="27"/>
  <c r="H377" i="27"/>
  <c r="AL377" i="27"/>
  <c r="H385" i="27"/>
  <c r="H380" i="27"/>
  <c r="H392" i="27"/>
  <c r="AL392" i="27"/>
  <c r="H411" i="27"/>
  <c r="AL411" i="27"/>
  <c r="H390" i="27"/>
  <c r="H403" i="27"/>
  <c r="AL403" i="27"/>
  <c r="H412" i="27"/>
  <c r="AL412" i="27"/>
  <c r="H413" i="27"/>
  <c r="AL413" i="27"/>
  <c r="H414" i="27"/>
  <c r="AL414" i="27"/>
  <c r="H381" i="27"/>
  <c r="AL381" i="27"/>
  <c r="H393" i="27"/>
  <c r="AL393" i="27"/>
  <c r="H382" i="27"/>
  <c r="H394" i="27"/>
  <c r="H397" i="27"/>
  <c r="H383" i="27"/>
  <c r="H395" i="27"/>
  <c r="H398" i="27"/>
  <c r="H376" i="27"/>
  <c r="H384" i="27"/>
  <c r="AL384" i="27"/>
  <c r="H399" i="27"/>
  <c r="H415" i="27"/>
  <c r="AL415" i="27"/>
  <c r="H400" i="27"/>
  <c r="AL400" i="27"/>
  <c r="H405" i="27"/>
  <c r="AL405" i="27"/>
  <c r="T416" i="27"/>
  <c r="U416" i="27" s="1"/>
  <c r="AL416" i="27" s="1"/>
  <c r="U409" i="27"/>
  <c r="AL409" i="27" s="1"/>
  <c r="U404" i="27"/>
  <c r="AL404" i="27" s="1"/>
  <c r="U398" i="27"/>
  <c r="AL398" i="27" s="1"/>
  <c r="U397" i="27"/>
  <c r="AL397" i="27" s="1"/>
  <c r="U399" i="27"/>
  <c r="AL399" i="27" s="1"/>
  <c r="T379" i="27"/>
  <c r="U379" i="27" s="1"/>
  <c r="AL379" i="27" s="1"/>
  <c r="U394" i="27"/>
  <c r="AL394" i="27" s="1"/>
  <c r="U395" i="27"/>
  <c r="AL395" i="27" s="1"/>
  <c r="U391" i="27"/>
  <c r="AL391" i="27" s="1"/>
  <c r="U383" i="27"/>
  <c r="AL383" i="27" s="1"/>
  <c r="U390" i="27"/>
  <c r="AL390" i="27" s="1"/>
  <c r="U382" i="27"/>
  <c r="AL382" i="27" s="1"/>
  <c r="U388" i="27"/>
  <c r="AL388" i="27" s="1"/>
  <c r="U385" i="27"/>
  <c r="AL385" i="27" s="1"/>
  <c r="U380" i="27"/>
  <c r="AL380" i="27" s="1"/>
  <c r="U376" i="27"/>
  <c r="AL376" i="27" s="1"/>
  <c r="K375" i="27" l="1"/>
  <c r="K374" i="27"/>
  <c r="K373" i="27"/>
  <c r="G375" i="27"/>
  <c r="G374" i="27"/>
  <c r="G373" i="27"/>
  <c r="C374" i="27"/>
  <c r="C375" i="27"/>
  <c r="D374" i="27"/>
  <c r="D375" i="27"/>
  <c r="R374" i="27"/>
  <c r="T374" i="27" s="1"/>
  <c r="R375" i="27"/>
  <c r="T375" i="27" s="1"/>
  <c r="S374" i="27"/>
  <c r="S375" i="27"/>
  <c r="AD374" i="27"/>
  <c r="AD375" i="27"/>
  <c r="AE374" i="27"/>
  <c r="AE375" i="27"/>
  <c r="AF374" i="27"/>
  <c r="AF375" i="27"/>
  <c r="AG374" i="27"/>
  <c r="AG375" i="27"/>
  <c r="C373" i="27"/>
  <c r="D373" i="27"/>
  <c r="R373" i="27"/>
  <c r="T373" i="27" s="1"/>
  <c r="U373" i="27" s="1"/>
  <c r="S373" i="27"/>
  <c r="AD373" i="27"/>
  <c r="AE373" i="27"/>
  <c r="AF373" i="27"/>
  <c r="AG373" i="27"/>
  <c r="K372" i="27"/>
  <c r="G372" i="27"/>
  <c r="C372" i="27"/>
  <c r="D372" i="27"/>
  <c r="R372" i="27"/>
  <c r="T372" i="27" s="1"/>
  <c r="U372" i="27" s="1"/>
  <c r="S372" i="27"/>
  <c r="AD372" i="27"/>
  <c r="AE372" i="27"/>
  <c r="AF372" i="27"/>
  <c r="AG372" i="27"/>
  <c r="K371" i="27"/>
  <c r="G371" i="27"/>
  <c r="C371" i="27"/>
  <c r="D371" i="27"/>
  <c r="R371" i="27"/>
  <c r="T371" i="27" s="1"/>
  <c r="S371" i="27"/>
  <c r="AD371" i="27"/>
  <c r="AE371" i="27"/>
  <c r="AF371" i="27"/>
  <c r="AG371" i="27"/>
  <c r="H372" i="27" l="1"/>
  <c r="AL372" i="27"/>
  <c r="H371" i="27"/>
  <c r="H373" i="27"/>
  <c r="AL373" i="27"/>
  <c r="H374" i="27"/>
  <c r="H375" i="27"/>
  <c r="U375" i="27"/>
  <c r="AL375" i="27" s="1"/>
  <c r="U374" i="27"/>
  <c r="AL374" i="27" s="1"/>
  <c r="V372" i="27"/>
  <c r="AJ372" i="27" s="1"/>
  <c r="U371" i="27"/>
  <c r="AL371" i="27" s="1"/>
  <c r="V371" i="27"/>
  <c r="AJ371" i="27" s="1"/>
  <c r="S642" i="22" l="1"/>
  <c r="S641" i="22"/>
  <c r="S640" i="22"/>
  <c r="S639" i="22"/>
  <c r="S638" i="22"/>
  <c r="S637" i="22"/>
  <c r="S636" i="22"/>
  <c r="S635" i="22"/>
  <c r="S634" i="22"/>
  <c r="S633" i="22"/>
  <c r="S632" i="22"/>
  <c r="S631" i="22"/>
  <c r="S630" i="22"/>
  <c r="S629" i="22"/>
  <c r="S628" i="22"/>
  <c r="S627" i="22"/>
  <c r="S626" i="22"/>
  <c r="S625" i="22"/>
  <c r="S624" i="22"/>
  <c r="S623" i="22"/>
  <c r="S622" i="22"/>
  <c r="S621" i="22"/>
  <c r="S620" i="22"/>
  <c r="S619" i="22"/>
  <c r="K370" i="27" l="1"/>
  <c r="G370" i="27"/>
  <c r="C370" i="27"/>
  <c r="D370" i="27"/>
  <c r="R370" i="27"/>
  <c r="T370" i="27" s="1"/>
  <c r="S370" i="27"/>
  <c r="AD370" i="27"/>
  <c r="AE370" i="27"/>
  <c r="AF370" i="27"/>
  <c r="AG370" i="27"/>
  <c r="K369" i="27"/>
  <c r="K368" i="27"/>
  <c r="K367" i="27"/>
  <c r="K366" i="27"/>
  <c r="K365" i="27"/>
  <c r="K364" i="27"/>
  <c r="K363" i="27"/>
  <c r="K362" i="27"/>
  <c r="K361" i="27"/>
  <c r="K360" i="27"/>
  <c r="G369" i="27"/>
  <c r="G368" i="27"/>
  <c r="G367" i="27"/>
  <c r="G366" i="27"/>
  <c r="G365" i="27"/>
  <c r="G364" i="27"/>
  <c r="G363" i="27"/>
  <c r="G362" i="27"/>
  <c r="G361" i="27"/>
  <c r="G360" i="27"/>
  <c r="C361" i="27"/>
  <c r="C362" i="27"/>
  <c r="C363" i="27"/>
  <c r="C364" i="27"/>
  <c r="C365" i="27"/>
  <c r="C366" i="27"/>
  <c r="C367" i="27"/>
  <c r="C368" i="27"/>
  <c r="C369" i="27"/>
  <c r="D361" i="27"/>
  <c r="D362" i="27"/>
  <c r="D363" i="27"/>
  <c r="D364" i="27"/>
  <c r="D365" i="27"/>
  <c r="D366" i="27"/>
  <c r="D367" i="27"/>
  <c r="D368" i="27"/>
  <c r="D369" i="27"/>
  <c r="R361" i="27"/>
  <c r="T361" i="27" s="1"/>
  <c r="U361" i="27" s="1"/>
  <c r="R362" i="27"/>
  <c r="T362" i="27" s="1"/>
  <c r="U362" i="27" s="1"/>
  <c r="R363" i="27"/>
  <c r="T363" i="27" s="1"/>
  <c r="R364" i="27"/>
  <c r="T364" i="27" s="1"/>
  <c r="R365" i="27"/>
  <c r="T365" i="27" s="1"/>
  <c r="R366" i="27"/>
  <c r="T366" i="27" s="1"/>
  <c r="U366" i="27" s="1"/>
  <c r="R367" i="27"/>
  <c r="T367" i="27" s="1"/>
  <c r="U367" i="27" s="1"/>
  <c r="R368" i="27"/>
  <c r="T368" i="27" s="1"/>
  <c r="R369" i="27"/>
  <c r="T369" i="27" s="1"/>
  <c r="U369" i="27" s="1"/>
  <c r="S361" i="27"/>
  <c r="S362" i="27"/>
  <c r="S363" i="27"/>
  <c r="S364" i="27"/>
  <c r="S365" i="27"/>
  <c r="S366" i="27"/>
  <c r="S367" i="27"/>
  <c r="S368" i="27"/>
  <c r="S369" i="27"/>
  <c r="AD361" i="27"/>
  <c r="AD362" i="27"/>
  <c r="AD363" i="27"/>
  <c r="AD364" i="27"/>
  <c r="AD365" i="27"/>
  <c r="AD366" i="27"/>
  <c r="AD367" i="27"/>
  <c r="AD368" i="27"/>
  <c r="AD369" i="27"/>
  <c r="AE361" i="27"/>
  <c r="AE362" i="27"/>
  <c r="AE363" i="27"/>
  <c r="AE364" i="27"/>
  <c r="AE365" i="27"/>
  <c r="AE366" i="27"/>
  <c r="AE367" i="27"/>
  <c r="AE368" i="27"/>
  <c r="AE369" i="27"/>
  <c r="AF361" i="27"/>
  <c r="AF362" i="27"/>
  <c r="AF363" i="27"/>
  <c r="AF364" i="27"/>
  <c r="AF365" i="27"/>
  <c r="AF366" i="27"/>
  <c r="AF367" i="27"/>
  <c r="AF368" i="27"/>
  <c r="AF369" i="27"/>
  <c r="AG361" i="27"/>
  <c r="AG362" i="27"/>
  <c r="AG363" i="27"/>
  <c r="AG364" i="27"/>
  <c r="AG365" i="27"/>
  <c r="AG366" i="27"/>
  <c r="AG367" i="27"/>
  <c r="AG368" i="27"/>
  <c r="AG369" i="27"/>
  <c r="H369" i="27" l="1"/>
  <c r="AL369" i="27"/>
  <c r="H366" i="27"/>
  <c r="AL366" i="27"/>
  <c r="H367" i="27"/>
  <c r="AL367" i="27"/>
  <c r="H368" i="27"/>
  <c r="H361" i="27"/>
  <c r="AL361" i="27"/>
  <c r="H362" i="27"/>
  <c r="AL362" i="27"/>
  <c r="H363" i="27"/>
  <c r="H364" i="27"/>
  <c r="H370" i="27"/>
  <c r="H365" i="27"/>
  <c r="U370" i="27"/>
  <c r="AL370" i="27" s="1"/>
  <c r="U365" i="27"/>
  <c r="AL365" i="27" s="1"/>
  <c r="U364" i="27"/>
  <c r="AL364" i="27" s="1"/>
  <c r="U363" i="27"/>
  <c r="AL363" i="27" s="1"/>
  <c r="U368" i="27"/>
  <c r="AL368" i="27" s="1"/>
  <c r="S344" i="32" l="1"/>
  <c r="S345" i="32"/>
  <c r="S346" i="32"/>
  <c r="S347" i="32"/>
  <c r="S348" i="32"/>
  <c r="S349" i="32"/>
  <c r="S350" i="32"/>
  <c r="S351" i="32"/>
  <c r="S352" i="32"/>
  <c r="S353" i="32"/>
  <c r="S354" i="32"/>
  <c r="S355" i="32"/>
  <c r="S356" i="32"/>
  <c r="S357" i="32"/>
  <c r="S358" i="32"/>
  <c r="S359" i="32"/>
  <c r="S360" i="32"/>
  <c r="S361" i="32"/>
  <c r="S362" i="32"/>
  <c r="S363" i="32"/>
  <c r="S364" i="32"/>
  <c r="S365" i="32"/>
  <c r="K359" i="27"/>
  <c r="K358" i="27"/>
  <c r="K357" i="27"/>
  <c r="K356" i="27"/>
  <c r="K355" i="27"/>
  <c r="K354" i="27"/>
  <c r="K353" i="27"/>
  <c r="G359" i="27"/>
  <c r="G358" i="27"/>
  <c r="G357" i="27"/>
  <c r="G356" i="27"/>
  <c r="G355" i="27"/>
  <c r="G354" i="27"/>
  <c r="G353" i="27"/>
  <c r="C354" i="27"/>
  <c r="C355" i="27"/>
  <c r="C356" i="27"/>
  <c r="C357" i="27"/>
  <c r="C358" i="27"/>
  <c r="C359" i="27"/>
  <c r="C360" i="27"/>
  <c r="D354" i="27"/>
  <c r="D355" i="27"/>
  <c r="D356" i="27"/>
  <c r="D357" i="27"/>
  <c r="D358" i="27"/>
  <c r="D359" i="27"/>
  <c r="D360" i="27"/>
  <c r="H360" i="27"/>
  <c r="R354" i="27"/>
  <c r="T354" i="27" s="1"/>
  <c r="R355" i="27"/>
  <c r="T355" i="27" s="1"/>
  <c r="R356" i="27"/>
  <c r="T356" i="27" s="1"/>
  <c r="R357" i="27"/>
  <c r="T357" i="27" s="1"/>
  <c r="R358" i="27"/>
  <c r="T358" i="27" s="1"/>
  <c r="U358" i="27" s="1"/>
  <c r="R359" i="27"/>
  <c r="T359" i="27" s="1"/>
  <c r="U359" i="27" s="1"/>
  <c r="R360" i="27"/>
  <c r="T360" i="27" s="1"/>
  <c r="S354" i="27"/>
  <c r="S355" i="27"/>
  <c r="S356" i="27"/>
  <c r="S357" i="27"/>
  <c r="S358" i="27"/>
  <c r="S359" i="27"/>
  <c r="S360" i="27"/>
  <c r="AD354" i="27"/>
  <c r="AD355" i="27"/>
  <c r="AD356" i="27"/>
  <c r="AD357" i="27"/>
  <c r="AD358" i="27"/>
  <c r="AD359" i="27"/>
  <c r="AD360" i="27"/>
  <c r="AE354" i="27"/>
  <c r="AE355" i="27"/>
  <c r="AE356" i="27"/>
  <c r="AE357" i="27"/>
  <c r="AE358" i="27"/>
  <c r="AE359" i="27"/>
  <c r="AE360" i="27"/>
  <c r="AF354" i="27"/>
  <c r="AF355" i="27"/>
  <c r="AF356" i="27"/>
  <c r="AF357" i="27"/>
  <c r="AF358" i="27"/>
  <c r="AF359" i="27"/>
  <c r="AF360" i="27"/>
  <c r="AG354" i="27"/>
  <c r="AG355" i="27"/>
  <c r="AG356" i="27"/>
  <c r="AG357" i="27"/>
  <c r="AG358" i="27"/>
  <c r="AG359" i="27"/>
  <c r="AG360" i="27"/>
  <c r="C353" i="27"/>
  <c r="D353" i="27"/>
  <c r="R353" i="27"/>
  <c r="T353" i="27" s="1"/>
  <c r="S353" i="27"/>
  <c r="AD353" i="27"/>
  <c r="AE353" i="27"/>
  <c r="AF353" i="27"/>
  <c r="AG353" i="27"/>
  <c r="H353" i="27" l="1"/>
  <c r="H354" i="27"/>
  <c r="H355" i="27"/>
  <c r="H357" i="27"/>
  <c r="H359" i="27"/>
  <c r="AL359" i="27"/>
  <c r="H356" i="27"/>
  <c r="H358" i="27"/>
  <c r="AL358" i="27"/>
  <c r="U356" i="27"/>
  <c r="AL356" i="27" s="1"/>
  <c r="U355" i="27"/>
  <c r="AL355" i="27" s="1"/>
  <c r="U360" i="27"/>
  <c r="AL360" i="27" s="1"/>
  <c r="U357" i="27"/>
  <c r="AL357" i="27" s="1"/>
  <c r="U354" i="27"/>
  <c r="AL354" i="27" s="1"/>
  <c r="U353" i="27"/>
  <c r="AL353" i="27" s="1"/>
  <c r="G352" i="27" l="1"/>
  <c r="G351" i="27"/>
  <c r="K352" i="27"/>
  <c r="K351" i="27"/>
  <c r="C352" i="27"/>
  <c r="D352" i="27"/>
  <c r="R352" i="27"/>
  <c r="S352" i="27"/>
  <c r="AD352" i="27"/>
  <c r="AE352" i="27"/>
  <c r="AF352" i="27"/>
  <c r="AG352" i="27"/>
  <c r="C351" i="27"/>
  <c r="D351" i="27"/>
  <c r="R351" i="27"/>
  <c r="S351" i="27"/>
  <c r="AD351" i="27"/>
  <c r="AE351" i="27"/>
  <c r="AF351" i="27"/>
  <c r="AG351" i="27"/>
  <c r="K350" i="27"/>
  <c r="K349" i="27"/>
  <c r="K348" i="27"/>
  <c r="C349" i="27"/>
  <c r="C350" i="27"/>
  <c r="D349" i="27"/>
  <c r="D350" i="27"/>
  <c r="R349" i="27"/>
  <c r="T349" i="27" s="1"/>
  <c r="R350" i="27"/>
  <c r="S349" i="27"/>
  <c r="S350" i="27"/>
  <c r="AD349" i="27"/>
  <c r="AD350" i="27"/>
  <c r="AE349" i="27"/>
  <c r="AE350" i="27"/>
  <c r="AF349" i="27"/>
  <c r="AF350" i="27"/>
  <c r="AG349" i="27"/>
  <c r="AG350" i="27"/>
  <c r="G350" i="27"/>
  <c r="G349" i="27"/>
  <c r="G348" i="27"/>
  <c r="C348" i="27"/>
  <c r="D348" i="27"/>
  <c r="R348" i="27"/>
  <c r="T348" i="27" s="1"/>
  <c r="S348" i="27"/>
  <c r="AD348" i="27"/>
  <c r="AE348" i="27"/>
  <c r="AF348" i="27"/>
  <c r="AG348" i="27"/>
  <c r="K347" i="27"/>
  <c r="K346" i="27"/>
  <c r="G347" i="27"/>
  <c r="G346" i="27"/>
  <c r="C347" i="27"/>
  <c r="D347" i="27"/>
  <c r="R347" i="27"/>
  <c r="T347" i="27" s="1"/>
  <c r="S347" i="27"/>
  <c r="AD347" i="27"/>
  <c r="AE347" i="27"/>
  <c r="AF347" i="27"/>
  <c r="AG347" i="27"/>
  <c r="C346" i="27"/>
  <c r="D346" i="27"/>
  <c r="R346" i="27"/>
  <c r="T346" i="27" s="1"/>
  <c r="U346" i="27" s="1"/>
  <c r="S346" i="27"/>
  <c r="AD346" i="27"/>
  <c r="AE346" i="27"/>
  <c r="AF346" i="27"/>
  <c r="AG346" i="27"/>
  <c r="K345" i="27"/>
  <c r="K344" i="27"/>
  <c r="K343" i="27"/>
  <c r="K342" i="27"/>
  <c r="K341" i="27"/>
  <c r="K340" i="27"/>
  <c r="K339" i="27"/>
  <c r="K338" i="27"/>
  <c r="K337" i="27"/>
  <c r="K336" i="27"/>
  <c r="G345" i="27"/>
  <c r="G344" i="27"/>
  <c r="G343" i="27"/>
  <c r="G342" i="27"/>
  <c r="G341" i="27"/>
  <c r="G340" i="27"/>
  <c r="G339" i="27"/>
  <c r="G338" i="27"/>
  <c r="G337" i="27"/>
  <c r="G336" i="27"/>
  <c r="C336" i="27"/>
  <c r="C337" i="27"/>
  <c r="C338" i="27"/>
  <c r="C339" i="27"/>
  <c r="C340" i="27"/>
  <c r="C341" i="27"/>
  <c r="C342" i="27"/>
  <c r="C343" i="27"/>
  <c r="C344" i="27"/>
  <c r="C345" i="27"/>
  <c r="D336" i="27"/>
  <c r="D337" i="27"/>
  <c r="D338" i="27"/>
  <c r="D339" i="27"/>
  <c r="D340" i="27"/>
  <c r="D341" i="27"/>
  <c r="D342" i="27"/>
  <c r="D343" i="27"/>
  <c r="D344" i="27"/>
  <c r="D345" i="27"/>
  <c r="H339" i="27"/>
  <c r="R336" i="27"/>
  <c r="T336" i="27" s="1"/>
  <c r="R337" i="27"/>
  <c r="T337" i="27" s="1"/>
  <c r="U337" i="27" s="1"/>
  <c r="R338" i="27"/>
  <c r="T338" i="27" s="1"/>
  <c r="R339" i="27"/>
  <c r="T339" i="27" s="1"/>
  <c r="R340" i="27"/>
  <c r="T340" i="27" s="1"/>
  <c r="U340" i="27" s="1"/>
  <c r="R341" i="27"/>
  <c r="T341" i="27" s="1"/>
  <c r="R342" i="27"/>
  <c r="T342" i="27" s="1"/>
  <c r="R343" i="27"/>
  <c r="T343" i="27" s="1"/>
  <c r="R344" i="27"/>
  <c r="T344" i="27" s="1"/>
  <c r="U344" i="27" s="1"/>
  <c r="R345" i="27"/>
  <c r="T345" i="27" s="1"/>
  <c r="S336" i="27"/>
  <c r="S337" i="27"/>
  <c r="S338" i="27"/>
  <c r="S339" i="27"/>
  <c r="S340" i="27"/>
  <c r="S341" i="27"/>
  <c r="S342" i="27"/>
  <c r="S343" i="27"/>
  <c r="S344" i="27"/>
  <c r="S345" i="27"/>
  <c r="AD336" i="27"/>
  <c r="AD337" i="27"/>
  <c r="AD338" i="27"/>
  <c r="AD339" i="27"/>
  <c r="AD340" i="27"/>
  <c r="AD341" i="27"/>
  <c r="AD342" i="27"/>
  <c r="AD343" i="27"/>
  <c r="AD344" i="27"/>
  <c r="AD345" i="27"/>
  <c r="AE336" i="27"/>
  <c r="AE337" i="27"/>
  <c r="AE338" i="27"/>
  <c r="AE339" i="27"/>
  <c r="AE340" i="27"/>
  <c r="AE341" i="27"/>
  <c r="AE342" i="27"/>
  <c r="AE343" i="27"/>
  <c r="AE344" i="27"/>
  <c r="AE345" i="27"/>
  <c r="AF336" i="27"/>
  <c r="AF337" i="27"/>
  <c r="AF338" i="27"/>
  <c r="AF339" i="27"/>
  <c r="AF340" i="27"/>
  <c r="AF341" i="27"/>
  <c r="AF342" i="27"/>
  <c r="AF343" i="27"/>
  <c r="AF344" i="27"/>
  <c r="AF345" i="27"/>
  <c r="AG336" i="27"/>
  <c r="AG337" i="27"/>
  <c r="AG338" i="27"/>
  <c r="AG339" i="27"/>
  <c r="AG340" i="27"/>
  <c r="AG341" i="27"/>
  <c r="AG342" i="27"/>
  <c r="AG343" i="27"/>
  <c r="AG344" i="27"/>
  <c r="AG345" i="27"/>
  <c r="S343" i="32"/>
  <c r="H342" i="27" l="1"/>
  <c r="H343" i="27"/>
  <c r="H344" i="27"/>
  <c r="AL344" i="27"/>
  <c r="H345" i="27"/>
  <c r="H336" i="27"/>
  <c r="H346" i="27"/>
  <c r="AL346" i="27"/>
  <c r="H348" i="27"/>
  <c r="H337" i="27"/>
  <c r="AL337" i="27"/>
  <c r="H347" i="27"/>
  <c r="H338" i="27"/>
  <c r="H350" i="27"/>
  <c r="H340" i="27"/>
  <c r="AL340" i="27"/>
  <c r="H351" i="27"/>
  <c r="H349" i="27"/>
  <c r="H341" i="27"/>
  <c r="H352" i="27"/>
  <c r="T350" i="27"/>
  <c r="U350" i="27" s="1"/>
  <c r="AL350" i="27" s="1"/>
  <c r="T351" i="27"/>
  <c r="U351" i="27" s="1"/>
  <c r="AL351" i="27" s="1"/>
  <c r="T352" i="27"/>
  <c r="U352" i="27" s="1"/>
  <c r="AL352" i="27" s="1"/>
  <c r="U349" i="27"/>
  <c r="AL349" i="27" s="1"/>
  <c r="U348" i="27"/>
  <c r="AL348" i="27" s="1"/>
  <c r="U347" i="27"/>
  <c r="AL347" i="27" s="1"/>
  <c r="U345" i="27"/>
  <c r="AL345" i="27" s="1"/>
  <c r="U336" i="27"/>
  <c r="AL336" i="27" s="1"/>
  <c r="U341" i="27"/>
  <c r="AL341" i="27" s="1"/>
  <c r="U343" i="27"/>
  <c r="AL343" i="27" s="1"/>
  <c r="U342" i="27"/>
  <c r="AL342" i="27" s="1"/>
  <c r="U339" i="27"/>
  <c r="AL339" i="27" s="1"/>
  <c r="U338" i="27"/>
  <c r="AL338" i="27" s="1"/>
  <c r="K335" i="27"/>
  <c r="G335" i="27"/>
  <c r="C335" i="27"/>
  <c r="D335" i="27"/>
  <c r="R335" i="27"/>
  <c r="T335" i="27" s="1"/>
  <c r="V335" i="27" s="1"/>
  <c r="S335" i="27"/>
  <c r="AD335" i="27"/>
  <c r="AE335" i="27"/>
  <c r="AF335" i="27"/>
  <c r="AG335" i="27"/>
  <c r="K332" i="27"/>
  <c r="K333" i="27"/>
  <c r="K334" i="27"/>
  <c r="C333" i="27"/>
  <c r="C334" i="27"/>
  <c r="D333" i="27"/>
  <c r="D334" i="27"/>
  <c r="R333" i="27"/>
  <c r="T333" i="27" s="1"/>
  <c r="R334" i="27"/>
  <c r="T334" i="27" s="1"/>
  <c r="S333" i="27"/>
  <c r="S334" i="27"/>
  <c r="AD333" i="27"/>
  <c r="AD334" i="27"/>
  <c r="AE333" i="27"/>
  <c r="AE334" i="27"/>
  <c r="AF333" i="27"/>
  <c r="AF334" i="27"/>
  <c r="AG333" i="27"/>
  <c r="AG334" i="27"/>
  <c r="G334" i="27"/>
  <c r="G333" i="27"/>
  <c r="G332" i="27"/>
  <c r="C332" i="27"/>
  <c r="D332" i="27"/>
  <c r="R332" i="27"/>
  <c r="T332" i="27" s="1"/>
  <c r="S332" i="27"/>
  <c r="AD332" i="27"/>
  <c r="AE332" i="27"/>
  <c r="AF332" i="27"/>
  <c r="AG332" i="27"/>
  <c r="K331" i="27"/>
  <c r="G331" i="27"/>
  <c r="C331" i="27"/>
  <c r="D331" i="27"/>
  <c r="R331" i="27"/>
  <c r="T331" i="27" s="1"/>
  <c r="U331" i="27" s="1"/>
  <c r="S331" i="27"/>
  <c r="AD331" i="27"/>
  <c r="AE331" i="27"/>
  <c r="AF331" i="27"/>
  <c r="AG331" i="27"/>
  <c r="K330" i="27"/>
  <c r="G330" i="27"/>
  <c r="C330" i="27"/>
  <c r="D330" i="27"/>
  <c r="R330" i="27"/>
  <c r="T330" i="27" s="1"/>
  <c r="S330" i="27"/>
  <c r="AD330" i="27"/>
  <c r="AE330" i="27"/>
  <c r="AF330" i="27"/>
  <c r="AG330" i="27"/>
  <c r="K329" i="27"/>
  <c r="K328" i="27"/>
  <c r="K327" i="27"/>
  <c r="K326" i="27"/>
  <c r="K325" i="27"/>
  <c r="K324" i="27"/>
  <c r="K323" i="27"/>
  <c r="K322" i="27"/>
  <c r="K321" i="27"/>
  <c r="K320" i="27"/>
  <c r="K319" i="27"/>
  <c r="G329" i="27"/>
  <c r="G328" i="27"/>
  <c r="G327" i="27"/>
  <c r="G326" i="27"/>
  <c r="G325" i="27"/>
  <c r="G324" i="27"/>
  <c r="G323" i="27"/>
  <c r="G322" i="27"/>
  <c r="G321" i="27"/>
  <c r="G320" i="27"/>
  <c r="G319" i="27"/>
  <c r="C320" i="27"/>
  <c r="C321" i="27"/>
  <c r="C322" i="27"/>
  <c r="C323" i="27"/>
  <c r="C324" i="27"/>
  <c r="C325" i="27"/>
  <c r="C326" i="27"/>
  <c r="C327" i="27"/>
  <c r="C328" i="27"/>
  <c r="C329" i="27"/>
  <c r="D320" i="27"/>
  <c r="D321" i="27"/>
  <c r="D322" i="27"/>
  <c r="D323" i="27"/>
  <c r="D324" i="27"/>
  <c r="D325" i="27"/>
  <c r="D326" i="27"/>
  <c r="D327" i="27"/>
  <c r="D328" i="27"/>
  <c r="D329" i="27"/>
  <c r="R320" i="27"/>
  <c r="T320" i="27" s="1"/>
  <c r="U320" i="27" s="1"/>
  <c r="R321" i="27"/>
  <c r="T321" i="27" s="1"/>
  <c r="R322" i="27"/>
  <c r="T322" i="27" s="1"/>
  <c r="R323" i="27"/>
  <c r="T323" i="27" s="1"/>
  <c r="R324" i="27"/>
  <c r="T324" i="27" s="1"/>
  <c r="R325" i="27"/>
  <c r="T325" i="27" s="1"/>
  <c r="U325" i="27" s="1"/>
  <c r="R326" i="27"/>
  <c r="T326" i="27" s="1"/>
  <c r="U326" i="27" s="1"/>
  <c r="R327" i="27"/>
  <c r="T327" i="27" s="1"/>
  <c r="U327" i="27" s="1"/>
  <c r="R328" i="27"/>
  <c r="T328" i="27" s="1"/>
  <c r="R329" i="27"/>
  <c r="T329" i="27" s="1"/>
  <c r="S320" i="27"/>
  <c r="S321" i="27"/>
  <c r="S322" i="27"/>
  <c r="S323" i="27"/>
  <c r="S324" i="27"/>
  <c r="S325" i="27"/>
  <c r="S326" i="27"/>
  <c r="S327" i="27"/>
  <c r="S328" i="27"/>
  <c r="S329" i="27"/>
  <c r="AD320" i="27"/>
  <c r="AD321" i="27"/>
  <c r="AD322" i="27"/>
  <c r="AD323" i="27"/>
  <c r="AD324" i="27"/>
  <c r="AD325" i="27"/>
  <c r="AD326" i="27"/>
  <c r="AD327" i="27"/>
  <c r="AD328" i="27"/>
  <c r="AD329" i="27"/>
  <c r="AE320" i="27"/>
  <c r="AE321" i="27"/>
  <c r="AE322" i="27"/>
  <c r="AE323" i="27"/>
  <c r="AE324" i="27"/>
  <c r="AE325" i="27"/>
  <c r="AE326" i="27"/>
  <c r="AE327" i="27"/>
  <c r="AE328" i="27"/>
  <c r="AE329" i="27"/>
  <c r="AF320" i="27"/>
  <c r="AF321" i="27"/>
  <c r="AF322" i="27"/>
  <c r="AF323" i="27"/>
  <c r="AF324" i="27"/>
  <c r="AF325" i="27"/>
  <c r="AF326" i="27"/>
  <c r="AF327" i="27"/>
  <c r="AF328" i="27"/>
  <c r="AF329" i="27"/>
  <c r="AG320" i="27"/>
  <c r="AG321" i="27"/>
  <c r="AG322" i="27"/>
  <c r="AG323" i="27"/>
  <c r="AG324" i="27"/>
  <c r="AG325" i="27"/>
  <c r="AG326" i="27"/>
  <c r="AG327" i="27"/>
  <c r="AG328" i="27"/>
  <c r="AG329" i="27"/>
  <c r="C319" i="27"/>
  <c r="D319" i="27"/>
  <c r="R319" i="27"/>
  <c r="S319" i="27"/>
  <c r="AD319" i="27"/>
  <c r="AE319" i="27"/>
  <c r="AF319" i="27"/>
  <c r="AG319" i="27"/>
  <c r="K318" i="27"/>
  <c r="K317" i="27"/>
  <c r="K316" i="27"/>
  <c r="K315" i="27"/>
  <c r="G318" i="27"/>
  <c r="G317" i="27"/>
  <c r="G316" i="27"/>
  <c r="G315" i="27"/>
  <c r="C315" i="27"/>
  <c r="C316" i="27"/>
  <c r="C317" i="27"/>
  <c r="C318" i="27"/>
  <c r="D315" i="27"/>
  <c r="D316" i="27"/>
  <c r="D317" i="27"/>
  <c r="D318" i="27"/>
  <c r="R315" i="27"/>
  <c r="T315" i="27" s="1"/>
  <c r="U315" i="27" s="1"/>
  <c r="R316" i="27"/>
  <c r="T316" i="27" s="1"/>
  <c r="U316" i="27" s="1"/>
  <c r="R317" i="27"/>
  <c r="T317" i="27" s="1"/>
  <c r="U317" i="27" s="1"/>
  <c r="R318" i="27"/>
  <c r="T318" i="27" s="1"/>
  <c r="S315" i="27"/>
  <c r="S316" i="27"/>
  <c r="S317" i="27"/>
  <c r="S318" i="27"/>
  <c r="AD315" i="27"/>
  <c r="AD316" i="27"/>
  <c r="AD317" i="27"/>
  <c r="AD318" i="27"/>
  <c r="AE315" i="27"/>
  <c r="AE316" i="27"/>
  <c r="AE317" i="27"/>
  <c r="AE318" i="27"/>
  <c r="AF315" i="27"/>
  <c r="AF316" i="27"/>
  <c r="AF317" i="27"/>
  <c r="AF318" i="27"/>
  <c r="AG315" i="27"/>
  <c r="AG316" i="27"/>
  <c r="AG317" i="27"/>
  <c r="AG318" i="27"/>
  <c r="K314" i="27"/>
  <c r="K313" i="27"/>
  <c r="K312" i="27"/>
  <c r="K311" i="27"/>
  <c r="K310" i="27"/>
  <c r="K309" i="27"/>
  <c r="K308" i="27"/>
  <c r="K307" i="27"/>
  <c r="K306" i="27"/>
  <c r="K305" i="27"/>
  <c r="C314" i="27"/>
  <c r="D314" i="27"/>
  <c r="R314" i="27"/>
  <c r="T314" i="27" s="1"/>
  <c r="S314" i="27"/>
  <c r="AD314" i="27"/>
  <c r="AE314" i="27"/>
  <c r="AF314" i="27"/>
  <c r="AG314" i="27"/>
  <c r="G314" i="27"/>
  <c r="G313" i="27"/>
  <c r="G312" i="27"/>
  <c r="G311" i="27"/>
  <c r="G310" i="27"/>
  <c r="G309" i="27"/>
  <c r="G308" i="27"/>
  <c r="G307" i="27"/>
  <c r="G306" i="27"/>
  <c r="C310" i="27"/>
  <c r="C311" i="27"/>
  <c r="C312" i="27"/>
  <c r="C313" i="27"/>
  <c r="D310" i="27"/>
  <c r="D311" i="27"/>
  <c r="D312" i="27"/>
  <c r="D313" i="27"/>
  <c r="R310" i="27"/>
  <c r="T310" i="27" s="1"/>
  <c r="U310" i="27" s="1"/>
  <c r="R311" i="27"/>
  <c r="T311" i="27" s="1"/>
  <c r="U311" i="27" s="1"/>
  <c r="R312" i="27"/>
  <c r="T312" i="27" s="1"/>
  <c r="U312" i="27" s="1"/>
  <c r="R313" i="27"/>
  <c r="T313" i="27" s="1"/>
  <c r="U313" i="27" s="1"/>
  <c r="S310" i="27"/>
  <c r="S311" i="27"/>
  <c r="S312" i="27"/>
  <c r="S313" i="27"/>
  <c r="AD310" i="27"/>
  <c r="AD311" i="27"/>
  <c r="AD312" i="27"/>
  <c r="AD313" i="27"/>
  <c r="AE310" i="27"/>
  <c r="AE311" i="27"/>
  <c r="AE312" i="27"/>
  <c r="AE313" i="27"/>
  <c r="AF310" i="27"/>
  <c r="AF311" i="27"/>
  <c r="AF312" i="27"/>
  <c r="AF313" i="27"/>
  <c r="AG310" i="27"/>
  <c r="AG311" i="27"/>
  <c r="AG312" i="27"/>
  <c r="AG313" i="27"/>
  <c r="G305" i="27"/>
  <c r="K298" i="27"/>
  <c r="K299" i="27"/>
  <c r="K300" i="27"/>
  <c r="K301" i="27"/>
  <c r="K302" i="27"/>
  <c r="K303" i="27"/>
  <c r="K304" i="27"/>
  <c r="G304" i="27"/>
  <c r="G303" i="27"/>
  <c r="G302" i="27"/>
  <c r="G301" i="27"/>
  <c r="G300" i="27"/>
  <c r="G299" i="27"/>
  <c r="G298" i="27"/>
  <c r="G297" i="27"/>
  <c r="G296" i="27"/>
  <c r="G295" i="27"/>
  <c r="G294" i="27"/>
  <c r="G293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R298" i="27"/>
  <c r="T298" i="27" s="1"/>
  <c r="U298" i="27" s="1"/>
  <c r="R299" i="27"/>
  <c r="T299" i="27" s="1"/>
  <c r="R300" i="27"/>
  <c r="T300" i="27" s="1"/>
  <c r="U300" i="27" s="1"/>
  <c r="R301" i="27"/>
  <c r="T301" i="27" s="1"/>
  <c r="U301" i="27" s="1"/>
  <c r="R302" i="27"/>
  <c r="T302" i="27" s="1"/>
  <c r="U302" i="27" s="1"/>
  <c r="R303" i="27"/>
  <c r="T303" i="27" s="1"/>
  <c r="U303" i="27" s="1"/>
  <c r="R304" i="27"/>
  <c r="T304" i="27" s="1"/>
  <c r="R305" i="27"/>
  <c r="T305" i="27" s="1"/>
  <c r="R306" i="27"/>
  <c r="T306" i="27" s="1"/>
  <c r="U306" i="27" s="1"/>
  <c r="R307" i="27"/>
  <c r="T307" i="27" s="1"/>
  <c r="U307" i="27" s="1"/>
  <c r="R308" i="27"/>
  <c r="T308" i="27" s="1"/>
  <c r="U308" i="27" s="1"/>
  <c r="R309" i="27"/>
  <c r="T309" i="27" s="1"/>
  <c r="U309" i="27" s="1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AD298" i="27"/>
  <c r="AD299" i="27"/>
  <c r="AD300" i="27"/>
  <c r="AD301" i="27"/>
  <c r="AD302" i="27"/>
  <c r="AD303" i="27"/>
  <c r="AD304" i="27"/>
  <c r="AD305" i="27"/>
  <c r="AD306" i="27"/>
  <c r="AD307" i="27"/>
  <c r="AD308" i="27"/>
  <c r="AD309" i="27"/>
  <c r="AE298" i="27"/>
  <c r="AE299" i="27"/>
  <c r="AE300" i="27"/>
  <c r="AE301" i="27"/>
  <c r="AE302" i="27"/>
  <c r="AE303" i="27"/>
  <c r="AE304" i="27"/>
  <c r="AE305" i="27"/>
  <c r="AE306" i="27"/>
  <c r="AE307" i="27"/>
  <c r="AE308" i="27"/>
  <c r="AE309" i="27"/>
  <c r="AF298" i="27"/>
  <c r="AF299" i="27"/>
  <c r="AF300" i="27"/>
  <c r="AF301" i="27"/>
  <c r="AF302" i="27"/>
  <c r="AF303" i="27"/>
  <c r="AF304" i="27"/>
  <c r="AF305" i="27"/>
  <c r="AF306" i="27"/>
  <c r="AF307" i="27"/>
  <c r="AF308" i="27"/>
  <c r="AF309" i="27"/>
  <c r="AG298" i="27"/>
  <c r="AG299" i="27"/>
  <c r="AG300" i="27"/>
  <c r="AG301" i="27"/>
  <c r="AG302" i="27"/>
  <c r="AG303" i="27"/>
  <c r="AG304" i="27"/>
  <c r="AG305" i="27"/>
  <c r="AG306" i="27"/>
  <c r="AG307" i="27"/>
  <c r="AG308" i="27"/>
  <c r="AG309" i="27"/>
  <c r="K288" i="27"/>
  <c r="K289" i="27"/>
  <c r="K290" i="27"/>
  <c r="K291" i="27"/>
  <c r="K292" i="27"/>
  <c r="K293" i="27"/>
  <c r="K294" i="27"/>
  <c r="K295" i="27"/>
  <c r="K296" i="27"/>
  <c r="K297" i="27"/>
  <c r="G292" i="27"/>
  <c r="G291" i="27"/>
  <c r="G290" i="27"/>
  <c r="G289" i="27"/>
  <c r="G288" i="27"/>
  <c r="C288" i="27"/>
  <c r="C289" i="27"/>
  <c r="C290" i="27"/>
  <c r="C291" i="27"/>
  <c r="C292" i="27"/>
  <c r="C293" i="27"/>
  <c r="C294" i="27"/>
  <c r="C295" i="27"/>
  <c r="C296" i="27"/>
  <c r="C297" i="27"/>
  <c r="D288" i="27"/>
  <c r="D289" i="27"/>
  <c r="D290" i="27"/>
  <c r="D291" i="27"/>
  <c r="D292" i="27"/>
  <c r="D293" i="27"/>
  <c r="D294" i="27"/>
  <c r="D295" i="27"/>
  <c r="D296" i="27"/>
  <c r="D297" i="27"/>
  <c r="H291" i="27"/>
  <c r="R288" i="27"/>
  <c r="T288" i="27" s="1"/>
  <c r="R289" i="27"/>
  <c r="T289" i="27" s="1"/>
  <c r="R290" i="27"/>
  <c r="T290" i="27" s="1"/>
  <c r="R291" i="27"/>
  <c r="T291" i="27" s="1"/>
  <c r="U291" i="27" s="1"/>
  <c r="R292" i="27"/>
  <c r="T292" i="27" s="1"/>
  <c r="U292" i="27" s="1"/>
  <c r="R293" i="27"/>
  <c r="T293" i="27" s="1"/>
  <c r="U293" i="27" s="1"/>
  <c r="R294" i="27"/>
  <c r="T294" i="27" s="1"/>
  <c r="R295" i="27"/>
  <c r="T295" i="27" s="1"/>
  <c r="R296" i="27"/>
  <c r="T296" i="27" s="1"/>
  <c r="R297" i="27"/>
  <c r="T297" i="27" s="1"/>
  <c r="S288" i="27"/>
  <c r="S289" i="27"/>
  <c r="S290" i="27"/>
  <c r="S291" i="27"/>
  <c r="S292" i="27"/>
  <c r="S293" i="27"/>
  <c r="S294" i="27"/>
  <c r="S295" i="27"/>
  <c r="S296" i="27"/>
  <c r="S297" i="27"/>
  <c r="AD288" i="27"/>
  <c r="AD289" i="27"/>
  <c r="AD290" i="27"/>
  <c r="AD291" i="27"/>
  <c r="AD292" i="27"/>
  <c r="AD293" i="27"/>
  <c r="AD294" i="27"/>
  <c r="AD295" i="27"/>
  <c r="AD296" i="27"/>
  <c r="AD297" i="27"/>
  <c r="AE288" i="27"/>
  <c r="AE289" i="27"/>
  <c r="AE290" i="27"/>
  <c r="AE291" i="27"/>
  <c r="AE292" i="27"/>
  <c r="AE293" i="27"/>
  <c r="AE294" i="27"/>
  <c r="AE295" i="27"/>
  <c r="AE296" i="27"/>
  <c r="AE297" i="27"/>
  <c r="AF288" i="27"/>
  <c r="AF289" i="27"/>
  <c r="AF290" i="27"/>
  <c r="AF291" i="27"/>
  <c r="AF292" i="27"/>
  <c r="AF293" i="27"/>
  <c r="AF294" i="27"/>
  <c r="AF295" i="27"/>
  <c r="AF296" i="27"/>
  <c r="AF297" i="27"/>
  <c r="AG288" i="27"/>
  <c r="AG289" i="27"/>
  <c r="AG290" i="27"/>
  <c r="AG291" i="27"/>
  <c r="AG292" i="27"/>
  <c r="AG293" i="27"/>
  <c r="AG294" i="27"/>
  <c r="AG295" i="27"/>
  <c r="AG296" i="27"/>
  <c r="AG297" i="27"/>
  <c r="AL291" i="27" l="1"/>
  <c r="H316" i="27"/>
  <c r="AL316" i="27"/>
  <c r="H327" i="27"/>
  <c r="AL327" i="27"/>
  <c r="H335" i="27"/>
  <c r="H328" i="27"/>
  <c r="H300" i="27"/>
  <c r="AL300" i="27"/>
  <c r="H305" i="27"/>
  <c r="H309" i="27"/>
  <c r="AL309" i="27"/>
  <c r="H302" i="27"/>
  <c r="AL302" i="27"/>
  <c r="H311" i="27"/>
  <c r="AL311" i="27"/>
  <c r="H320" i="27"/>
  <c r="AL320" i="27"/>
  <c r="H301" i="27"/>
  <c r="AL301" i="27"/>
  <c r="H310" i="27"/>
  <c r="AL310" i="27"/>
  <c r="H319" i="27"/>
  <c r="H288" i="27"/>
  <c r="H289" i="27"/>
  <c r="H303" i="27"/>
  <c r="AL303" i="27"/>
  <c r="H312" i="27"/>
  <c r="AL312" i="27"/>
  <c r="H321" i="27"/>
  <c r="H332" i="27"/>
  <c r="H322" i="27"/>
  <c r="H333" i="27"/>
  <c r="H293" i="27"/>
  <c r="AL293" i="27"/>
  <c r="H314" i="27"/>
  <c r="H323" i="27"/>
  <c r="H331" i="27"/>
  <c r="AL331" i="27"/>
  <c r="H334" i="27"/>
  <c r="H297" i="27"/>
  <c r="H306" i="27"/>
  <c r="AL306" i="27"/>
  <c r="H298" i="27"/>
  <c r="AL298" i="27"/>
  <c r="H307" i="27"/>
  <c r="AL307" i="27"/>
  <c r="H317" i="27"/>
  <c r="AL317" i="27"/>
  <c r="H299" i="27"/>
  <c r="H308" i="27"/>
  <c r="AL308" i="27"/>
  <c r="H318" i="27"/>
  <c r="H329" i="27"/>
  <c r="H290" i="27"/>
  <c r="H304" i="27"/>
  <c r="H313" i="27"/>
  <c r="AL313" i="27"/>
  <c r="H292" i="27"/>
  <c r="AL292" i="27"/>
  <c r="H295" i="27"/>
  <c r="H325" i="27"/>
  <c r="AL325" i="27"/>
  <c r="H330" i="27"/>
  <c r="H294" i="27"/>
  <c r="H324" i="27"/>
  <c r="H296" i="27"/>
  <c r="H315" i="27"/>
  <c r="AL315" i="27"/>
  <c r="H326" i="27"/>
  <c r="AL326" i="27"/>
  <c r="AJ335" i="27"/>
  <c r="U335" i="27"/>
  <c r="AL335" i="27" s="1"/>
  <c r="U334" i="27"/>
  <c r="AL334" i="27" s="1"/>
  <c r="U332" i="27"/>
  <c r="AL332" i="27" s="1"/>
  <c r="U333" i="27"/>
  <c r="AL333" i="27" s="1"/>
  <c r="T319" i="27"/>
  <c r="U319" i="27" s="1"/>
  <c r="AL319" i="27" s="1"/>
  <c r="U330" i="27"/>
  <c r="AL330" i="27" s="1"/>
  <c r="U328" i="27"/>
  <c r="AL328" i="27" s="1"/>
  <c r="U324" i="27"/>
  <c r="AL324" i="27" s="1"/>
  <c r="U323" i="27"/>
  <c r="AL323" i="27" s="1"/>
  <c r="U322" i="27"/>
  <c r="AL322" i="27" s="1"/>
  <c r="U329" i="27"/>
  <c r="AL329" i="27" s="1"/>
  <c r="U321" i="27"/>
  <c r="AL321" i="27" s="1"/>
  <c r="U318" i="27"/>
  <c r="AL318" i="27" s="1"/>
  <c r="U314" i="27"/>
  <c r="AL314" i="27" s="1"/>
  <c r="U305" i="27"/>
  <c r="AL305" i="27" s="1"/>
  <c r="U304" i="27"/>
  <c r="AL304" i="27" s="1"/>
  <c r="U299" i="27"/>
  <c r="AL299" i="27" s="1"/>
  <c r="U296" i="27"/>
  <c r="AL296" i="27" s="1"/>
  <c r="U288" i="27"/>
  <c r="AL288" i="27" s="1"/>
  <c r="U294" i="27"/>
  <c r="AL294" i="27" s="1"/>
  <c r="U297" i="27"/>
  <c r="AL297" i="27" s="1"/>
  <c r="U289" i="27"/>
  <c r="AL289" i="27" s="1"/>
  <c r="U295" i="27"/>
  <c r="AL295" i="27" s="1"/>
  <c r="U290" i="27"/>
  <c r="AL290" i="27" s="1"/>
  <c r="G287" i="27" l="1"/>
  <c r="G286" i="27"/>
  <c r="G285" i="27"/>
  <c r="G284" i="27"/>
  <c r="K287" i="27"/>
  <c r="K286" i="27"/>
  <c r="C287" i="27"/>
  <c r="D287" i="27"/>
  <c r="R287" i="27"/>
  <c r="T287" i="27" s="1"/>
  <c r="U287" i="27" s="1"/>
  <c r="S287" i="27"/>
  <c r="AD287" i="27"/>
  <c r="AE287" i="27"/>
  <c r="AF287" i="27"/>
  <c r="AG287" i="27"/>
  <c r="C286" i="27"/>
  <c r="D286" i="27"/>
  <c r="R286" i="27"/>
  <c r="T286" i="27" s="1"/>
  <c r="U286" i="27" s="1"/>
  <c r="S286" i="27"/>
  <c r="AD286" i="27"/>
  <c r="AE286" i="27"/>
  <c r="AF286" i="27"/>
  <c r="AG286" i="27"/>
  <c r="C284" i="27"/>
  <c r="C285" i="27"/>
  <c r="D284" i="27"/>
  <c r="D285" i="27"/>
  <c r="R284" i="27"/>
  <c r="T284" i="27" s="1"/>
  <c r="R285" i="27"/>
  <c r="T285" i="27" s="1"/>
  <c r="S284" i="27"/>
  <c r="S285" i="27"/>
  <c r="AD284" i="27"/>
  <c r="AD285" i="27"/>
  <c r="AE284" i="27"/>
  <c r="AE285" i="27"/>
  <c r="AF284" i="27"/>
  <c r="AF285" i="27"/>
  <c r="AG284" i="27"/>
  <c r="AG285" i="27"/>
  <c r="K277" i="27"/>
  <c r="K278" i="27"/>
  <c r="K279" i="27"/>
  <c r="K280" i="27"/>
  <c r="K281" i="27"/>
  <c r="K282" i="27"/>
  <c r="K283" i="27"/>
  <c r="K284" i="27"/>
  <c r="K285" i="27"/>
  <c r="R278" i="27"/>
  <c r="T278" i="27" s="1"/>
  <c r="R279" i="27"/>
  <c r="T279" i="27" s="1"/>
  <c r="R280" i="27"/>
  <c r="T280" i="27" s="1"/>
  <c r="R281" i="27"/>
  <c r="T281" i="27" s="1"/>
  <c r="R282" i="27"/>
  <c r="T282" i="27" s="1"/>
  <c r="R283" i="27"/>
  <c r="T283" i="27" s="1"/>
  <c r="U283" i="27" s="1"/>
  <c r="S278" i="27"/>
  <c r="S279" i="27"/>
  <c r="S280" i="27"/>
  <c r="S281" i="27"/>
  <c r="S282" i="27"/>
  <c r="S283" i="27"/>
  <c r="AD278" i="27"/>
  <c r="AD279" i="27"/>
  <c r="AD280" i="27"/>
  <c r="AD281" i="27"/>
  <c r="AD282" i="27"/>
  <c r="AD283" i="27"/>
  <c r="AE278" i="27"/>
  <c r="AE279" i="27"/>
  <c r="AE280" i="27"/>
  <c r="AE281" i="27"/>
  <c r="AE282" i="27"/>
  <c r="AE283" i="27"/>
  <c r="AF278" i="27"/>
  <c r="AF279" i="27"/>
  <c r="AF280" i="27"/>
  <c r="AF281" i="27"/>
  <c r="AF282" i="27"/>
  <c r="AF283" i="27"/>
  <c r="AG278" i="27"/>
  <c r="AG279" i="27"/>
  <c r="AG280" i="27"/>
  <c r="AG281" i="27"/>
  <c r="AG282" i="27"/>
  <c r="AG283" i="27"/>
  <c r="G283" i="27"/>
  <c r="D283" i="27"/>
  <c r="C283" i="27"/>
  <c r="G282" i="27"/>
  <c r="D282" i="27"/>
  <c r="C282" i="27"/>
  <c r="G281" i="27"/>
  <c r="D281" i="27"/>
  <c r="C281" i="27"/>
  <c r="G280" i="27"/>
  <c r="D280" i="27"/>
  <c r="C280" i="27"/>
  <c r="G279" i="27"/>
  <c r="D279" i="27"/>
  <c r="C279" i="27"/>
  <c r="G278" i="27"/>
  <c r="D278" i="27"/>
  <c r="C278" i="27"/>
  <c r="G277" i="27"/>
  <c r="D277" i="27"/>
  <c r="C277" i="27"/>
  <c r="H277" i="27" l="1"/>
  <c r="H283" i="27"/>
  <c r="AL283" i="27"/>
  <c r="H281" i="27"/>
  <c r="H284" i="27"/>
  <c r="H278" i="27"/>
  <c r="H285" i="27"/>
  <c r="H286" i="27"/>
  <c r="AL286" i="27"/>
  <c r="H279" i="27"/>
  <c r="H280" i="27"/>
  <c r="H282" i="27"/>
  <c r="H287" i="27"/>
  <c r="AL287" i="27"/>
  <c r="U284" i="27"/>
  <c r="AL284" i="27" s="1"/>
  <c r="U285" i="27"/>
  <c r="AL285" i="27" s="1"/>
  <c r="U279" i="27"/>
  <c r="AL279" i="27" s="1"/>
  <c r="U278" i="27"/>
  <c r="AL278" i="27" s="1"/>
  <c r="U282" i="27"/>
  <c r="AL282" i="27" s="1"/>
  <c r="U281" i="27"/>
  <c r="AL281" i="27" s="1"/>
  <c r="U280" i="27"/>
  <c r="AL280" i="27" s="1"/>
  <c r="G276" i="27"/>
  <c r="G275" i="27"/>
  <c r="G274" i="27"/>
  <c r="G273" i="27"/>
  <c r="G272" i="27"/>
  <c r="K272" i="27"/>
  <c r="K273" i="27"/>
  <c r="K274" i="27"/>
  <c r="K275" i="27"/>
  <c r="K276" i="27"/>
  <c r="K267" i="27"/>
  <c r="K268" i="27"/>
  <c r="K269" i="27"/>
  <c r="K270" i="27"/>
  <c r="K271" i="27"/>
  <c r="G271" i="27"/>
  <c r="G270" i="27"/>
  <c r="G269" i="27"/>
  <c r="G268" i="27"/>
  <c r="G267" i="27"/>
  <c r="K266" i="27"/>
  <c r="K265" i="27"/>
  <c r="K264" i="27"/>
  <c r="K263" i="27"/>
  <c r="K262" i="27"/>
  <c r="K261" i="27"/>
  <c r="K260" i="27"/>
  <c r="K259" i="27"/>
  <c r="K258" i="27"/>
  <c r="K257" i="27"/>
  <c r="G266" i="27"/>
  <c r="G265" i="27"/>
  <c r="G264" i="27"/>
  <c r="G263" i="27"/>
  <c r="G262" i="27"/>
  <c r="G261" i="27"/>
  <c r="G260" i="27"/>
  <c r="G259" i="27"/>
  <c r="G258" i="27"/>
  <c r="G257" i="27"/>
  <c r="C268" i="27"/>
  <c r="C269" i="27"/>
  <c r="C270" i="27"/>
  <c r="C271" i="27"/>
  <c r="C272" i="27"/>
  <c r="C273" i="27"/>
  <c r="C274" i="27"/>
  <c r="C275" i="27"/>
  <c r="C276" i="27"/>
  <c r="D268" i="27"/>
  <c r="D269" i="27"/>
  <c r="D270" i="27"/>
  <c r="D271" i="27"/>
  <c r="D272" i="27"/>
  <c r="D273" i="27"/>
  <c r="D274" i="27"/>
  <c r="D275" i="27"/>
  <c r="D276" i="27"/>
  <c r="R268" i="27"/>
  <c r="T268" i="27" s="1"/>
  <c r="R269" i="27"/>
  <c r="T269" i="27" s="1"/>
  <c r="R270" i="27"/>
  <c r="T270" i="27" s="1"/>
  <c r="R271" i="27"/>
  <c r="T271" i="27" s="1"/>
  <c r="R272" i="27"/>
  <c r="T272" i="27" s="1"/>
  <c r="U272" i="27" s="1"/>
  <c r="R273" i="27"/>
  <c r="T273" i="27" s="1"/>
  <c r="U273" i="27" s="1"/>
  <c r="R274" i="27"/>
  <c r="T274" i="27" s="1"/>
  <c r="R275" i="27"/>
  <c r="T275" i="27" s="1"/>
  <c r="R276" i="27"/>
  <c r="T276" i="27" s="1"/>
  <c r="R277" i="27"/>
  <c r="T277" i="27" s="1"/>
  <c r="S268" i="27"/>
  <c r="S269" i="27"/>
  <c r="S270" i="27"/>
  <c r="S271" i="27"/>
  <c r="S272" i="27"/>
  <c r="S273" i="27"/>
  <c r="S274" i="27"/>
  <c r="S275" i="27"/>
  <c r="S276" i="27"/>
  <c r="S277" i="27"/>
  <c r="AD268" i="27"/>
  <c r="AD269" i="27"/>
  <c r="AD270" i="27"/>
  <c r="AD271" i="27"/>
  <c r="AD272" i="27"/>
  <c r="AD273" i="27"/>
  <c r="AD274" i="27"/>
  <c r="AD275" i="27"/>
  <c r="AD276" i="27"/>
  <c r="AD277" i="27"/>
  <c r="AE268" i="27"/>
  <c r="AE269" i="27"/>
  <c r="AE270" i="27"/>
  <c r="AE271" i="27"/>
  <c r="AE272" i="27"/>
  <c r="AE273" i="27"/>
  <c r="AE274" i="27"/>
  <c r="AE275" i="27"/>
  <c r="AE276" i="27"/>
  <c r="AE277" i="27"/>
  <c r="AF268" i="27"/>
  <c r="AF269" i="27"/>
  <c r="AF270" i="27"/>
  <c r="AF271" i="27"/>
  <c r="AF272" i="27"/>
  <c r="AF273" i="27"/>
  <c r="AF274" i="27"/>
  <c r="AF275" i="27"/>
  <c r="AF276" i="27"/>
  <c r="AF277" i="27"/>
  <c r="AG268" i="27"/>
  <c r="AG269" i="27"/>
  <c r="AG270" i="27"/>
  <c r="AG271" i="27"/>
  <c r="AG272" i="27"/>
  <c r="AG273" i="27"/>
  <c r="AG274" i="27"/>
  <c r="AG275" i="27"/>
  <c r="AG276" i="27"/>
  <c r="AG277" i="27"/>
  <c r="C264" i="27"/>
  <c r="C265" i="27"/>
  <c r="C266" i="27"/>
  <c r="C267" i="27"/>
  <c r="D264" i="27"/>
  <c r="D265" i="27"/>
  <c r="D266" i="27"/>
  <c r="D267" i="27"/>
  <c r="R264" i="27"/>
  <c r="T264" i="27" s="1"/>
  <c r="U264" i="27" s="1"/>
  <c r="R265" i="27"/>
  <c r="T265" i="27" s="1"/>
  <c r="U265" i="27" s="1"/>
  <c r="R266" i="27"/>
  <c r="T266" i="27" s="1"/>
  <c r="U266" i="27" s="1"/>
  <c r="R267" i="27"/>
  <c r="T267" i="27" s="1"/>
  <c r="S264" i="27"/>
  <c r="S265" i="27"/>
  <c r="S266" i="27"/>
  <c r="S267" i="27"/>
  <c r="AD264" i="27"/>
  <c r="AD265" i="27"/>
  <c r="AD266" i="27"/>
  <c r="AD267" i="27"/>
  <c r="AE264" i="27"/>
  <c r="AE265" i="27"/>
  <c r="AE266" i="27"/>
  <c r="AE267" i="27"/>
  <c r="AF264" i="27"/>
  <c r="AF265" i="27"/>
  <c r="AF266" i="27"/>
  <c r="AF267" i="27"/>
  <c r="AG264" i="27"/>
  <c r="AG265" i="27"/>
  <c r="AG266" i="27"/>
  <c r="AG267" i="27"/>
  <c r="C259" i="27"/>
  <c r="C260" i="27"/>
  <c r="C261" i="27"/>
  <c r="C262" i="27"/>
  <c r="C263" i="27"/>
  <c r="D259" i="27"/>
  <c r="D260" i="27"/>
  <c r="D261" i="27"/>
  <c r="D262" i="27"/>
  <c r="D263" i="27"/>
  <c r="R259" i="27"/>
  <c r="T259" i="27" s="1"/>
  <c r="R260" i="27"/>
  <c r="T260" i="27" s="1"/>
  <c r="U260" i="27" s="1"/>
  <c r="R261" i="27"/>
  <c r="T261" i="27" s="1"/>
  <c r="U261" i="27" s="1"/>
  <c r="R262" i="27"/>
  <c r="T262" i="27" s="1"/>
  <c r="U262" i="27" s="1"/>
  <c r="R263" i="27"/>
  <c r="T263" i="27" s="1"/>
  <c r="S259" i="27"/>
  <c r="S260" i="27"/>
  <c r="S261" i="27"/>
  <c r="S262" i="27"/>
  <c r="S263" i="27"/>
  <c r="AD259" i="27"/>
  <c r="AD260" i="27"/>
  <c r="AD261" i="27"/>
  <c r="AD262" i="27"/>
  <c r="AD263" i="27"/>
  <c r="AE259" i="27"/>
  <c r="AE260" i="27"/>
  <c r="AE261" i="27"/>
  <c r="AE262" i="27"/>
  <c r="AE263" i="27"/>
  <c r="AF259" i="27"/>
  <c r="AF260" i="27"/>
  <c r="AF261" i="27"/>
  <c r="AF262" i="27"/>
  <c r="AF263" i="27"/>
  <c r="AG259" i="27"/>
  <c r="AG260" i="27"/>
  <c r="AG261" i="27"/>
  <c r="AG262" i="27"/>
  <c r="AG263" i="27"/>
  <c r="C258" i="27"/>
  <c r="D258" i="27"/>
  <c r="R258" i="27"/>
  <c r="T258" i="27" s="1"/>
  <c r="U258" i="27" s="1"/>
  <c r="S258" i="27"/>
  <c r="AD258" i="27"/>
  <c r="AE258" i="27"/>
  <c r="AF258" i="27"/>
  <c r="AG258" i="27"/>
  <c r="C257" i="27"/>
  <c r="D257" i="27"/>
  <c r="R257" i="27"/>
  <c r="T257" i="27" s="1"/>
  <c r="U257" i="27" s="1"/>
  <c r="S257" i="27"/>
  <c r="AD257" i="27"/>
  <c r="AE257" i="27"/>
  <c r="AF257" i="27"/>
  <c r="AG257" i="27"/>
  <c r="K256" i="27"/>
  <c r="G256" i="27"/>
  <c r="C256" i="27"/>
  <c r="D256" i="27"/>
  <c r="R256" i="27"/>
  <c r="T256" i="27" s="1"/>
  <c r="U256" i="27" s="1"/>
  <c r="S256" i="27"/>
  <c r="AD256" i="27"/>
  <c r="AE256" i="27"/>
  <c r="AF256" i="27"/>
  <c r="AG256" i="27"/>
  <c r="H261" i="27" l="1"/>
  <c r="AL261" i="27"/>
  <c r="H271" i="27"/>
  <c r="H273" i="27"/>
  <c r="AL273" i="27"/>
  <c r="H263" i="27"/>
  <c r="H275" i="27"/>
  <c r="H270" i="27"/>
  <c r="H258" i="27"/>
  <c r="AL258" i="27"/>
  <c r="H268" i="27"/>
  <c r="H259" i="27"/>
  <c r="H269" i="27"/>
  <c r="H260" i="27"/>
  <c r="AL260" i="27"/>
  <c r="H272" i="27"/>
  <c r="AL272" i="27"/>
  <c r="H262" i="27"/>
  <c r="AL262" i="27"/>
  <c r="H274" i="27"/>
  <c r="H264" i="27"/>
  <c r="AL264" i="27"/>
  <c r="H276" i="27"/>
  <c r="H265" i="27"/>
  <c r="AL265" i="27"/>
  <c r="H266" i="27"/>
  <c r="AL266" i="27"/>
  <c r="H256" i="27"/>
  <c r="AL256" i="27"/>
  <c r="H257" i="27"/>
  <c r="AL257" i="27"/>
  <c r="H267" i="27"/>
  <c r="U270" i="27"/>
  <c r="AL270" i="27" s="1"/>
  <c r="U271" i="27"/>
  <c r="AL271" i="27" s="1"/>
  <c r="U277" i="27"/>
  <c r="AL277" i="27" s="1"/>
  <c r="U269" i="27"/>
  <c r="AL269" i="27" s="1"/>
  <c r="U276" i="27"/>
  <c r="AL276" i="27" s="1"/>
  <c r="U268" i="27"/>
  <c r="AL268" i="27" s="1"/>
  <c r="U275" i="27"/>
  <c r="AL275" i="27" s="1"/>
  <c r="U274" i="27"/>
  <c r="AL274" i="27" s="1"/>
  <c r="U267" i="27"/>
  <c r="AL267" i="27" s="1"/>
  <c r="U259" i="27"/>
  <c r="AL259" i="27" s="1"/>
  <c r="U263" i="27"/>
  <c r="AL263" i="27" s="1"/>
  <c r="K255" i="27"/>
  <c r="G255" i="27"/>
  <c r="C255" i="27"/>
  <c r="D255" i="27"/>
  <c r="R255" i="27"/>
  <c r="S255" i="27"/>
  <c r="AD255" i="27"/>
  <c r="AE255" i="27"/>
  <c r="AF255" i="27"/>
  <c r="AG255" i="27"/>
  <c r="K254" i="27"/>
  <c r="K253" i="27"/>
  <c r="K252" i="27"/>
  <c r="G254" i="27"/>
  <c r="G253" i="27"/>
  <c r="G252" i="27"/>
  <c r="C252" i="27"/>
  <c r="C253" i="27"/>
  <c r="C254" i="27"/>
  <c r="D252" i="27"/>
  <c r="D253" i="27"/>
  <c r="D254" i="27"/>
  <c r="R252" i="27"/>
  <c r="T252" i="27" s="1"/>
  <c r="U252" i="27" s="1"/>
  <c r="R253" i="27"/>
  <c r="T253" i="27" s="1"/>
  <c r="U253" i="27" s="1"/>
  <c r="R254" i="27"/>
  <c r="T254" i="27" s="1"/>
  <c r="U254" i="27" s="1"/>
  <c r="S252" i="27"/>
  <c r="S253" i="27"/>
  <c r="S254" i="27"/>
  <c r="AD252" i="27"/>
  <c r="AD253" i="27"/>
  <c r="AD254" i="27"/>
  <c r="AE252" i="27"/>
  <c r="AE253" i="27"/>
  <c r="AE254" i="27"/>
  <c r="AF252" i="27"/>
  <c r="AF253" i="27"/>
  <c r="AF254" i="27"/>
  <c r="AG252" i="27"/>
  <c r="AG253" i="27"/>
  <c r="AG254" i="27"/>
  <c r="K251" i="27"/>
  <c r="K250" i="27"/>
  <c r="K249" i="27"/>
  <c r="G251" i="27"/>
  <c r="G250" i="27"/>
  <c r="G249" i="27"/>
  <c r="C250" i="27"/>
  <c r="C251" i="27"/>
  <c r="D250" i="27"/>
  <c r="D251" i="27"/>
  <c r="R250" i="27"/>
  <c r="T250" i="27" s="1"/>
  <c r="R251" i="27"/>
  <c r="T251" i="27" s="1"/>
  <c r="S250" i="27"/>
  <c r="S251" i="27"/>
  <c r="AD250" i="27"/>
  <c r="AD251" i="27"/>
  <c r="AE250" i="27"/>
  <c r="AE251" i="27"/>
  <c r="AF250" i="27"/>
  <c r="AF251" i="27"/>
  <c r="AG250" i="27"/>
  <c r="AG251" i="27"/>
  <c r="C249" i="27"/>
  <c r="D249" i="27"/>
  <c r="R249" i="27"/>
  <c r="T249" i="27" s="1"/>
  <c r="U249" i="27" s="1"/>
  <c r="S249" i="27"/>
  <c r="AD249" i="27"/>
  <c r="AE249" i="27"/>
  <c r="AF249" i="27"/>
  <c r="AG249" i="27"/>
  <c r="K248" i="27"/>
  <c r="K247" i="27"/>
  <c r="K246" i="27"/>
  <c r="K245" i="27"/>
  <c r="K244" i="27"/>
  <c r="K243" i="27"/>
  <c r="G248" i="27"/>
  <c r="G247" i="27"/>
  <c r="G246" i="27"/>
  <c r="G245" i="27"/>
  <c r="G244" i="27"/>
  <c r="G243" i="27"/>
  <c r="C243" i="27"/>
  <c r="C244" i="27"/>
  <c r="C245" i="27"/>
  <c r="C246" i="27"/>
  <c r="C247" i="27"/>
  <c r="C248" i="27"/>
  <c r="D243" i="27"/>
  <c r="D244" i="27"/>
  <c r="D245" i="27"/>
  <c r="D246" i="27"/>
  <c r="D247" i="27"/>
  <c r="D248" i="27"/>
  <c r="R243" i="27"/>
  <c r="T243" i="27" s="1"/>
  <c r="R244" i="27"/>
  <c r="T244" i="27" s="1"/>
  <c r="R245" i="27"/>
  <c r="T245" i="27" s="1"/>
  <c r="R246" i="27"/>
  <c r="T246" i="27" s="1"/>
  <c r="R247" i="27"/>
  <c r="T247" i="27" s="1"/>
  <c r="U247" i="27" s="1"/>
  <c r="R248" i="27"/>
  <c r="T248" i="27" s="1"/>
  <c r="U248" i="27" s="1"/>
  <c r="S243" i="27"/>
  <c r="S244" i="27"/>
  <c r="S245" i="27"/>
  <c r="S246" i="27"/>
  <c r="S247" i="27"/>
  <c r="S248" i="27"/>
  <c r="AD243" i="27"/>
  <c r="AD244" i="27"/>
  <c r="AD245" i="27"/>
  <c r="AD246" i="27"/>
  <c r="AD247" i="27"/>
  <c r="AD248" i="27"/>
  <c r="AE243" i="27"/>
  <c r="AE244" i="27"/>
  <c r="AE245" i="27"/>
  <c r="AE246" i="27"/>
  <c r="AE247" i="27"/>
  <c r="AE248" i="27"/>
  <c r="AF243" i="27"/>
  <c r="AF244" i="27"/>
  <c r="AF245" i="27"/>
  <c r="AF246" i="27"/>
  <c r="AF247" i="27"/>
  <c r="AF248" i="27"/>
  <c r="AG243" i="27"/>
  <c r="AG244" i="27"/>
  <c r="AG245" i="27"/>
  <c r="AG246" i="27"/>
  <c r="AG247" i="27"/>
  <c r="AG248" i="27"/>
  <c r="K240" i="27"/>
  <c r="K241" i="27"/>
  <c r="K242" i="27"/>
  <c r="G242" i="27"/>
  <c r="G241" i="27"/>
  <c r="G240" i="27"/>
  <c r="C241" i="27"/>
  <c r="C242" i="27"/>
  <c r="D241" i="27"/>
  <c r="D242" i="27"/>
  <c r="R241" i="27"/>
  <c r="T241" i="27" s="1"/>
  <c r="R242" i="27"/>
  <c r="T242" i="27" s="1"/>
  <c r="S241" i="27"/>
  <c r="S242" i="27"/>
  <c r="AD241" i="27"/>
  <c r="AD242" i="27"/>
  <c r="AE241" i="27"/>
  <c r="AE242" i="27"/>
  <c r="AF241" i="27"/>
  <c r="AF242" i="27"/>
  <c r="AG241" i="27"/>
  <c r="AG242" i="27"/>
  <c r="C240" i="27"/>
  <c r="D240" i="27"/>
  <c r="R240" i="27"/>
  <c r="T240" i="27" s="1"/>
  <c r="U240" i="27" s="1"/>
  <c r="S240" i="27"/>
  <c r="AD240" i="27"/>
  <c r="AE240" i="27"/>
  <c r="AF240" i="27"/>
  <c r="AG240" i="27"/>
  <c r="K239" i="27"/>
  <c r="K238" i="27"/>
  <c r="G239" i="27"/>
  <c r="G238" i="27"/>
  <c r="C238" i="27"/>
  <c r="C239" i="27"/>
  <c r="D238" i="27"/>
  <c r="D239" i="27"/>
  <c r="R238" i="27"/>
  <c r="T238" i="27" s="1"/>
  <c r="R239" i="27"/>
  <c r="T239" i="27" s="1"/>
  <c r="S238" i="27"/>
  <c r="S239" i="27"/>
  <c r="AD238" i="27"/>
  <c r="AD239" i="27"/>
  <c r="AE238" i="27"/>
  <c r="AE239" i="27"/>
  <c r="AF238" i="27"/>
  <c r="AF239" i="27"/>
  <c r="AG238" i="27"/>
  <c r="AG239" i="27"/>
  <c r="K237" i="27"/>
  <c r="G237" i="27"/>
  <c r="C237" i="27"/>
  <c r="D237" i="27"/>
  <c r="R237" i="27"/>
  <c r="T237" i="27" s="1"/>
  <c r="U237" i="27" s="1"/>
  <c r="S237" i="27"/>
  <c r="AD237" i="27"/>
  <c r="AE237" i="27"/>
  <c r="AF237" i="27"/>
  <c r="AG237" i="27"/>
  <c r="K236" i="27"/>
  <c r="G236" i="27"/>
  <c r="C236" i="27"/>
  <c r="D236" i="27"/>
  <c r="R236" i="27"/>
  <c r="T236" i="27" s="1"/>
  <c r="U236" i="27" s="1"/>
  <c r="S236" i="27"/>
  <c r="AD236" i="27"/>
  <c r="AE236" i="27"/>
  <c r="AF236" i="27"/>
  <c r="AG236" i="27"/>
  <c r="S329" i="32"/>
  <c r="S330" i="32"/>
  <c r="S331" i="32"/>
  <c r="S332" i="32"/>
  <c r="S333" i="32"/>
  <c r="S334" i="32"/>
  <c r="S335" i="32"/>
  <c r="S336" i="32"/>
  <c r="S338" i="32"/>
  <c r="S339" i="32"/>
  <c r="S340" i="32"/>
  <c r="S341" i="32"/>
  <c r="S342" i="32"/>
  <c r="S228" i="32"/>
  <c r="S229" i="32"/>
  <c r="S230" i="32"/>
  <c r="S231" i="32"/>
  <c r="S232" i="32"/>
  <c r="S233" i="32"/>
  <c r="S234" i="32"/>
  <c r="S235" i="32"/>
  <c r="S236" i="32"/>
  <c r="S237" i="32"/>
  <c r="S238" i="32"/>
  <c r="S239" i="32"/>
  <c r="S240" i="32"/>
  <c r="S241" i="32"/>
  <c r="S242" i="32"/>
  <c r="S243" i="32"/>
  <c r="S244" i="32"/>
  <c r="S245" i="32"/>
  <c r="S246" i="32"/>
  <c r="S247" i="32"/>
  <c r="S248" i="32"/>
  <c r="S249" i="32"/>
  <c r="S250" i="32"/>
  <c r="S251" i="32"/>
  <c r="S252" i="32"/>
  <c r="S253" i="32"/>
  <c r="S254" i="32"/>
  <c r="S255" i="32"/>
  <c r="S256" i="32"/>
  <c r="S257" i="32"/>
  <c r="S258" i="32"/>
  <c r="S259" i="32"/>
  <c r="S260" i="32"/>
  <c r="S261" i="32"/>
  <c r="S262" i="32"/>
  <c r="S263" i="32"/>
  <c r="S264" i="32"/>
  <c r="S265" i="32"/>
  <c r="S266" i="32"/>
  <c r="S267" i="32"/>
  <c r="S268" i="32"/>
  <c r="S269" i="32"/>
  <c r="S270" i="32"/>
  <c r="S271" i="32"/>
  <c r="S272" i="32"/>
  <c r="S273" i="32"/>
  <c r="S274" i="32"/>
  <c r="S275" i="32"/>
  <c r="S276" i="32"/>
  <c r="S277" i="32"/>
  <c r="S278" i="32"/>
  <c r="S279" i="32"/>
  <c r="S280" i="32"/>
  <c r="S281" i="32"/>
  <c r="S282" i="32"/>
  <c r="S283" i="32"/>
  <c r="S284" i="32"/>
  <c r="S285" i="32"/>
  <c r="S286" i="32"/>
  <c r="S287" i="32"/>
  <c r="S288" i="32"/>
  <c r="S289" i="32"/>
  <c r="S290" i="32"/>
  <c r="S291" i="32"/>
  <c r="S292" i="32"/>
  <c r="S293" i="32"/>
  <c r="S294" i="32"/>
  <c r="S295" i="32"/>
  <c r="S296" i="32"/>
  <c r="S297" i="32"/>
  <c r="S298" i="32"/>
  <c r="S299" i="32"/>
  <c r="S300" i="32"/>
  <c r="S301" i="32"/>
  <c r="S302" i="32"/>
  <c r="S303" i="32"/>
  <c r="S304" i="32"/>
  <c r="S305" i="32"/>
  <c r="S306" i="32"/>
  <c r="S307" i="32"/>
  <c r="S308" i="32"/>
  <c r="S309" i="32"/>
  <c r="S310" i="32"/>
  <c r="S311" i="32"/>
  <c r="S312" i="32"/>
  <c r="S313" i="32"/>
  <c r="S314" i="32"/>
  <c r="S315" i="32"/>
  <c r="S316" i="32"/>
  <c r="S317" i="32"/>
  <c r="S318" i="32"/>
  <c r="S319" i="32"/>
  <c r="S320" i="32"/>
  <c r="S321" i="32"/>
  <c r="S322" i="32"/>
  <c r="S323" i="32"/>
  <c r="S324" i="32"/>
  <c r="S325" i="32"/>
  <c r="S326" i="32"/>
  <c r="S327" i="32"/>
  <c r="S328" i="32"/>
  <c r="S186" i="32"/>
  <c r="S187" i="32"/>
  <c r="S188" i="32"/>
  <c r="S189" i="32"/>
  <c r="S190" i="32"/>
  <c r="S191" i="32"/>
  <c r="S192" i="32"/>
  <c r="S193" i="32"/>
  <c r="S194" i="32"/>
  <c r="S195" i="32"/>
  <c r="S196" i="32"/>
  <c r="S197" i="32"/>
  <c r="S198" i="32"/>
  <c r="S199" i="32"/>
  <c r="S200" i="32"/>
  <c r="S201" i="32"/>
  <c r="S202" i="32"/>
  <c r="S203" i="32"/>
  <c r="S204" i="32"/>
  <c r="S205" i="32"/>
  <c r="S206" i="32"/>
  <c r="S207" i="32"/>
  <c r="S208" i="32"/>
  <c r="S209" i="32"/>
  <c r="S210" i="32"/>
  <c r="S211" i="32"/>
  <c r="S212" i="32"/>
  <c r="S213" i="32"/>
  <c r="S214" i="32"/>
  <c r="S215" i="32"/>
  <c r="S216" i="32"/>
  <c r="S217" i="32"/>
  <c r="S218" i="32"/>
  <c r="S219" i="32"/>
  <c r="S220" i="32"/>
  <c r="S221" i="32"/>
  <c r="S222" i="32"/>
  <c r="S223" i="32"/>
  <c r="S224" i="32"/>
  <c r="S225" i="32"/>
  <c r="S226" i="32"/>
  <c r="S227" i="32"/>
  <c r="K235" i="27"/>
  <c r="G235" i="27"/>
  <c r="C235" i="27"/>
  <c r="D235" i="27"/>
  <c r="R235" i="27"/>
  <c r="T235" i="27" s="1"/>
  <c r="S235" i="27"/>
  <c r="AD235" i="27"/>
  <c r="AE235" i="27"/>
  <c r="AF235" i="27"/>
  <c r="AG235" i="27"/>
  <c r="K234" i="27"/>
  <c r="K233" i="27"/>
  <c r="G234" i="27"/>
  <c r="G233" i="27"/>
  <c r="C233" i="27"/>
  <c r="C234" i="27"/>
  <c r="D233" i="27"/>
  <c r="D234" i="27"/>
  <c r="R233" i="27"/>
  <c r="T233" i="27" s="1"/>
  <c r="R234" i="27"/>
  <c r="T234" i="27" s="1"/>
  <c r="S233" i="27"/>
  <c r="S234" i="27"/>
  <c r="AD233" i="27"/>
  <c r="AD234" i="27"/>
  <c r="AE233" i="27"/>
  <c r="AE234" i="27"/>
  <c r="AF233" i="27"/>
  <c r="AF234" i="27"/>
  <c r="AG233" i="27"/>
  <c r="AG234" i="27"/>
  <c r="K229" i="27"/>
  <c r="K230" i="27"/>
  <c r="K231" i="27"/>
  <c r="K232" i="27"/>
  <c r="G232" i="27"/>
  <c r="G231" i="27"/>
  <c r="G230" i="27"/>
  <c r="G229" i="27"/>
  <c r="C230" i="27"/>
  <c r="C231" i="27"/>
  <c r="C232" i="27"/>
  <c r="D230" i="27"/>
  <c r="D231" i="27"/>
  <c r="D232" i="27"/>
  <c r="R230" i="27"/>
  <c r="R231" i="27"/>
  <c r="R232" i="27"/>
  <c r="T232" i="27" s="1"/>
  <c r="S230" i="27"/>
  <c r="S231" i="27"/>
  <c r="S232" i="27"/>
  <c r="AD230" i="27"/>
  <c r="AD231" i="27"/>
  <c r="AD232" i="27"/>
  <c r="AE230" i="27"/>
  <c r="AE231" i="27"/>
  <c r="AE232" i="27"/>
  <c r="AF230" i="27"/>
  <c r="AF231" i="27"/>
  <c r="AF232" i="27"/>
  <c r="AG230" i="27"/>
  <c r="AG231" i="27"/>
  <c r="AG232" i="27"/>
  <c r="C229" i="27"/>
  <c r="D229" i="27"/>
  <c r="R229" i="27"/>
  <c r="T229" i="27" s="1"/>
  <c r="U229" i="27" s="1"/>
  <c r="S229" i="27"/>
  <c r="AD229" i="27"/>
  <c r="AE229" i="27"/>
  <c r="AF229" i="27"/>
  <c r="AG229" i="27"/>
  <c r="K228" i="27"/>
  <c r="K227" i="27"/>
  <c r="G228" i="27"/>
  <c r="G227" i="27"/>
  <c r="C228" i="27"/>
  <c r="D228" i="27"/>
  <c r="R228" i="27"/>
  <c r="S228" i="27"/>
  <c r="AD228" i="27"/>
  <c r="AE228" i="27"/>
  <c r="AF228" i="27"/>
  <c r="AG228" i="27"/>
  <c r="C227" i="27"/>
  <c r="D227" i="27"/>
  <c r="R227" i="27"/>
  <c r="T227" i="27" s="1"/>
  <c r="U227" i="27" s="1"/>
  <c r="S227" i="27"/>
  <c r="AD227" i="27"/>
  <c r="AE227" i="27"/>
  <c r="AF227" i="27"/>
  <c r="AG227" i="27"/>
  <c r="H241" i="27" l="1"/>
  <c r="H253" i="27"/>
  <c r="AL253" i="27"/>
  <c r="H240" i="27"/>
  <c r="AL240" i="27"/>
  <c r="H252" i="27"/>
  <c r="AL252" i="27"/>
  <c r="H242" i="27"/>
  <c r="H254" i="27"/>
  <c r="AL254" i="27"/>
  <c r="H255" i="27"/>
  <c r="H227" i="27"/>
  <c r="AL227" i="27"/>
  <c r="H233" i="27"/>
  <c r="H231" i="27"/>
  <c r="H236" i="27"/>
  <c r="AL236" i="27"/>
  <c r="H249" i="27"/>
  <c r="AL249" i="27"/>
  <c r="H244" i="27"/>
  <c r="H245" i="27"/>
  <c r="H251" i="27"/>
  <c r="H247" i="27"/>
  <c r="AL247" i="27"/>
  <c r="H248" i="27"/>
  <c r="AL248" i="27"/>
  <c r="H237" i="27"/>
  <c r="AL237" i="27"/>
  <c r="H229" i="27"/>
  <c r="AL229" i="27"/>
  <c r="H235" i="27"/>
  <c r="H228" i="27"/>
  <c r="H230" i="27"/>
  <c r="H234" i="27"/>
  <c r="H232" i="27"/>
  <c r="H243" i="27"/>
  <c r="H250" i="27"/>
  <c r="H238" i="27"/>
  <c r="H239" i="27"/>
  <c r="H246" i="27"/>
  <c r="T255" i="27"/>
  <c r="U255" i="27" s="1"/>
  <c r="AL255" i="27" s="1"/>
  <c r="U251" i="27"/>
  <c r="AL251" i="27" s="1"/>
  <c r="U250" i="27"/>
  <c r="AL250" i="27" s="1"/>
  <c r="U245" i="27"/>
  <c r="AL245" i="27" s="1"/>
  <c r="U244" i="27"/>
  <c r="AL244" i="27" s="1"/>
  <c r="U243" i="27"/>
  <c r="AL243" i="27" s="1"/>
  <c r="U246" i="27"/>
  <c r="AL246" i="27" s="1"/>
  <c r="T230" i="27"/>
  <c r="U230" i="27" s="1"/>
  <c r="AL230" i="27" s="1"/>
  <c r="U241" i="27"/>
  <c r="AL241" i="27" s="1"/>
  <c r="U242" i="27"/>
  <c r="AL242" i="27" s="1"/>
  <c r="U238" i="27"/>
  <c r="AL238" i="27" s="1"/>
  <c r="U239" i="27"/>
  <c r="AL239" i="27" s="1"/>
  <c r="U235" i="27"/>
  <c r="AL235" i="27" s="1"/>
  <c r="U233" i="27"/>
  <c r="AL233" i="27" s="1"/>
  <c r="U234" i="27"/>
  <c r="AL234" i="27" s="1"/>
  <c r="U232" i="27"/>
  <c r="AL232" i="27" s="1"/>
  <c r="T231" i="27"/>
  <c r="U231" i="27" s="1"/>
  <c r="AL231" i="27" s="1"/>
  <c r="T228" i="27"/>
  <c r="U228" i="27" s="1"/>
  <c r="AL228" i="27" s="1"/>
  <c r="K226" i="27"/>
  <c r="G226" i="27"/>
  <c r="C226" i="27"/>
  <c r="D226" i="27"/>
  <c r="R226" i="27"/>
  <c r="T226" i="27" s="1"/>
  <c r="U226" i="27" s="1"/>
  <c r="S226" i="27"/>
  <c r="AD226" i="27"/>
  <c r="AE226" i="27"/>
  <c r="AF226" i="27"/>
  <c r="AG226" i="27"/>
  <c r="K225" i="27"/>
  <c r="G225" i="27"/>
  <c r="C225" i="27"/>
  <c r="D225" i="27"/>
  <c r="R225" i="27"/>
  <c r="T225" i="27" s="1"/>
  <c r="S225" i="27"/>
  <c r="AD225" i="27"/>
  <c r="AE225" i="27"/>
  <c r="AF225" i="27"/>
  <c r="AG225" i="27"/>
  <c r="K222" i="27"/>
  <c r="K223" i="27"/>
  <c r="K224" i="27"/>
  <c r="G224" i="27"/>
  <c r="G223" i="27"/>
  <c r="G222" i="27"/>
  <c r="C222" i="27"/>
  <c r="C223" i="27"/>
  <c r="C224" i="27"/>
  <c r="D222" i="27"/>
  <c r="D223" i="27"/>
  <c r="D224" i="27"/>
  <c r="R222" i="27"/>
  <c r="R223" i="27"/>
  <c r="R224" i="27"/>
  <c r="S222" i="27"/>
  <c r="S223" i="27"/>
  <c r="S224" i="27"/>
  <c r="AD222" i="27"/>
  <c r="AD223" i="27"/>
  <c r="AD224" i="27"/>
  <c r="AE222" i="27"/>
  <c r="AE223" i="27"/>
  <c r="AE224" i="27"/>
  <c r="AF222" i="27"/>
  <c r="AF223" i="27"/>
  <c r="AF224" i="27"/>
  <c r="AG222" i="27"/>
  <c r="AG223" i="27"/>
  <c r="AG224" i="27"/>
  <c r="K220" i="27"/>
  <c r="K221" i="27"/>
  <c r="G221" i="27"/>
  <c r="G220" i="27"/>
  <c r="C221" i="27"/>
  <c r="D221" i="27"/>
  <c r="R221" i="27"/>
  <c r="S221" i="27"/>
  <c r="AD221" i="27"/>
  <c r="AE221" i="27"/>
  <c r="AF221" i="27"/>
  <c r="AG221" i="27"/>
  <c r="C220" i="27"/>
  <c r="D220" i="27"/>
  <c r="R220" i="27"/>
  <c r="T220" i="27" s="1"/>
  <c r="U220" i="27" s="1"/>
  <c r="S220" i="27"/>
  <c r="AD220" i="27"/>
  <c r="AE220" i="27"/>
  <c r="AF220" i="27"/>
  <c r="AG220" i="27"/>
  <c r="K215" i="27"/>
  <c r="K216" i="27"/>
  <c r="K217" i="27"/>
  <c r="K218" i="27"/>
  <c r="K219" i="27"/>
  <c r="G219" i="27"/>
  <c r="G218" i="27"/>
  <c r="G217" i="27"/>
  <c r="G216" i="27"/>
  <c r="G215" i="27"/>
  <c r="C217" i="27"/>
  <c r="C218" i="27"/>
  <c r="C219" i="27"/>
  <c r="D217" i="27"/>
  <c r="D218" i="27"/>
  <c r="D219" i="27"/>
  <c r="R217" i="27"/>
  <c r="T217" i="27" s="1"/>
  <c r="U217" i="27" s="1"/>
  <c r="R218" i="27"/>
  <c r="T218" i="27" s="1"/>
  <c r="R219" i="27"/>
  <c r="T219" i="27" s="1"/>
  <c r="U219" i="27" s="1"/>
  <c r="S217" i="27"/>
  <c r="S218" i="27"/>
  <c r="S219" i="27"/>
  <c r="AD217" i="27"/>
  <c r="AD218" i="27"/>
  <c r="AD219" i="27"/>
  <c r="AE217" i="27"/>
  <c r="AE218" i="27"/>
  <c r="AE219" i="27"/>
  <c r="AF217" i="27"/>
  <c r="AF218" i="27"/>
  <c r="AF219" i="27"/>
  <c r="AG217" i="27"/>
  <c r="AG218" i="27"/>
  <c r="AG219" i="27"/>
  <c r="C215" i="27"/>
  <c r="C216" i="27"/>
  <c r="D215" i="27"/>
  <c r="D216" i="27"/>
  <c r="R215" i="27"/>
  <c r="T215" i="27" s="1"/>
  <c r="U215" i="27" s="1"/>
  <c r="R216" i="27"/>
  <c r="T216" i="27" s="1"/>
  <c r="S215" i="27"/>
  <c r="S216" i="27"/>
  <c r="AD215" i="27"/>
  <c r="AD216" i="27"/>
  <c r="AE215" i="27"/>
  <c r="AE216" i="27"/>
  <c r="AF215" i="27"/>
  <c r="AF216" i="27"/>
  <c r="AG215" i="27"/>
  <c r="AG216" i="27"/>
  <c r="K214" i="27"/>
  <c r="G214" i="27"/>
  <c r="C214" i="27"/>
  <c r="D214" i="27"/>
  <c r="R214" i="27"/>
  <c r="T214" i="27" s="1"/>
  <c r="U214" i="27" s="1"/>
  <c r="S214" i="27"/>
  <c r="AD214" i="27"/>
  <c r="AE214" i="27"/>
  <c r="AF214" i="27"/>
  <c r="AG214" i="27"/>
  <c r="K210" i="27"/>
  <c r="K211" i="27"/>
  <c r="K212" i="27"/>
  <c r="K213" i="27"/>
  <c r="C211" i="27"/>
  <c r="C212" i="27"/>
  <c r="C213" i="27"/>
  <c r="D211" i="27"/>
  <c r="D212" i="27"/>
  <c r="D213" i="27"/>
  <c r="R211" i="27"/>
  <c r="T211" i="27" s="1"/>
  <c r="R212" i="27"/>
  <c r="T212" i="27" s="1"/>
  <c r="U212" i="27" s="1"/>
  <c r="R213" i="27"/>
  <c r="T213" i="27" s="1"/>
  <c r="S211" i="27"/>
  <c r="S212" i="27"/>
  <c r="S213" i="27"/>
  <c r="AD211" i="27"/>
  <c r="AD212" i="27"/>
  <c r="AD213" i="27"/>
  <c r="AE211" i="27"/>
  <c r="AE212" i="27"/>
  <c r="AE213" i="27"/>
  <c r="AF211" i="27"/>
  <c r="AF212" i="27"/>
  <c r="AF213" i="27"/>
  <c r="AG211" i="27"/>
  <c r="AG212" i="27"/>
  <c r="AG213" i="27"/>
  <c r="G213" i="27"/>
  <c r="G212" i="27"/>
  <c r="G211" i="27"/>
  <c r="G210" i="27"/>
  <c r="C210" i="27"/>
  <c r="D210" i="27"/>
  <c r="R210" i="27"/>
  <c r="T210" i="27" s="1"/>
  <c r="S210" i="27"/>
  <c r="AD210" i="27"/>
  <c r="AE210" i="27"/>
  <c r="AF210" i="27"/>
  <c r="AG210" i="27"/>
  <c r="H216" i="27" l="1"/>
  <c r="H211" i="27"/>
  <c r="H218" i="27"/>
  <c r="H221" i="27"/>
  <c r="H215" i="27"/>
  <c r="AL215" i="27"/>
  <c r="H217" i="27"/>
  <c r="AL217" i="27"/>
  <c r="H212" i="27"/>
  <c r="AL212" i="27"/>
  <c r="H219" i="27"/>
  <c r="AL219" i="27"/>
  <c r="H213" i="27"/>
  <c r="H214" i="27"/>
  <c r="AL214" i="27"/>
  <c r="H210" i="27"/>
  <c r="H220" i="27"/>
  <c r="AL220" i="27"/>
  <c r="H222" i="27"/>
  <c r="H226" i="27"/>
  <c r="AL226" i="27"/>
  <c r="H223" i="27"/>
  <c r="H224" i="27"/>
  <c r="H225" i="27"/>
  <c r="T223" i="27"/>
  <c r="U223" i="27" s="1"/>
  <c r="AL223" i="27" s="1"/>
  <c r="T224" i="27"/>
  <c r="U224" i="27" s="1"/>
  <c r="AL224" i="27" s="1"/>
  <c r="U225" i="27"/>
  <c r="AL225" i="27" s="1"/>
  <c r="T222" i="27"/>
  <c r="U222" i="27" s="1"/>
  <c r="AL222" i="27" s="1"/>
  <c r="T221" i="27"/>
  <c r="U221" i="27" s="1"/>
  <c r="AL221" i="27" s="1"/>
  <c r="U218" i="27"/>
  <c r="AL218" i="27" s="1"/>
  <c r="U216" i="27"/>
  <c r="AL216" i="27" s="1"/>
  <c r="U213" i="27"/>
  <c r="AL213" i="27" s="1"/>
  <c r="U211" i="27"/>
  <c r="AL211" i="27" s="1"/>
  <c r="U210" i="27"/>
  <c r="AL210" i="27" s="1"/>
  <c r="K207" i="27"/>
  <c r="K208" i="27"/>
  <c r="K209" i="27"/>
  <c r="G209" i="27"/>
  <c r="G208" i="27"/>
  <c r="G207" i="27"/>
  <c r="C208" i="27"/>
  <c r="C209" i="27"/>
  <c r="D208" i="27"/>
  <c r="D209" i="27"/>
  <c r="R208" i="27"/>
  <c r="T208" i="27" s="1"/>
  <c r="R209" i="27"/>
  <c r="T209" i="27" s="1"/>
  <c r="S208" i="27"/>
  <c r="S209" i="27"/>
  <c r="AD208" i="27"/>
  <c r="AD209" i="27"/>
  <c r="AE208" i="27"/>
  <c r="AE209" i="27"/>
  <c r="AF208" i="27"/>
  <c r="AF209" i="27"/>
  <c r="AG208" i="27"/>
  <c r="AG209" i="27"/>
  <c r="C207" i="27"/>
  <c r="D207" i="27"/>
  <c r="R207" i="27"/>
  <c r="T207" i="27" s="1"/>
  <c r="U207" i="27" s="1"/>
  <c r="S207" i="27"/>
  <c r="AD207" i="27"/>
  <c r="AE207" i="27"/>
  <c r="AF207" i="27"/>
  <c r="AG207" i="27"/>
  <c r="K203" i="27"/>
  <c r="K204" i="27"/>
  <c r="K205" i="27"/>
  <c r="K206" i="27"/>
  <c r="G206" i="27"/>
  <c r="G205" i="27"/>
  <c r="G204" i="27"/>
  <c r="G203" i="27"/>
  <c r="C203" i="27"/>
  <c r="C204" i="27"/>
  <c r="C205" i="27"/>
  <c r="C206" i="27"/>
  <c r="D203" i="27"/>
  <c r="D204" i="27"/>
  <c r="D205" i="27"/>
  <c r="D206" i="27"/>
  <c r="R203" i="27"/>
  <c r="T203" i="27" s="1"/>
  <c r="U203" i="27" s="1"/>
  <c r="R204" i="27"/>
  <c r="T204" i="27" s="1"/>
  <c r="U204" i="27" s="1"/>
  <c r="R205" i="27"/>
  <c r="T205" i="27" s="1"/>
  <c r="U205" i="27" s="1"/>
  <c r="R206" i="27"/>
  <c r="T206" i="27" s="1"/>
  <c r="U206" i="27" s="1"/>
  <c r="S203" i="27"/>
  <c r="S204" i="27"/>
  <c r="S205" i="27"/>
  <c r="S206" i="27"/>
  <c r="AD203" i="27"/>
  <c r="AD204" i="27"/>
  <c r="AD205" i="27"/>
  <c r="AD206" i="27"/>
  <c r="AE203" i="27"/>
  <c r="AE204" i="27"/>
  <c r="AE205" i="27"/>
  <c r="AE206" i="27"/>
  <c r="AF203" i="27"/>
  <c r="AF204" i="27"/>
  <c r="AF205" i="27"/>
  <c r="AF206" i="27"/>
  <c r="AG203" i="27"/>
  <c r="AG204" i="27"/>
  <c r="AG205" i="27"/>
  <c r="AG206" i="27"/>
  <c r="H204" i="27" l="1"/>
  <c r="AL204" i="27"/>
  <c r="H205" i="27"/>
  <c r="AL205" i="27"/>
  <c r="H209" i="27"/>
  <c r="H203" i="27"/>
  <c r="AL203" i="27"/>
  <c r="H206" i="27"/>
  <c r="AL206" i="27"/>
  <c r="H207" i="27"/>
  <c r="AL207" i="27"/>
  <c r="H208" i="27"/>
  <c r="U209" i="27"/>
  <c r="AL209" i="27" s="1"/>
  <c r="U208" i="27"/>
  <c r="AL208" i="27" s="1"/>
  <c r="K202" i="27"/>
  <c r="G202" i="27"/>
  <c r="C202" i="27"/>
  <c r="D202" i="27"/>
  <c r="R202" i="27"/>
  <c r="T202" i="27" s="1"/>
  <c r="U202" i="27" s="1"/>
  <c r="S202" i="27"/>
  <c r="AD202" i="27"/>
  <c r="AE202" i="27"/>
  <c r="AF202" i="27"/>
  <c r="AG202" i="27"/>
  <c r="H202" i="27" l="1"/>
  <c r="AL202" i="27"/>
  <c r="K201" i="27"/>
  <c r="G201" i="27"/>
  <c r="C201" i="27"/>
  <c r="D201" i="27"/>
  <c r="R201" i="27"/>
  <c r="T201" i="27" s="1"/>
  <c r="U201" i="27" s="1"/>
  <c r="S201" i="27"/>
  <c r="AD201" i="27"/>
  <c r="AE201" i="27"/>
  <c r="AF201" i="27"/>
  <c r="AG201" i="27"/>
  <c r="K200" i="27"/>
  <c r="G200" i="27"/>
  <c r="C200" i="27"/>
  <c r="D200" i="27"/>
  <c r="R200" i="27"/>
  <c r="T200" i="27" s="1"/>
  <c r="S200" i="27"/>
  <c r="AD200" i="27"/>
  <c r="AE200" i="27"/>
  <c r="AF200" i="27"/>
  <c r="AG200" i="27"/>
  <c r="H200" i="27" l="1"/>
  <c r="H201" i="27"/>
  <c r="AL201" i="27"/>
  <c r="U200" i="27"/>
  <c r="AL200" i="27" s="1"/>
  <c r="K199" i="27"/>
  <c r="G199" i="27"/>
  <c r="C199" i="27"/>
  <c r="D199" i="27"/>
  <c r="R199" i="27"/>
  <c r="T199" i="27" s="1"/>
  <c r="S199" i="27"/>
  <c r="AD199" i="27"/>
  <c r="AE199" i="27"/>
  <c r="AF199" i="27"/>
  <c r="AG199" i="27"/>
  <c r="H199" i="27" l="1"/>
  <c r="U199" i="27"/>
  <c r="AL199" i="27" s="1"/>
  <c r="K198" i="27" l="1"/>
  <c r="G198" i="27"/>
  <c r="C198" i="27"/>
  <c r="D198" i="27"/>
  <c r="R198" i="27"/>
  <c r="T198" i="27" s="1"/>
  <c r="U198" i="27" s="1"/>
  <c r="S198" i="27"/>
  <c r="AD198" i="27"/>
  <c r="AE198" i="27"/>
  <c r="AF198" i="27"/>
  <c r="AG198" i="27"/>
  <c r="K197" i="27"/>
  <c r="G197" i="27"/>
  <c r="C197" i="27"/>
  <c r="D197" i="27"/>
  <c r="R197" i="27"/>
  <c r="T197" i="27" s="1"/>
  <c r="S197" i="27"/>
  <c r="AD197" i="27"/>
  <c r="AE197" i="27"/>
  <c r="AF197" i="27"/>
  <c r="AG197" i="27"/>
  <c r="K196" i="27"/>
  <c r="G196" i="27"/>
  <c r="C196" i="27"/>
  <c r="D196" i="27"/>
  <c r="R196" i="27"/>
  <c r="T196" i="27" s="1"/>
  <c r="U196" i="27" s="1"/>
  <c r="S196" i="27"/>
  <c r="AD196" i="27"/>
  <c r="AE196" i="27"/>
  <c r="AF196" i="27"/>
  <c r="AG196" i="27"/>
  <c r="K193" i="27"/>
  <c r="K194" i="27"/>
  <c r="K195" i="27"/>
  <c r="G195" i="27"/>
  <c r="G194" i="27"/>
  <c r="G193" i="27"/>
  <c r="C195" i="27"/>
  <c r="D195" i="27"/>
  <c r="R195" i="27"/>
  <c r="T195" i="27" s="1"/>
  <c r="U195" i="27" s="1"/>
  <c r="S195" i="27"/>
  <c r="AD195" i="27"/>
  <c r="AE195" i="27"/>
  <c r="AF195" i="27"/>
  <c r="AG195" i="27"/>
  <c r="C194" i="27"/>
  <c r="D194" i="27"/>
  <c r="R194" i="27"/>
  <c r="T194" i="27" s="1"/>
  <c r="U194" i="27" s="1"/>
  <c r="S194" i="27"/>
  <c r="AD194" i="27"/>
  <c r="AE194" i="27"/>
  <c r="AF194" i="27"/>
  <c r="AG194" i="27"/>
  <c r="C193" i="27"/>
  <c r="D193" i="27"/>
  <c r="R193" i="27"/>
  <c r="T193" i="27" s="1"/>
  <c r="U193" i="27" s="1"/>
  <c r="S193" i="27"/>
  <c r="AD193" i="27"/>
  <c r="AE193" i="27"/>
  <c r="AF193" i="27"/>
  <c r="AG193" i="27"/>
  <c r="K192" i="27"/>
  <c r="G192" i="27"/>
  <c r="C192" i="27"/>
  <c r="D192" i="27"/>
  <c r="R192" i="27"/>
  <c r="T192" i="27" s="1"/>
  <c r="U192" i="27" s="1"/>
  <c r="S192" i="27"/>
  <c r="AD192" i="27"/>
  <c r="AE192" i="27"/>
  <c r="AF192" i="27"/>
  <c r="AG192" i="27"/>
  <c r="K189" i="27"/>
  <c r="K190" i="27"/>
  <c r="K191" i="27"/>
  <c r="G191" i="27"/>
  <c r="G190" i="27"/>
  <c r="G189" i="27"/>
  <c r="C191" i="27"/>
  <c r="D191" i="27"/>
  <c r="R191" i="27"/>
  <c r="T191" i="27" s="1"/>
  <c r="U191" i="27" s="1"/>
  <c r="S191" i="27"/>
  <c r="AD191" i="27"/>
  <c r="AE191" i="27"/>
  <c r="AF191" i="27"/>
  <c r="AG191" i="27"/>
  <c r="C189" i="27"/>
  <c r="C190" i="27"/>
  <c r="D189" i="27"/>
  <c r="D190" i="27"/>
  <c r="R189" i="27"/>
  <c r="T189" i="27" s="1"/>
  <c r="R190" i="27"/>
  <c r="T190" i="27" s="1"/>
  <c r="S189" i="27"/>
  <c r="S190" i="27"/>
  <c r="AD189" i="27"/>
  <c r="AD190" i="27"/>
  <c r="AE189" i="27"/>
  <c r="AE190" i="27"/>
  <c r="AF189" i="27"/>
  <c r="AF190" i="27"/>
  <c r="AG189" i="27"/>
  <c r="AG190" i="27"/>
  <c r="K188" i="27"/>
  <c r="G188" i="27"/>
  <c r="C188" i="27"/>
  <c r="D188" i="27"/>
  <c r="R188" i="27"/>
  <c r="T188" i="27" s="1"/>
  <c r="U188" i="27" s="1"/>
  <c r="S188" i="27"/>
  <c r="AD188" i="27"/>
  <c r="AE188" i="27"/>
  <c r="AF188" i="27"/>
  <c r="AG188" i="27"/>
  <c r="K187" i="27"/>
  <c r="G187" i="27"/>
  <c r="C187" i="27"/>
  <c r="D187" i="27"/>
  <c r="R187" i="27"/>
  <c r="S187" i="27"/>
  <c r="AD187" i="27"/>
  <c r="AE187" i="27"/>
  <c r="AF187" i="27"/>
  <c r="AG187" i="27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2" i="24"/>
  <c r="AQ3" i="22"/>
  <c r="AQ5" i="22"/>
  <c r="H193" i="27" l="1"/>
  <c r="AL193" i="27"/>
  <c r="H197" i="27"/>
  <c r="H194" i="27"/>
  <c r="AL194" i="27"/>
  <c r="H188" i="27"/>
  <c r="AL188" i="27"/>
  <c r="H189" i="27"/>
  <c r="H195" i="27"/>
  <c r="AL195" i="27"/>
  <c r="H196" i="27"/>
  <c r="AL196" i="27"/>
  <c r="H187" i="27"/>
  <c r="H190" i="27"/>
  <c r="H192" i="27"/>
  <c r="AL192" i="27"/>
  <c r="H198" i="27"/>
  <c r="AL198" i="27"/>
  <c r="H191" i="27"/>
  <c r="AL191" i="27"/>
  <c r="I15" i="24"/>
  <c r="I30" i="24"/>
  <c r="I6" i="24"/>
  <c r="I23" i="24"/>
  <c r="I21" i="24"/>
  <c r="I5" i="24"/>
  <c r="I20" i="24"/>
  <c r="I4" i="24"/>
  <c r="I27" i="24"/>
  <c r="I19" i="24"/>
  <c r="I11" i="24"/>
  <c r="I3" i="24"/>
  <c r="I26" i="24"/>
  <c r="I18" i="24"/>
  <c r="I10" i="24"/>
  <c r="I29" i="24"/>
  <c r="I13" i="24"/>
  <c r="I28" i="24"/>
  <c r="I12" i="24"/>
  <c r="I33" i="24"/>
  <c r="I25" i="24"/>
  <c r="I17" i="24"/>
  <c r="I9" i="24"/>
  <c r="I31" i="24"/>
  <c r="I7" i="24"/>
  <c r="I2" i="24"/>
  <c r="I22" i="24"/>
  <c r="I14" i="24"/>
  <c r="I32" i="24"/>
  <c r="I24" i="24"/>
  <c r="I16" i="24"/>
  <c r="I8" i="24"/>
  <c r="U197" i="27"/>
  <c r="AL197" i="27" s="1"/>
  <c r="U189" i="27"/>
  <c r="AL189" i="27" s="1"/>
  <c r="U190" i="27"/>
  <c r="AL190" i="27" s="1"/>
  <c r="T187" i="27"/>
  <c r="U187" i="27" s="1"/>
  <c r="AL187" i="27" s="1"/>
  <c r="K186" i="27" l="1"/>
  <c r="G186" i="27"/>
  <c r="C186" i="27"/>
  <c r="D186" i="27"/>
  <c r="R186" i="27"/>
  <c r="T186" i="27" s="1"/>
  <c r="S186" i="27"/>
  <c r="AD186" i="27"/>
  <c r="AE186" i="27"/>
  <c r="AF186" i="27"/>
  <c r="AG186" i="27"/>
  <c r="K185" i="27"/>
  <c r="G185" i="27"/>
  <c r="C185" i="27"/>
  <c r="D185" i="27"/>
  <c r="R185" i="27"/>
  <c r="T185" i="27" s="1"/>
  <c r="U185" i="27" s="1"/>
  <c r="S185" i="27"/>
  <c r="AD185" i="27"/>
  <c r="AE185" i="27"/>
  <c r="AF185" i="27"/>
  <c r="AG185" i="27"/>
  <c r="K184" i="27"/>
  <c r="G184" i="27"/>
  <c r="C184" i="27"/>
  <c r="D184" i="27"/>
  <c r="R184" i="27"/>
  <c r="S184" i="27"/>
  <c r="AD184" i="27"/>
  <c r="AE184" i="27"/>
  <c r="AF184" i="27"/>
  <c r="AG184" i="27"/>
  <c r="K182" i="27"/>
  <c r="K183" i="27"/>
  <c r="G183" i="27"/>
  <c r="G182" i="27"/>
  <c r="C182" i="27"/>
  <c r="C183" i="27"/>
  <c r="D182" i="27"/>
  <c r="D183" i="27"/>
  <c r="R182" i="27"/>
  <c r="T182" i="27" s="1"/>
  <c r="R183" i="27"/>
  <c r="T183" i="27" s="1"/>
  <c r="S182" i="27"/>
  <c r="S183" i="27"/>
  <c r="AD182" i="27"/>
  <c r="AD183" i="27"/>
  <c r="AE182" i="27"/>
  <c r="AE183" i="27"/>
  <c r="AF182" i="27"/>
  <c r="AF183" i="27"/>
  <c r="AG182" i="27"/>
  <c r="AG183" i="27"/>
  <c r="H183" i="27" l="1"/>
  <c r="H185" i="27"/>
  <c r="AL185" i="27"/>
  <c r="H182" i="27"/>
  <c r="H184" i="27"/>
  <c r="H186" i="27"/>
  <c r="U186" i="27"/>
  <c r="AL186" i="27" s="1"/>
  <c r="T184" i="27"/>
  <c r="U184" i="27" s="1"/>
  <c r="AL184" i="27" s="1"/>
  <c r="U183" i="27"/>
  <c r="AL183" i="27" s="1"/>
  <c r="U182" i="27"/>
  <c r="AL182" i="27" s="1"/>
  <c r="K180" i="27"/>
  <c r="K181" i="27"/>
  <c r="G181" i="27"/>
  <c r="C181" i="27"/>
  <c r="D181" i="27"/>
  <c r="R181" i="27"/>
  <c r="S181" i="27"/>
  <c r="AD181" i="27"/>
  <c r="AE181" i="27"/>
  <c r="AF181" i="27"/>
  <c r="AG181" i="27"/>
  <c r="G180" i="27"/>
  <c r="C180" i="27"/>
  <c r="D180" i="27"/>
  <c r="R180" i="27"/>
  <c r="S180" i="27"/>
  <c r="AD180" i="27"/>
  <c r="AE180" i="27"/>
  <c r="AF180" i="27"/>
  <c r="AG180" i="27"/>
  <c r="H181" i="27" l="1"/>
  <c r="H180" i="27"/>
  <c r="T180" i="27"/>
  <c r="U180" i="27" s="1"/>
  <c r="AL180" i="27" s="1"/>
  <c r="T181" i="27"/>
  <c r="U181" i="27" s="1"/>
  <c r="AL181" i="27" s="1"/>
  <c r="S618" i="22"/>
  <c r="S617" i="22"/>
  <c r="S616" i="22"/>
  <c r="S615" i="22"/>
  <c r="S614" i="22"/>
  <c r="S613" i="22"/>
  <c r="S612" i="22"/>
  <c r="S611" i="22"/>
  <c r="S610" i="22"/>
  <c r="S609" i="22"/>
  <c r="S608" i="22"/>
  <c r="S607" i="22"/>
  <c r="S606" i="22"/>
  <c r="S605" i="22"/>
  <c r="S604" i="22"/>
  <c r="S603" i="22"/>
  <c r="S602" i="22"/>
  <c r="S601" i="22"/>
  <c r="S600" i="22"/>
  <c r="S599" i="22"/>
  <c r="S598" i="22"/>
  <c r="S597" i="22"/>
  <c r="S596" i="22"/>
  <c r="S595" i="22"/>
  <c r="S594" i="22"/>
  <c r="S593" i="22"/>
  <c r="S592" i="22"/>
  <c r="S591" i="22"/>
  <c r="S590" i="22"/>
  <c r="S589" i="22"/>
  <c r="S588" i="22"/>
  <c r="S587" i="22"/>
  <c r="S586" i="22"/>
  <c r="S585" i="22"/>
  <c r="S584" i="22"/>
  <c r="S583" i="22"/>
  <c r="S582" i="22"/>
  <c r="S581" i="22"/>
  <c r="S580" i="22"/>
  <c r="S579" i="22"/>
  <c r="S578" i="22"/>
  <c r="S577" i="22"/>
  <c r="S576" i="22"/>
  <c r="S575" i="22"/>
  <c r="S574" i="22"/>
  <c r="S573" i="22"/>
  <c r="S572" i="22"/>
  <c r="S571" i="22"/>
  <c r="S570" i="22"/>
  <c r="S569" i="22"/>
  <c r="S568" i="22"/>
  <c r="S567" i="22"/>
  <c r="S566" i="22"/>
  <c r="S565" i="22"/>
  <c r="S564" i="22"/>
  <c r="S563" i="22"/>
  <c r="S562" i="22"/>
  <c r="S561" i="22"/>
  <c r="S560" i="22"/>
  <c r="S559" i="22"/>
  <c r="S558" i="22"/>
  <c r="S557" i="22"/>
  <c r="S556" i="22"/>
  <c r="S555" i="22"/>
  <c r="S554" i="22"/>
  <c r="S553" i="22"/>
  <c r="S552" i="22"/>
  <c r="S551" i="22"/>
  <c r="S550" i="22"/>
  <c r="S549" i="22"/>
  <c r="S548" i="22"/>
  <c r="S547" i="22"/>
  <c r="S546" i="22"/>
  <c r="S545" i="22"/>
  <c r="S544" i="22"/>
  <c r="S543" i="22"/>
  <c r="S542" i="22"/>
  <c r="S541" i="22"/>
  <c r="S540" i="22"/>
  <c r="S539" i="22"/>
  <c r="S538" i="22"/>
  <c r="S537" i="22"/>
  <c r="S536" i="22"/>
  <c r="S535" i="22"/>
  <c r="S534" i="22"/>
  <c r="S533" i="22"/>
  <c r="S532" i="22"/>
  <c r="S531" i="22"/>
  <c r="S530" i="22"/>
  <c r="S529" i="22"/>
  <c r="S528" i="22"/>
  <c r="S527" i="22"/>
  <c r="S526" i="22"/>
  <c r="S525" i="22"/>
  <c r="S524" i="22"/>
  <c r="S523" i="22"/>
  <c r="S522" i="22"/>
  <c r="S521" i="22"/>
  <c r="S520" i="22"/>
  <c r="S519" i="22"/>
  <c r="S518" i="22"/>
  <c r="S517" i="22"/>
  <c r="S516" i="22"/>
  <c r="S515" i="22"/>
  <c r="S514" i="22"/>
  <c r="S513" i="22"/>
  <c r="S512" i="22"/>
  <c r="S511" i="22"/>
  <c r="S510" i="22"/>
  <c r="S509" i="22"/>
  <c r="S508" i="22"/>
  <c r="S507" i="22"/>
  <c r="S506" i="22"/>
  <c r="S505" i="22"/>
  <c r="S504" i="22"/>
  <c r="S503" i="22"/>
  <c r="S502" i="22"/>
  <c r="S501" i="22"/>
  <c r="S500" i="22"/>
  <c r="S499" i="22"/>
  <c r="S498" i="22"/>
  <c r="S497" i="22"/>
  <c r="S496" i="22"/>
  <c r="S495" i="22"/>
  <c r="S494" i="22"/>
  <c r="S493" i="22"/>
  <c r="S492" i="22"/>
  <c r="S491" i="22"/>
  <c r="S490" i="22"/>
  <c r="S489" i="22"/>
  <c r="S488" i="22"/>
  <c r="S487" i="22"/>
  <c r="S486" i="22"/>
  <c r="S485" i="22"/>
  <c r="S484" i="22"/>
  <c r="S483" i="22"/>
  <c r="S482" i="22"/>
  <c r="S481" i="22"/>
  <c r="S480" i="22"/>
  <c r="S479" i="22"/>
  <c r="S478" i="22"/>
  <c r="S477" i="22"/>
  <c r="S476" i="22"/>
  <c r="S475" i="22"/>
  <c r="S474" i="22"/>
  <c r="S473" i="22"/>
  <c r="S472" i="22"/>
  <c r="S471" i="22"/>
  <c r="S470" i="22"/>
  <c r="S469" i="22"/>
  <c r="S468" i="22"/>
  <c r="S467" i="22"/>
  <c r="S466" i="22"/>
  <c r="S465" i="22"/>
  <c r="S464" i="22"/>
  <c r="S463" i="22"/>
  <c r="S462" i="22"/>
  <c r="S461" i="22"/>
  <c r="S460" i="22"/>
  <c r="S459" i="22"/>
  <c r="S458" i="22"/>
  <c r="S457" i="22"/>
  <c r="S456" i="22"/>
  <c r="S455" i="22"/>
  <c r="S454" i="22"/>
  <c r="S453" i="22"/>
  <c r="S452" i="22"/>
  <c r="S451" i="22"/>
  <c r="S450" i="22" l="1"/>
  <c r="S449" i="22"/>
  <c r="S448" i="22"/>
  <c r="S447" i="22"/>
  <c r="S446" i="22"/>
  <c r="S445" i="22"/>
  <c r="S444" i="22"/>
  <c r="S443" i="22"/>
  <c r="S442" i="22"/>
  <c r="S441" i="22"/>
  <c r="S440" i="22"/>
  <c r="S439" i="22"/>
  <c r="S438" i="22"/>
  <c r="S437" i="22"/>
  <c r="S436" i="22"/>
  <c r="S435" i="22"/>
  <c r="S434" i="22"/>
  <c r="S433" i="22"/>
  <c r="S432" i="22"/>
  <c r="S431" i="22"/>
  <c r="S430" i="22"/>
  <c r="S429" i="22"/>
  <c r="S428" i="22"/>
  <c r="S427" i="22"/>
  <c r="S426" i="22"/>
  <c r="S425" i="22"/>
  <c r="S424" i="22"/>
  <c r="S423" i="22"/>
  <c r="S422" i="22"/>
  <c r="S421" i="22"/>
  <c r="S420" i="22"/>
  <c r="S419" i="22"/>
  <c r="S418" i="22"/>
  <c r="S417" i="22"/>
  <c r="S416" i="22"/>
  <c r="S415" i="22"/>
  <c r="S414" i="22"/>
  <c r="S413" i="22"/>
  <c r="S412" i="22"/>
  <c r="S411" i="22"/>
  <c r="S410" i="22"/>
  <c r="S409" i="22"/>
  <c r="S408" i="22"/>
  <c r="S407" i="22"/>
  <c r="S406" i="22"/>
  <c r="S405" i="22"/>
  <c r="S404" i="22"/>
  <c r="S403" i="22"/>
  <c r="S402" i="22"/>
  <c r="S401" i="22"/>
  <c r="S400" i="22"/>
  <c r="S399" i="22"/>
  <c r="S398" i="22"/>
  <c r="S397" i="22"/>
  <c r="S396" i="22"/>
  <c r="S395" i="22"/>
  <c r="S394" i="22"/>
  <c r="S393" i="22"/>
  <c r="S392" i="22"/>
  <c r="S391" i="22"/>
  <c r="S390" i="22"/>
  <c r="S389" i="22"/>
  <c r="S388" i="22"/>
  <c r="S387" i="22"/>
  <c r="S386" i="22"/>
  <c r="S385" i="22"/>
  <c r="S384" i="22"/>
  <c r="S383" i="22"/>
  <c r="S382" i="22"/>
  <c r="S381" i="22"/>
  <c r="S380" i="22"/>
  <c r="S379" i="22"/>
  <c r="S378" i="22"/>
  <c r="S377" i="22"/>
  <c r="S376" i="22"/>
  <c r="S375" i="22"/>
  <c r="S374" i="22"/>
  <c r="S373" i="22"/>
  <c r="S372" i="22"/>
  <c r="S371" i="22"/>
  <c r="S370" i="22"/>
  <c r="S369" i="22"/>
  <c r="S368" i="22"/>
  <c r="S367" i="22"/>
  <c r="S366" i="22"/>
  <c r="S365" i="22"/>
  <c r="S364" i="22"/>
  <c r="S363" i="22"/>
  <c r="S362" i="22"/>
  <c r="S361" i="22"/>
  <c r="S360" i="22"/>
  <c r="S359" i="22"/>
  <c r="S358" i="22"/>
  <c r="S357" i="22"/>
  <c r="S356" i="22"/>
  <c r="S355" i="22"/>
  <c r="S306" i="22" l="1"/>
  <c r="S297" i="22"/>
  <c r="K177" i="27"/>
  <c r="K178" i="27"/>
  <c r="K179" i="27"/>
  <c r="G179" i="27"/>
  <c r="G178" i="27"/>
  <c r="G177" i="27"/>
  <c r="C178" i="27"/>
  <c r="C179" i="27"/>
  <c r="D178" i="27"/>
  <c r="D179" i="27"/>
  <c r="R178" i="27"/>
  <c r="R179" i="27"/>
  <c r="S178" i="27"/>
  <c r="S179" i="27"/>
  <c r="AD178" i="27"/>
  <c r="AD179" i="27"/>
  <c r="AE178" i="27"/>
  <c r="AE179" i="27"/>
  <c r="AF178" i="27"/>
  <c r="AF179" i="27"/>
  <c r="AG178" i="27"/>
  <c r="AG179" i="27"/>
  <c r="C177" i="27"/>
  <c r="D177" i="27"/>
  <c r="S177" i="27"/>
  <c r="AD177" i="27"/>
  <c r="AE177" i="27"/>
  <c r="AF177" i="27"/>
  <c r="AG177" i="27"/>
  <c r="K176" i="27"/>
  <c r="G176" i="27"/>
  <c r="C176" i="27"/>
  <c r="D176" i="27"/>
  <c r="S176" i="27"/>
  <c r="AD176" i="27"/>
  <c r="AE176" i="27"/>
  <c r="AF176" i="27"/>
  <c r="AG176" i="27"/>
  <c r="K174" i="27"/>
  <c r="K175" i="27"/>
  <c r="G175" i="27"/>
  <c r="C175" i="27"/>
  <c r="D175" i="27"/>
  <c r="S175" i="27"/>
  <c r="AD175" i="27"/>
  <c r="AE175" i="27"/>
  <c r="AF175" i="27"/>
  <c r="AG175" i="27"/>
  <c r="G174" i="27"/>
  <c r="C174" i="27"/>
  <c r="D174" i="27"/>
  <c r="S174" i="27"/>
  <c r="T174" i="27" s="1"/>
  <c r="U174" i="27" s="1"/>
  <c r="AD174" i="27"/>
  <c r="AE174" i="27"/>
  <c r="AF174" i="27"/>
  <c r="AG174" i="27"/>
  <c r="K173" i="27"/>
  <c r="G173" i="27"/>
  <c r="C173" i="27"/>
  <c r="D173" i="27"/>
  <c r="S173" i="27"/>
  <c r="T173" i="27" s="1"/>
  <c r="AD173" i="27"/>
  <c r="AE173" i="27"/>
  <c r="AF173" i="27"/>
  <c r="AG173" i="27"/>
  <c r="H176" i="27" l="1"/>
  <c r="H175" i="27"/>
  <c r="H177" i="27"/>
  <c r="H178" i="27"/>
  <c r="H174" i="27"/>
  <c r="AL174" i="27"/>
  <c r="H179" i="27"/>
  <c r="H173" i="27"/>
  <c r="T177" i="27"/>
  <c r="U177" i="27" s="1"/>
  <c r="AL177" i="27" s="1"/>
  <c r="T178" i="27"/>
  <c r="U178" i="27" s="1"/>
  <c r="AL178" i="27" s="1"/>
  <c r="T175" i="27"/>
  <c r="U175" i="27" s="1"/>
  <c r="AL175" i="27" s="1"/>
  <c r="T179" i="27"/>
  <c r="U179" i="27" s="1"/>
  <c r="AL179" i="27" s="1"/>
  <c r="T176" i="27"/>
  <c r="U176" i="27" s="1"/>
  <c r="AL176" i="27" s="1"/>
  <c r="U173" i="27"/>
  <c r="AL173" i="27" s="1"/>
  <c r="B33" i="9"/>
  <c r="K169" i="27" l="1"/>
  <c r="K170" i="27"/>
  <c r="K171" i="27"/>
  <c r="K172" i="27"/>
  <c r="G167" i="27"/>
  <c r="G168" i="27"/>
  <c r="G169" i="27"/>
  <c r="G170" i="27"/>
  <c r="G171" i="27"/>
  <c r="G172" i="27"/>
  <c r="C172" i="27"/>
  <c r="D172" i="27"/>
  <c r="S172" i="27"/>
  <c r="AD172" i="27"/>
  <c r="AE172" i="27"/>
  <c r="AF172" i="27"/>
  <c r="AG172" i="27"/>
  <c r="C169" i="27"/>
  <c r="C170" i="27"/>
  <c r="C171" i="27"/>
  <c r="D169" i="27"/>
  <c r="D170" i="27"/>
  <c r="D171" i="27"/>
  <c r="T169" i="27"/>
  <c r="S169" i="27"/>
  <c r="S170" i="27"/>
  <c r="S171" i="27"/>
  <c r="AD169" i="27"/>
  <c r="AD170" i="27"/>
  <c r="AD171" i="27"/>
  <c r="AE169" i="27"/>
  <c r="AE170" i="27"/>
  <c r="AE171" i="27"/>
  <c r="AF169" i="27"/>
  <c r="AF170" i="27"/>
  <c r="AF171" i="27"/>
  <c r="AG169" i="27"/>
  <c r="AG170" i="27"/>
  <c r="AG171" i="27"/>
  <c r="C167" i="27"/>
  <c r="C168" i="27"/>
  <c r="D167" i="27"/>
  <c r="D168" i="27"/>
  <c r="S167" i="27"/>
  <c r="T167" i="27" s="1"/>
  <c r="S168" i="27"/>
  <c r="T168" i="27" s="1"/>
  <c r="AD167" i="27"/>
  <c r="AD168" i="27"/>
  <c r="AE167" i="27"/>
  <c r="AE168" i="27"/>
  <c r="AF167" i="27"/>
  <c r="AF168" i="27"/>
  <c r="AG167" i="27"/>
  <c r="AG168" i="27"/>
  <c r="K165" i="27"/>
  <c r="K166" i="27"/>
  <c r="K167" i="27"/>
  <c r="K168" i="27"/>
  <c r="G165" i="27"/>
  <c r="G166" i="27"/>
  <c r="C166" i="27"/>
  <c r="D166" i="27"/>
  <c r="S166" i="27"/>
  <c r="T166" i="27" s="1"/>
  <c r="AD166" i="27"/>
  <c r="AE166" i="27"/>
  <c r="AF166" i="27"/>
  <c r="AG166" i="27"/>
  <c r="C165" i="27"/>
  <c r="D165" i="27"/>
  <c r="T165" i="27"/>
  <c r="S165" i="27"/>
  <c r="AD165" i="27"/>
  <c r="AE165" i="27"/>
  <c r="AF165" i="27"/>
  <c r="AG165" i="27"/>
  <c r="B6" i="9"/>
  <c r="H172" i="27" l="1"/>
  <c r="H171" i="27"/>
  <c r="H170" i="27"/>
  <c r="H169" i="27"/>
  <c r="H168" i="27"/>
  <c r="H167" i="27"/>
  <c r="H166" i="27"/>
  <c r="H165" i="27"/>
  <c r="U169" i="27"/>
  <c r="AL169" i="27" s="1"/>
  <c r="T172" i="27"/>
  <c r="U172" i="27" s="1"/>
  <c r="AL172" i="27" s="1"/>
  <c r="T171" i="27"/>
  <c r="U171" i="27" s="1"/>
  <c r="AL171" i="27" s="1"/>
  <c r="T170" i="27"/>
  <c r="U170" i="27" s="1"/>
  <c r="AL170" i="27" s="1"/>
  <c r="U165" i="27"/>
  <c r="AL165" i="27" s="1"/>
  <c r="U166" i="27"/>
  <c r="AL166" i="27" s="1"/>
  <c r="U168" i="27"/>
  <c r="AL168" i="27" s="1"/>
  <c r="U167" i="27"/>
  <c r="AL167" i="27" s="1"/>
  <c r="C140" i="27"/>
  <c r="D140" i="27"/>
  <c r="G140" i="27"/>
  <c r="K140" i="27"/>
  <c r="S140" i="27"/>
  <c r="AD140" i="27"/>
  <c r="AE140" i="27"/>
  <c r="AF140" i="27"/>
  <c r="AG140" i="27"/>
  <c r="H140" i="27" l="1"/>
  <c r="T140" i="27"/>
  <c r="U140" i="27" s="1"/>
  <c r="AL140" i="27" s="1"/>
  <c r="D2" i="35" l="1"/>
  <c r="B34" i="9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2" i="27"/>
  <c r="G3" i="27"/>
  <c r="G4" i="27"/>
  <c r="G5" i="27"/>
  <c r="G6" i="27"/>
  <c r="G7" i="27"/>
  <c r="G8" i="27"/>
  <c r="G9" i="27"/>
  <c r="G10" i="27"/>
  <c r="G11" i="27"/>
  <c r="G12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E2" i="35" l="1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8" i="22"/>
  <c r="S299" i="22"/>
  <c r="S300" i="22"/>
  <c r="S301" i="22"/>
  <c r="S302" i="22"/>
  <c r="S303" i="22"/>
  <c r="S304" i="22"/>
  <c r="S305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663" i="22"/>
  <c r="S664" i="22"/>
  <c r="S665" i="22"/>
  <c r="S666" i="22"/>
  <c r="S667" i="22"/>
  <c r="S668" i="22"/>
  <c r="S669" i="22"/>
  <c r="S670" i="22"/>
  <c r="S671" i="22"/>
  <c r="S672" i="22"/>
  <c r="S673" i="22"/>
  <c r="S674" i="22"/>
  <c r="S675" i="22"/>
  <c r="S676" i="22"/>
  <c r="S677" i="22"/>
  <c r="S678" i="22"/>
  <c r="S679" i="22"/>
  <c r="S680" i="22"/>
  <c r="S681" i="22"/>
  <c r="S682" i="22"/>
  <c r="S683" i="22"/>
  <c r="S684" i="22"/>
  <c r="S685" i="22"/>
  <c r="S686" i="22"/>
  <c r="S687" i="22"/>
  <c r="S688" i="22"/>
  <c r="S689" i="22"/>
  <c r="S690" i="22"/>
  <c r="S691" i="22"/>
  <c r="S692" i="22"/>
  <c r="S693" i="22"/>
  <c r="S694" i="22"/>
  <c r="S695" i="22"/>
  <c r="S696" i="22"/>
  <c r="S697" i="22"/>
  <c r="S698" i="22"/>
  <c r="S699" i="22"/>
  <c r="S700" i="22"/>
  <c r="S701" i="22"/>
  <c r="S702" i="22"/>
  <c r="S703" i="22"/>
  <c r="S704" i="22"/>
  <c r="S705" i="22"/>
  <c r="S706" i="22"/>
  <c r="S707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2" i="22"/>
  <c r="F2" i="35" l="1"/>
  <c r="B1" i="20"/>
  <c r="C1" i="20" s="1"/>
  <c r="D1" i="20" s="1"/>
  <c r="E1" i="20" s="1"/>
  <c r="F1" i="20" s="1"/>
  <c r="G2" i="35" l="1"/>
  <c r="AF80" i="27"/>
  <c r="C79" i="27"/>
  <c r="D79" i="27"/>
  <c r="H79" i="27"/>
  <c r="K79" i="27"/>
  <c r="H2" i="35" l="1"/>
  <c r="K77" i="27"/>
  <c r="K78" i="27"/>
  <c r="AF69" i="27"/>
  <c r="AF70" i="27"/>
  <c r="AF71" i="27"/>
  <c r="I2" i="35" l="1"/>
  <c r="C66" i="27"/>
  <c r="D66" i="27"/>
  <c r="H66" i="27"/>
  <c r="K66" i="27"/>
  <c r="T66" i="27"/>
  <c r="S66" i="27"/>
  <c r="AD66" i="27"/>
  <c r="AE66" i="27"/>
  <c r="AF66" i="27"/>
  <c r="AG66" i="27"/>
  <c r="C67" i="27"/>
  <c r="D67" i="27"/>
  <c r="H67" i="27"/>
  <c r="K67" i="27"/>
  <c r="S67" i="27"/>
  <c r="AD67" i="27"/>
  <c r="AE67" i="27"/>
  <c r="AF67" i="27"/>
  <c r="AG67" i="27"/>
  <c r="C68" i="27"/>
  <c r="D68" i="27"/>
  <c r="H68" i="27"/>
  <c r="K68" i="27"/>
  <c r="S68" i="27"/>
  <c r="AD68" i="27"/>
  <c r="AE68" i="27"/>
  <c r="AF68" i="27"/>
  <c r="AG68" i="27"/>
  <c r="C69" i="27"/>
  <c r="D69" i="27"/>
  <c r="H69" i="27"/>
  <c r="K69" i="27"/>
  <c r="S69" i="27"/>
  <c r="T69" i="27" s="1"/>
  <c r="AD69" i="27"/>
  <c r="AE69" i="27"/>
  <c r="AG69" i="27"/>
  <c r="C70" i="27"/>
  <c r="D70" i="27"/>
  <c r="H70" i="27"/>
  <c r="K70" i="27"/>
  <c r="S70" i="27"/>
  <c r="T70" i="27" s="1"/>
  <c r="AD70" i="27"/>
  <c r="AE70" i="27"/>
  <c r="AG70" i="27"/>
  <c r="C71" i="27"/>
  <c r="D71" i="27"/>
  <c r="H71" i="27"/>
  <c r="K71" i="27"/>
  <c r="S71" i="27"/>
  <c r="T71" i="27" s="1"/>
  <c r="AD71" i="27"/>
  <c r="AE71" i="27"/>
  <c r="AG71" i="27"/>
  <c r="C72" i="27"/>
  <c r="D72" i="27"/>
  <c r="H72" i="27"/>
  <c r="K72" i="27"/>
  <c r="S72" i="27"/>
  <c r="T72" i="27" s="1"/>
  <c r="AD72" i="27"/>
  <c r="AE72" i="27"/>
  <c r="AF72" i="27"/>
  <c r="AG72" i="27"/>
  <c r="H55" i="27"/>
  <c r="D55" i="27"/>
  <c r="C55" i="27"/>
  <c r="Q16" i="24"/>
  <c r="Q17" i="24"/>
  <c r="Q18" i="24"/>
  <c r="Q19" i="24"/>
  <c r="Q20" i="24"/>
  <c r="Q21" i="24"/>
  <c r="Q22" i="24"/>
  <c r="Q23" i="24"/>
  <c r="Q24" i="24"/>
  <c r="Q25" i="24"/>
  <c r="Q26" i="24"/>
  <c r="T26" i="24" s="1"/>
  <c r="Q27" i="24"/>
  <c r="T27" i="24" s="1"/>
  <c r="Q28" i="24"/>
  <c r="T28" i="24" s="1"/>
  <c r="Q29" i="24"/>
  <c r="T29" i="24" s="1"/>
  <c r="Q30" i="24"/>
  <c r="T30" i="24" s="1"/>
  <c r="Q31" i="24"/>
  <c r="T31" i="24" s="1"/>
  <c r="Q32" i="24"/>
  <c r="T32" i="24" s="1"/>
  <c r="Q33" i="24"/>
  <c r="T33" i="24" s="1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Q14" i="24"/>
  <c r="Q15" i="24"/>
  <c r="P14" i="24"/>
  <c r="P15" i="24"/>
  <c r="O14" i="24"/>
  <c r="O15" i="24"/>
  <c r="AF27" i="27"/>
  <c r="AF28" i="27"/>
  <c r="AF46" i="27"/>
  <c r="AF47" i="27"/>
  <c r="AF48" i="27"/>
  <c r="AF49" i="27"/>
  <c r="AF50" i="27"/>
  <c r="AF51" i="27"/>
  <c r="AF52" i="27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AF73" i="27"/>
  <c r="AF74" i="27"/>
  <c r="AF75" i="27"/>
  <c r="AF76" i="27"/>
  <c r="AF77" i="27"/>
  <c r="AF78" i="27"/>
  <c r="AF79" i="27"/>
  <c r="AF81" i="27"/>
  <c r="AF82" i="27"/>
  <c r="AF83" i="27"/>
  <c r="AF84" i="27"/>
  <c r="AF85" i="27"/>
  <c r="AF86" i="27"/>
  <c r="AF87" i="27"/>
  <c r="AF88" i="27"/>
  <c r="AF89" i="27"/>
  <c r="AF90" i="27"/>
  <c r="AF91" i="27"/>
  <c r="AF92" i="27"/>
  <c r="AF93" i="27"/>
  <c r="AF94" i="27"/>
  <c r="AF95" i="27"/>
  <c r="AF96" i="27"/>
  <c r="AF97" i="27"/>
  <c r="AF98" i="27"/>
  <c r="AF99" i="27"/>
  <c r="AF100" i="27"/>
  <c r="AF101" i="27"/>
  <c r="AF102" i="27"/>
  <c r="AF103" i="27"/>
  <c r="AF104" i="27"/>
  <c r="AF105" i="27"/>
  <c r="AF106" i="27"/>
  <c r="AF107" i="27"/>
  <c r="AF108" i="27"/>
  <c r="AF113" i="27"/>
  <c r="AF114" i="27"/>
  <c r="AF115" i="27"/>
  <c r="AF116" i="27"/>
  <c r="AF117" i="27"/>
  <c r="AF118" i="27"/>
  <c r="AF119" i="27"/>
  <c r="AF120" i="27"/>
  <c r="AF121" i="27"/>
  <c r="AF122" i="27"/>
  <c r="AF123" i="27"/>
  <c r="AF124" i="27"/>
  <c r="AF125" i="27"/>
  <c r="AF126" i="27"/>
  <c r="AF127" i="27"/>
  <c r="AF128" i="27"/>
  <c r="AF129" i="27"/>
  <c r="AF130" i="27"/>
  <c r="AF131" i="27"/>
  <c r="AF132" i="27"/>
  <c r="AF133" i="27"/>
  <c r="AF134" i="27"/>
  <c r="AF135" i="27"/>
  <c r="AF136" i="27"/>
  <c r="AF137" i="27"/>
  <c r="AF138" i="27"/>
  <c r="AF139" i="27"/>
  <c r="AF141" i="27"/>
  <c r="AF142" i="27"/>
  <c r="AF143" i="27"/>
  <c r="AF144" i="27"/>
  <c r="AF145" i="27"/>
  <c r="AF146" i="27"/>
  <c r="AF147" i="27"/>
  <c r="AF148" i="27"/>
  <c r="AF149" i="27"/>
  <c r="AF150" i="27"/>
  <c r="AF151" i="27"/>
  <c r="AF152" i="27"/>
  <c r="AF153" i="27"/>
  <c r="AF154" i="27"/>
  <c r="AF155" i="27"/>
  <c r="AF156" i="27"/>
  <c r="AF157" i="27"/>
  <c r="AF158" i="27"/>
  <c r="AF159" i="27"/>
  <c r="AF160" i="27"/>
  <c r="AF161" i="27"/>
  <c r="AF162" i="27"/>
  <c r="AF163" i="27"/>
  <c r="AF164" i="27"/>
  <c r="T67" i="27" l="1"/>
  <c r="U67" i="27" s="1"/>
  <c r="AL67" i="27" s="1"/>
  <c r="T68" i="27"/>
  <c r="U68" i="27" s="1"/>
  <c r="AL68" i="27" s="1"/>
  <c r="J2" i="35"/>
  <c r="U72" i="27"/>
  <c r="U71" i="27"/>
  <c r="AL71" i="27" s="1"/>
  <c r="U69" i="27"/>
  <c r="AL69" i="27" s="1"/>
  <c r="U70" i="27"/>
  <c r="AL70" i="27" s="1"/>
  <c r="U66" i="27"/>
  <c r="AL66" i="27" s="1"/>
  <c r="AG20" i="27"/>
  <c r="AG21" i="27"/>
  <c r="AF20" i="27"/>
  <c r="AF21" i="27"/>
  <c r="AE20" i="27"/>
  <c r="AE21" i="27"/>
  <c r="AD20" i="27"/>
  <c r="AD21" i="27"/>
  <c r="S20" i="27"/>
  <c r="S21" i="27"/>
  <c r="K20" i="27"/>
  <c r="K21" i="27"/>
  <c r="K22" i="27"/>
  <c r="K23" i="27"/>
  <c r="K24" i="27"/>
  <c r="K25" i="27"/>
  <c r="K26" i="27"/>
  <c r="K27" i="27"/>
  <c r="K28" i="27"/>
  <c r="K47" i="27"/>
  <c r="K48" i="27"/>
  <c r="K49" i="27"/>
  <c r="K50" i="27"/>
  <c r="K51" i="27"/>
  <c r="K52" i="27"/>
  <c r="K53" i="27"/>
  <c r="K61" i="27"/>
  <c r="K62" i="27"/>
  <c r="K63" i="27"/>
  <c r="K64" i="27"/>
  <c r="K65" i="27"/>
  <c r="K73" i="27"/>
  <c r="K74" i="27"/>
  <c r="K75" i="27"/>
  <c r="K76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H20" i="27"/>
  <c r="H21" i="27"/>
  <c r="H22" i="27"/>
  <c r="D20" i="27"/>
  <c r="D21" i="27"/>
  <c r="D22" i="27"/>
  <c r="D23" i="27"/>
  <c r="D24" i="27"/>
  <c r="C21" i="27"/>
  <c r="C20" i="27"/>
  <c r="C22" i="27"/>
  <c r="C23" i="27"/>
  <c r="C24" i="27"/>
  <c r="C25" i="27"/>
  <c r="C26" i="27"/>
  <c r="C27" i="27"/>
  <c r="C28" i="27"/>
  <c r="C46" i="27"/>
  <c r="C47" i="27"/>
  <c r="C48" i="27"/>
  <c r="C49" i="27"/>
  <c r="C50" i="27"/>
  <c r="C51" i="27"/>
  <c r="C52" i="27"/>
  <c r="C53" i="27"/>
  <c r="C54" i="27"/>
  <c r="C56" i="27"/>
  <c r="C57" i="27"/>
  <c r="C58" i="27"/>
  <c r="C59" i="27"/>
  <c r="C60" i="27"/>
  <c r="C61" i="27"/>
  <c r="C62" i="27"/>
  <c r="C63" i="27"/>
  <c r="C64" i="27"/>
  <c r="C65" i="27"/>
  <c r="C73" i="27"/>
  <c r="C74" i="27"/>
  <c r="C75" i="27"/>
  <c r="C76" i="27"/>
  <c r="C77" i="27"/>
  <c r="C78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D25" i="27"/>
  <c r="D26" i="27"/>
  <c r="D27" i="27"/>
  <c r="D28" i="27"/>
  <c r="D46" i="27"/>
  <c r="D47" i="27"/>
  <c r="D48" i="27"/>
  <c r="D49" i="27"/>
  <c r="D50" i="27"/>
  <c r="D51" i="27"/>
  <c r="D52" i="27"/>
  <c r="D53" i="27"/>
  <c r="D54" i="27"/>
  <c r="D56" i="27"/>
  <c r="D57" i="27"/>
  <c r="D58" i="27"/>
  <c r="D59" i="27"/>
  <c r="D60" i="27"/>
  <c r="D61" i="27"/>
  <c r="D62" i="27"/>
  <c r="D63" i="27"/>
  <c r="D64" i="27"/>
  <c r="D65" i="27"/>
  <c r="D73" i="27"/>
  <c r="D74" i="27"/>
  <c r="D75" i="27"/>
  <c r="D76" i="27"/>
  <c r="D77" i="27"/>
  <c r="D78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H23" i="27"/>
  <c r="H24" i="27"/>
  <c r="H25" i="27"/>
  <c r="H26" i="27"/>
  <c r="H27" i="27"/>
  <c r="H28" i="27"/>
  <c r="H46" i="27"/>
  <c r="H47" i="27"/>
  <c r="H48" i="27"/>
  <c r="H49" i="27"/>
  <c r="H50" i="27"/>
  <c r="H51" i="27"/>
  <c r="H52" i="27"/>
  <c r="H53" i="27"/>
  <c r="H54" i="27"/>
  <c r="H56" i="27"/>
  <c r="H57" i="27"/>
  <c r="H58" i="27"/>
  <c r="H59" i="27"/>
  <c r="H60" i="27"/>
  <c r="H61" i="27"/>
  <c r="H62" i="27"/>
  <c r="H63" i="27"/>
  <c r="H64" i="27"/>
  <c r="H65" i="27"/>
  <c r="H73" i="27"/>
  <c r="H74" i="27"/>
  <c r="H75" i="27"/>
  <c r="H76" i="27"/>
  <c r="H77" i="27"/>
  <c r="H78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T82" i="27"/>
  <c r="T83" i="27"/>
  <c r="T84" i="27"/>
  <c r="T87" i="27"/>
  <c r="T94" i="27"/>
  <c r="T96" i="27"/>
  <c r="T98" i="27"/>
  <c r="T99" i="27"/>
  <c r="T100" i="27"/>
  <c r="T101" i="27"/>
  <c r="T102" i="27"/>
  <c r="T113" i="27"/>
  <c r="U113" i="27" s="1"/>
  <c r="T124" i="27"/>
  <c r="T136" i="27"/>
  <c r="T145" i="27"/>
  <c r="T150" i="27"/>
  <c r="T156" i="27"/>
  <c r="T161" i="27"/>
  <c r="T163" i="27"/>
  <c r="T164" i="27"/>
  <c r="S22" i="27"/>
  <c r="S23" i="27"/>
  <c r="S24" i="27"/>
  <c r="S25" i="27"/>
  <c r="S26" i="27"/>
  <c r="S27" i="27"/>
  <c r="S28" i="27"/>
  <c r="S46" i="27"/>
  <c r="S47" i="27"/>
  <c r="S48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73" i="27"/>
  <c r="T73" i="27" s="1"/>
  <c r="S74" i="27"/>
  <c r="T74" i="27" s="1"/>
  <c r="S75" i="27"/>
  <c r="S76" i="27"/>
  <c r="S77" i="27"/>
  <c r="T77" i="27" s="1"/>
  <c r="S78" i="27"/>
  <c r="T78" i="27" s="1"/>
  <c r="S79" i="27"/>
  <c r="T79" i="27" s="1"/>
  <c r="S80" i="27"/>
  <c r="T80" i="27" s="1"/>
  <c r="S81" i="27"/>
  <c r="T81" i="27" s="1"/>
  <c r="S82" i="27"/>
  <c r="S83" i="27"/>
  <c r="S84" i="27"/>
  <c r="S85" i="27"/>
  <c r="S86" i="27"/>
  <c r="S87" i="27"/>
  <c r="S88" i="27"/>
  <c r="T88" i="27" s="1"/>
  <c r="S89" i="27"/>
  <c r="S90" i="27"/>
  <c r="T90" i="27" s="1"/>
  <c r="S91" i="27"/>
  <c r="T91" i="27" s="1"/>
  <c r="S92" i="27"/>
  <c r="T92" i="27" s="1"/>
  <c r="S93" i="27"/>
  <c r="T93" i="27" s="1"/>
  <c r="S94" i="27"/>
  <c r="S95" i="27"/>
  <c r="S96" i="27"/>
  <c r="S97" i="27"/>
  <c r="S98" i="27"/>
  <c r="S99" i="27"/>
  <c r="S100" i="27"/>
  <c r="S101" i="27"/>
  <c r="S102" i="27"/>
  <c r="S103" i="27"/>
  <c r="T103" i="27" s="1"/>
  <c r="S104" i="27"/>
  <c r="T104" i="27" s="1"/>
  <c r="S105" i="27"/>
  <c r="S106" i="27"/>
  <c r="S107" i="27"/>
  <c r="S108" i="27"/>
  <c r="T108" i="27" s="1"/>
  <c r="S115" i="27"/>
  <c r="S116" i="27"/>
  <c r="S117" i="27"/>
  <c r="S118" i="27"/>
  <c r="S119" i="27"/>
  <c r="S120" i="27"/>
  <c r="S121" i="27"/>
  <c r="S122" i="27"/>
  <c r="S123" i="27"/>
  <c r="T123" i="27" s="1"/>
  <c r="S124" i="27"/>
  <c r="S125" i="27"/>
  <c r="S126" i="27"/>
  <c r="S127" i="27"/>
  <c r="S128" i="27"/>
  <c r="S129" i="27"/>
  <c r="S130" i="27"/>
  <c r="S131" i="27"/>
  <c r="S132" i="27"/>
  <c r="T132" i="27" s="1"/>
  <c r="S133" i="27"/>
  <c r="T133" i="27" s="1"/>
  <c r="S134" i="27"/>
  <c r="T134" i="27" s="1"/>
  <c r="S135" i="27"/>
  <c r="T135" i="27" s="1"/>
  <c r="S136" i="27"/>
  <c r="S137" i="27"/>
  <c r="S138" i="27"/>
  <c r="S139" i="27"/>
  <c r="S141" i="27"/>
  <c r="S142" i="27"/>
  <c r="S143" i="27"/>
  <c r="S144" i="27"/>
  <c r="S145" i="27"/>
  <c r="S146" i="27"/>
  <c r="S147" i="27"/>
  <c r="S148" i="27"/>
  <c r="T148" i="27" s="1"/>
  <c r="S149" i="27"/>
  <c r="T149" i="27" s="1"/>
  <c r="S150" i="27"/>
  <c r="S151" i="27"/>
  <c r="S152" i="27"/>
  <c r="T152" i="27" s="1"/>
  <c r="S153" i="27"/>
  <c r="S154" i="27"/>
  <c r="S155" i="27"/>
  <c r="T155" i="27" s="1"/>
  <c r="S156" i="27"/>
  <c r="S157" i="27"/>
  <c r="S158" i="27"/>
  <c r="T158" i="27" s="1"/>
  <c r="S159" i="27"/>
  <c r="T159" i="27" s="1"/>
  <c r="S160" i="27"/>
  <c r="T160" i="27" s="1"/>
  <c r="S161" i="27"/>
  <c r="S162" i="27"/>
  <c r="S163" i="27"/>
  <c r="S164" i="27"/>
  <c r="AD22" i="27"/>
  <c r="AD23" i="27"/>
  <c r="AD24" i="27"/>
  <c r="AD25" i="27"/>
  <c r="AD26" i="27"/>
  <c r="AD27" i="27"/>
  <c r="AD28" i="27"/>
  <c r="AD46" i="27"/>
  <c r="AD47" i="27"/>
  <c r="AD48" i="27"/>
  <c r="AD49" i="27"/>
  <c r="AD50" i="27"/>
  <c r="AD51" i="27"/>
  <c r="AD52" i="27"/>
  <c r="AD53" i="27"/>
  <c r="AD54" i="27"/>
  <c r="AD55" i="27"/>
  <c r="AD56" i="27"/>
  <c r="AD57" i="27"/>
  <c r="AD58" i="27"/>
  <c r="AD59" i="27"/>
  <c r="AD60" i="27"/>
  <c r="AD61" i="27"/>
  <c r="AD62" i="27"/>
  <c r="AD63" i="27"/>
  <c r="AD64" i="27"/>
  <c r="AD65" i="27"/>
  <c r="AD73" i="27"/>
  <c r="AD74" i="27"/>
  <c r="AD75" i="27"/>
  <c r="AD76" i="27"/>
  <c r="AD77" i="27"/>
  <c r="AD78" i="27"/>
  <c r="AD79" i="27"/>
  <c r="AD80" i="27"/>
  <c r="AD81" i="27"/>
  <c r="AD82" i="27"/>
  <c r="AD83" i="27"/>
  <c r="AD84" i="27"/>
  <c r="AD85" i="27"/>
  <c r="AD86" i="27"/>
  <c r="AD87" i="27"/>
  <c r="AD88" i="27"/>
  <c r="AD89" i="27"/>
  <c r="AD90" i="27"/>
  <c r="AD91" i="27"/>
  <c r="AD92" i="27"/>
  <c r="AD93" i="27"/>
  <c r="AD94" i="27"/>
  <c r="AD95" i="27"/>
  <c r="AD96" i="27"/>
  <c r="AD97" i="27"/>
  <c r="AD98" i="27"/>
  <c r="AD99" i="27"/>
  <c r="AD100" i="27"/>
  <c r="AD101" i="27"/>
  <c r="AD102" i="27"/>
  <c r="AD103" i="27"/>
  <c r="AD104" i="27"/>
  <c r="AD105" i="27"/>
  <c r="AD106" i="27"/>
  <c r="AD107" i="27"/>
  <c r="AD108" i="27"/>
  <c r="AD113" i="27"/>
  <c r="AD114" i="27"/>
  <c r="AD115" i="27"/>
  <c r="AD116" i="27"/>
  <c r="AD117" i="27"/>
  <c r="AD118" i="27"/>
  <c r="AD119" i="27"/>
  <c r="AD120" i="27"/>
  <c r="AD121" i="27"/>
  <c r="AD122" i="27"/>
  <c r="AD123" i="27"/>
  <c r="AD124" i="27"/>
  <c r="AD125" i="27"/>
  <c r="AD126" i="27"/>
  <c r="AD127" i="27"/>
  <c r="AD128" i="27"/>
  <c r="AD129" i="27"/>
  <c r="AD130" i="27"/>
  <c r="AD131" i="27"/>
  <c r="AD132" i="27"/>
  <c r="AD133" i="27"/>
  <c r="AD134" i="27"/>
  <c r="AD135" i="27"/>
  <c r="AD136" i="27"/>
  <c r="AD137" i="27"/>
  <c r="AD138" i="27"/>
  <c r="AD139" i="27"/>
  <c r="AD141" i="27"/>
  <c r="AD142" i="27"/>
  <c r="AD143" i="27"/>
  <c r="AD144" i="27"/>
  <c r="AD145" i="27"/>
  <c r="AD146" i="27"/>
  <c r="AD147" i="27"/>
  <c r="AD148" i="27"/>
  <c r="AD149" i="27"/>
  <c r="AD150" i="27"/>
  <c r="AD151" i="27"/>
  <c r="AD152" i="27"/>
  <c r="AD153" i="27"/>
  <c r="AD154" i="27"/>
  <c r="AD155" i="27"/>
  <c r="AD156" i="27"/>
  <c r="AD157" i="27"/>
  <c r="AD158" i="27"/>
  <c r="AD159" i="27"/>
  <c r="AD160" i="27"/>
  <c r="AD161" i="27"/>
  <c r="AD162" i="27"/>
  <c r="AD163" i="27"/>
  <c r="AD164" i="27"/>
  <c r="AE22" i="27"/>
  <c r="AE23" i="27"/>
  <c r="AE24" i="27"/>
  <c r="AE25" i="27"/>
  <c r="AE26" i="27"/>
  <c r="AE27" i="27"/>
  <c r="AE28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2" i="27"/>
  <c r="AE63" i="27"/>
  <c r="AE64" i="27"/>
  <c r="AE65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6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7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1" i="27"/>
  <c r="AE142" i="27"/>
  <c r="AE143" i="27"/>
  <c r="AE144" i="27"/>
  <c r="AE145" i="27"/>
  <c r="AE146" i="27"/>
  <c r="AE147" i="27"/>
  <c r="AE148" i="27"/>
  <c r="AE149" i="27"/>
  <c r="AE150" i="27"/>
  <c r="AE151" i="27"/>
  <c r="AE152" i="27"/>
  <c r="AE153" i="27"/>
  <c r="AE154" i="27"/>
  <c r="AE155" i="27"/>
  <c r="AE156" i="27"/>
  <c r="AE157" i="27"/>
  <c r="AE158" i="27"/>
  <c r="AE159" i="27"/>
  <c r="AE160" i="27"/>
  <c r="AE161" i="27"/>
  <c r="AE162" i="27"/>
  <c r="AE163" i="27"/>
  <c r="AE164" i="27"/>
  <c r="AF22" i="27"/>
  <c r="AF23" i="27"/>
  <c r="AF24" i="27"/>
  <c r="AF25" i="27"/>
  <c r="AF26" i="27"/>
  <c r="AG22" i="27"/>
  <c r="AG23" i="27"/>
  <c r="AG24" i="27"/>
  <c r="AG25" i="27"/>
  <c r="AG26" i="27"/>
  <c r="AG27" i="27"/>
  <c r="AG28" i="27"/>
  <c r="AG46" i="27"/>
  <c r="AG47" i="27"/>
  <c r="AG48" i="27"/>
  <c r="AG49" i="27"/>
  <c r="AG50" i="27"/>
  <c r="AG51" i="27"/>
  <c r="AG52" i="27"/>
  <c r="AG53" i="27"/>
  <c r="AG54" i="27"/>
  <c r="AG55" i="27"/>
  <c r="AG56" i="27"/>
  <c r="AG57" i="27"/>
  <c r="AG58" i="27"/>
  <c r="AG59" i="27"/>
  <c r="AG60" i="27"/>
  <c r="AG61" i="27"/>
  <c r="AG62" i="27"/>
  <c r="AG63" i="27"/>
  <c r="AG64" i="27"/>
  <c r="AG65" i="27"/>
  <c r="AG73" i="27"/>
  <c r="AG74" i="27"/>
  <c r="AG75" i="27"/>
  <c r="AG76" i="27"/>
  <c r="AG77" i="27"/>
  <c r="AG78" i="27"/>
  <c r="AG79" i="27"/>
  <c r="AG80" i="27"/>
  <c r="AG81" i="27"/>
  <c r="AG82" i="27"/>
  <c r="AG83" i="27"/>
  <c r="AG84" i="27"/>
  <c r="AG85" i="27"/>
  <c r="AG86" i="27"/>
  <c r="AG87" i="27"/>
  <c r="AG88" i="27"/>
  <c r="AG89" i="27"/>
  <c r="AG90" i="27"/>
  <c r="AG91" i="27"/>
  <c r="AG92" i="27"/>
  <c r="AG93" i="27"/>
  <c r="AG94" i="27"/>
  <c r="AG95" i="27"/>
  <c r="AG96" i="27"/>
  <c r="AG97" i="27"/>
  <c r="AG98" i="27"/>
  <c r="AG99" i="27"/>
  <c r="AG100" i="27"/>
  <c r="AG101" i="27"/>
  <c r="AG102" i="27"/>
  <c r="AG103" i="27"/>
  <c r="AG104" i="27"/>
  <c r="AG105" i="27"/>
  <c r="AG106" i="27"/>
  <c r="AG107" i="27"/>
  <c r="AG108" i="27"/>
  <c r="AG113" i="27"/>
  <c r="AG114" i="27"/>
  <c r="AG115" i="27"/>
  <c r="AG116" i="27"/>
  <c r="AG117" i="27"/>
  <c r="AG118" i="27"/>
  <c r="AG119" i="27"/>
  <c r="AG120" i="27"/>
  <c r="AG121" i="27"/>
  <c r="AG122" i="27"/>
  <c r="AG123" i="27"/>
  <c r="AG124" i="27"/>
  <c r="AG125" i="27"/>
  <c r="AG126" i="27"/>
  <c r="AG127" i="27"/>
  <c r="AG128" i="27"/>
  <c r="AG129" i="27"/>
  <c r="AG130" i="27"/>
  <c r="AG131" i="27"/>
  <c r="AG132" i="27"/>
  <c r="AG133" i="27"/>
  <c r="AG134" i="27"/>
  <c r="AG135" i="27"/>
  <c r="AG136" i="27"/>
  <c r="AG137" i="27"/>
  <c r="AG138" i="27"/>
  <c r="AG139" i="27"/>
  <c r="AG141" i="27"/>
  <c r="AG142" i="27"/>
  <c r="AG143" i="27"/>
  <c r="AG144" i="27"/>
  <c r="AG145" i="27"/>
  <c r="AG146" i="27"/>
  <c r="AG147" i="27"/>
  <c r="AG148" i="27"/>
  <c r="AG149" i="27"/>
  <c r="AG150" i="27"/>
  <c r="AG151" i="27"/>
  <c r="AG152" i="27"/>
  <c r="AG153" i="27"/>
  <c r="AG154" i="27"/>
  <c r="AG155" i="27"/>
  <c r="AG156" i="27"/>
  <c r="AG157" i="27"/>
  <c r="AG158" i="27"/>
  <c r="AG159" i="27"/>
  <c r="AG160" i="27"/>
  <c r="AG161" i="27"/>
  <c r="AG162" i="27"/>
  <c r="AG163" i="27"/>
  <c r="AG164" i="27"/>
  <c r="K12" i="27"/>
  <c r="C12" i="27"/>
  <c r="D12" i="27"/>
  <c r="H12" i="27"/>
  <c r="S12" i="27"/>
  <c r="AD12" i="27"/>
  <c r="AE12" i="27"/>
  <c r="AF12" i="27"/>
  <c r="AG12" i="27"/>
  <c r="K7" i="27"/>
  <c r="K8" i="27"/>
  <c r="K9" i="27"/>
  <c r="K10" i="27"/>
  <c r="K11" i="27"/>
  <c r="K14" i="27"/>
  <c r="K15" i="27"/>
  <c r="K16" i="27"/>
  <c r="K17" i="27"/>
  <c r="K18" i="27"/>
  <c r="K5" i="27"/>
  <c r="C7" i="27"/>
  <c r="D7" i="27"/>
  <c r="H7" i="27"/>
  <c r="S7" i="27"/>
  <c r="AD7" i="27"/>
  <c r="AE7" i="27"/>
  <c r="AF7" i="27"/>
  <c r="AG7" i="27"/>
  <c r="C8" i="27"/>
  <c r="D8" i="27"/>
  <c r="H8" i="27"/>
  <c r="S8" i="27"/>
  <c r="AD8" i="27"/>
  <c r="AE8" i="27"/>
  <c r="AF8" i="27"/>
  <c r="AG8" i="27"/>
  <c r="C9" i="27"/>
  <c r="D9" i="27"/>
  <c r="H9" i="27"/>
  <c r="S9" i="27"/>
  <c r="AD9" i="27"/>
  <c r="AE9" i="27"/>
  <c r="AF9" i="27"/>
  <c r="AG9" i="27"/>
  <c r="C10" i="27"/>
  <c r="D10" i="27"/>
  <c r="H10" i="27"/>
  <c r="S10" i="27"/>
  <c r="AD10" i="27"/>
  <c r="AE10" i="27"/>
  <c r="AF10" i="27"/>
  <c r="AG10" i="27"/>
  <c r="C11" i="27"/>
  <c r="D11" i="27"/>
  <c r="H11" i="27"/>
  <c r="S11" i="27"/>
  <c r="AD11" i="27"/>
  <c r="AE11" i="27"/>
  <c r="AF11" i="27"/>
  <c r="AG11" i="27"/>
  <c r="C14" i="27"/>
  <c r="D14" i="27"/>
  <c r="H14" i="27"/>
  <c r="S14" i="27"/>
  <c r="AD14" i="27"/>
  <c r="AE14" i="27"/>
  <c r="AF14" i="27"/>
  <c r="AG14" i="27"/>
  <c r="C15" i="27"/>
  <c r="D15" i="27"/>
  <c r="H15" i="27"/>
  <c r="S15" i="27"/>
  <c r="AD15" i="27"/>
  <c r="AE15" i="27"/>
  <c r="AF15" i="27"/>
  <c r="AG15" i="27"/>
  <c r="C16" i="27"/>
  <c r="D16" i="27"/>
  <c r="H16" i="27"/>
  <c r="S16" i="27"/>
  <c r="AD16" i="27"/>
  <c r="AE16" i="27"/>
  <c r="AF16" i="27"/>
  <c r="AG16" i="27"/>
  <c r="C17" i="27"/>
  <c r="D17" i="27"/>
  <c r="H17" i="27"/>
  <c r="S17" i="27"/>
  <c r="AD17" i="27"/>
  <c r="AE17" i="27"/>
  <c r="AF17" i="27"/>
  <c r="AG17" i="27"/>
  <c r="C18" i="27"/>
  <c r="D18" i="27"/>
  <c r="H18" i="27"/>
  <c r="S18" i="27"/>
  <c r="AD18" i="27"/>
  <c r="AE18" i="27"/>
  <c r="AF18" i="27"/>
  <c r="AG18" i="27"/>
  <c r="C5" i="27"/>
  <c r="D5" i="27"/>
  <c r="H5" i="27"/>
  <c r="S5" i="27"/>
  <c r="AD5" i="27"/>
  <c r="AE5" i="27"/>
  <c r="AF5" i="27"/>
  <c r="AG5" i="27"/>
  <c r="T162" i="27" l="1"/>
  <c r="T115" i="27"/>
  <c r="U115" i="27" s="1"/>
  <c r="AL115" i="27" s="1"/>
  <c r="T95" i="27"/>
  <c r="U160" i="27"/>
  <c r="AL160" i="27" s="1"/>
  <c r="T157" i="27"/>
  <c r="U157" i="27" s="1"/>
  <c r="AL157" i="27" s="1"/>
  <c r="U159" i="27"/>
  <c r="AL159" i="27" s="1"/>
  <c r="U164" i="27"/>
  <c r="AL164" i="27" s="1"/>
  <c r="U163" i="27"/>
  <c r="AL163" i="27" s="1"/>
  <c r="T153" i="27"/>
  <c r="U153" i="27" s="1"/>
  <c r="AL153" i="27" s="1"/>
  <c r="U158" i="27"/>
  <c r="AL158" i="27" s="1"/>
  <c r="T154" i="27"/>
  <c r="U154" i="27" s="1"/>
  <c r="AL154" i="27" s="1"/>
  <c r="T151" i="27"/>
  <c r="U151" i="27" s="1"/>
  <c r="AL151" i="27" s="1"/>
  <c r="T146" i="27"/>
  <c r="U146" i="27" s="1"/>
  <c r="AL146" i="27" s="1"/>
  <c r="T139" i="27"/>
  <c r="U139" i="27" s="1"/>
  <c r="AL139" i="27" s="1"/>
  <c r="T60" i="27"/>
  <c r="U60" i="27" s="1"/>
  <c r="AL60" i="27" s="1"/>
  <c r="T52" i="27"/>
  <c r="U52" i="27" s="1"/>
  <c r="AL52" i="27" s="1"/>
  <c r="T147" i="27"/>
  <c r="U147" i="27" s="1"/>
  <c r="AL147" i="27" s="1"/>
  <c r="T25" i="27"/>
  <c r="U25" i="27" s="1"/>
  <c r="AL25" i="27" s="1"/>
  <c r="T141" i="27"/>
  <c r="U141" i="27" s="1"/>
  <c r="AL141" i="27" s="1"/>
  <c r="T116" i="27"/>
  <c r="U116" i="27" s="1"/>
  <c r="AL116" i="27" s="1"/>
  <c r="T143" i="27"/>
  <c r="U143" i="27" s="1"/>
  <c r="AL143" i="27" s="1"/>
  <c r="T118" i="27"/>
  <c r="U118" i="27" s="1"/>
  <c r="AL118" i="27" s="1"/>
  <c r="T47" i="27"/>
  <c r="U47" i="27" s="1"/>
  <c r="AL47" i="27" s="1"/>
  <c r="T144" i="27"/>
  <c r="U144" i="27" s="1"/>
  <c r="AL144" i="27" s="1"/>
  <c r="T142" i="27"/>
  <c r="U142" i="27" s="1"/>
  <c r="AL142" i="27" s="1"/>
  <c r="T125" i="27"/>
  <c r="U125" i="27" s="1"/>
  <c r="AL125" i="27" s="1"/>
  <c r="T117" i="27"/>
  <c r="U117" i="27" s="1"/>
  <c r="AL117" i="27" s="1"/>
  <c r="T85" i="27"/>
  <c r="U85" i="27" s="1"/>
  <c r="AL85" i="27" s="1"/>
  <c r="T61" i="27"/>
  <c r="U61" i="27" s="1"/>
  <c r="AL61" i="27" s="1"/>
  <c r="T75" i="27"/>
  <c r="U75" i="27" s="1"/>
  <c r="AL75" i="27" s="1"/>
  <c r="T122" i="27"/>
  <c r="U122" i="27" s="1"/>
  <c r="AL122" i="27" s="1"/>
  <c r="T20" i="27"/>
  <c r="U20" i="27" s="1"/>
  <c r="AL20" i="27" s="1"/>
  <c r="U156" i="27"/>
  <c r="AL156" i="27" s="1"/>
  <c r="U123" i="27"/>
  <c r="AL123" i="27" s="1"/>
  <c r="U148" i="27"/>
  <c r="AL148" i="27" s="1"/>
  <c r="U150" i="27"/>
  <c r="AL150" i="27" s="1"/>
  <c r="T46" i="27"/>
  <c r="U46" i="27" s="1"/>
  <c r="AL46" i="27" s="1"/>
  <c r="U155" i="27"/>
  <c r="AL155" i="27" s="1"/>
  <c r="U90" i="27"/>
  <c r="AL90" i="27" s="1"/>
  <c r="U82" i="27"/>
  <c r="AL82" i="27" s="1"/>
  <c r="U77" i="27"/>
  <c r="AL77" i="27" s="1"/>
  <c r="U91" i="27"/>
  <c r="AL91" i="27" s="1"/>
  <c r="U162" i="27"/>
  <c r="AL162" i="27" s="1"/>
  <c r="T121" i="27"/>
  <c r="U121" i="27" s="1"/>
  <c r="AL121" i="27" s="1"/>
  <c r="U81" i="27"/>
  <c r="AL81" i="27" s="1"/>
  <c r="U73" i="27"/>
  <c r="AL73" i="27" s="1"/>
  <c r="U78" i="27"/>
  <c r="AL78" i="27" s="1"/>
  <c r="U161" i="27"/>
  <c r="AL161" i="27" s="1"/>
  <c r="U145" i="27"/>
  <c r="AL145" i="27" s="1"/>
  <c r="T120" i="27"/>
  <c r="U120" i="27" s="1"/>
  <c r="AL120" i="27" s="1"/>
  <c r="U96" i="27"/>
  <c r="AL96" i="27" s="1"/>
  <c r="U80" i="27"/>
  <c r="AL80" i="27" s="1"/>
  <c r="T21" i="27"/>
  <c r="U149" i="27"/>
  <c r="AL149" i="27" s="1"/>
  <c r="U152" i="27"/>
  <c r="AL152" i="27" s="1"/>
  <c r="T127" i="27"/>
  <c r="T119" i="27"/>
  <c r="U95" i="27"/>
  <c r="AL95" i="27" s="1"/>
  <c r="U132" i="27"/>
  <c r="AL132" i="27" s="1"/>
  <c r="U134" i="27"/>
  <c r="AL134" i="27" s="1"/>
  <c r="U133" i="27"/>
  <c r="AL133" i="27" s="1"/>
  <c r="U136" i="27"/>
  <c r="AL136" i="27" s="1"/>
  <c r="U135" i="27"/>
  <c r="AL135" i="27" s="1"/>
  <c r="U124" i="27"/>
  <c r="AL124" i="27" s="1"/>
  <c r="AL113" i="27"/>
  <c r="U108" i="27"/>
  <c r="AL108" i="27" s="1"/>
  <c r="U104" i="27"/>
  <c r="AL104" i="27" s="1"/>
  <c r="U103" i="27"/>
  <c r="AL103" i="27" s="1"/>
  <c r="U102" i="27"/>
  <c r="AL102" i="27" s="1"/>
  <c r="U101" i="27"/>
  <c r="AL101" i="27" s="1"/>
  <c r="U100" i="27"/>
  <c r="AL100" i="27" s="1"/>
  <c r="U99" i="27"/>
  <c r="AL99" i="27" s="1"/>
  <c r="U98" i="27"/>
  <c r="AL98" i="27" s="1"/>
  <c r="U94" i="27"/>
  <c r="AL94" i="27" s="1"/>
  <c r="U93" i="27"/>
  <c r="AL93" i="27" s="1"/>
  <c r="U92" i="27"/>
  <c r="AL92" i="27" s="1"/>
  <c r="U79" i="27"/>
  <c r="AL79" i="27" s="1"/>
  <c r="U88" i="27"/>
  <c r="AL88" i="27" s="1"/>
  <c r="U87" i="27"/>
  <c r="AL87" i="27" s="1"/>
  <c r="U84" i="27"/>
  <c r="AL84" i="27" s="1"/>
  <c r="U83" i="27"/>
  <c r="AL83" i="27" s="1"/>
  <c r="U74" i="27"/>
  <c r="AL74" i="27" s="1"/>
  <c r="T138" i="27"/>
  <c r="T137" i="27"/>
  <c r="T129" i="27"/>
  <c r="T128" i="27"/>
  <c r="T114" i="27"/>
  <c r="U114" i="27" s="1"/>
  <c r="T105" i="27"/>
  <c r="T97" i="27"/>
  <c r="T89" i="27"/>
  <c r="T64" i="27"/>
  <c r="T56" i="27"/>
  <c r="T48" i="27"/>
  <c r="T23" i="27"/>
  <c r="T106" i="27"/>
  <c r="T49" i="27"/>
  <c r="T63" i="27"/>
  <c r="T55" i="27"/>
  <c r="T86" i="27"/>
  <c r="T76" i="27"/>
  <c r="T53" i="27"/>
  <c r="T28" i="27"/>
  <c r="T107" i="27"/>
  <c r="T65" i="27"/>
  <c r="T16" i="27"/>
  <c r="T7" i="27"/>
  <c r="T57" i="27"/>
  <c r="T24" i="27"/>
  <c r="T11" i="27"/>
  <c r="T22" i="27"/>
  <c r="T62" i="27"/>
  <c r="T54" i="27"/>
  <c r="T27" i="27"/>
  <c r="T12" i="27"/>
  <c r="T59" i="27"/>
  <c r="T51" i="27"/>
  <c r="T26" i="27"/>
  <c r="T58" i="27"/>
  <c r="T50" i="27"/>
  <c r="T18" i="27"/>
  <c r="T14" i="27"/>
  <c r="T8" i="27"/>
  <c r="T15" i="27"/>
  <c r="T9" i="27"/>
  <c r="T17" i="27"/>
  <c r="T10" i="27"/>
  <c r="T5" i="27"/>
  <c r="U57" i="27" l="1"/>
  <c r="AL57" i="27" s="1"/>
  <c r="U58" i="27"/>
  <c r="AL58" i="27" s="1"/>
  <c r="U59" i="27"/>
  <c r="AL59" i="27" s="1"/>
  <c r="U56" i="27"/>
  <c r="AL56" i="27" s="1"/>
  <c r="U119" i="27"/>
  <c r="AL119" i="27" s="1"/>
  <c r="U15" i="27"/>
  <c r="AL15" i="27" s="1"/>
  <c r="U26" i="27"/>
  <c r="AL26" i="27" s="1"/>
  <c r="U24" i="27"/>
  <c r="AL24" i="27" s="1"/>
  <c r="U97" i="27"/>
  <c r="AL97" i="27" s="1"/>
  <c r="U8" i="27"/>
  <c r="AL8" i="27" s="1"/>
  <c r="U11" i="27"/>
  <c r="AL11" i="27" s="1"/>
  <c r="U106" i="27"/>
  <c r="AL106" i="27" s="1"/>
  <c r="U21" i="27"/>
  <c r="AL21" i="27" s="1"/>
  <c r="U14" i="27"/>
  <c r="AL14" i="27" s="1"/>
  <c r="U62" i="27"/>
  <c r="AL62" i="27" s="1"/>
  <c r="U7" i="27"/>
  <c r="AL7" i="27" s="1"/>
  <c r="U23" i="27"/>
  <c r="AL23" i="27" s="1"/>
  <c r="U5" i="27"/>
  <c r="AL5" i="27" s="1"/>
  <c r="U18" i="27"/>
  <c r="AL18" i="27" s="1"/>
  <c r="U22" i="27"/>
  <c r="AL22" i="27" s="1"/>
  <c r="U16" i="27"/>
  <c r="AL16" i="27" s="1"/>
  <c r="U10" i="27"/>
  <c r="AL10" i="27" s="1"/>
  <c r="U86" i="27"/>
  <c r="AL86" i="27" s="1"/>
  <c r="U17" i="27"/>
  <c r="AL17" i="27" s="1"/>
  <c r="U64" i="27"/>
  <c r="AL64" i="27" s="1"/>
  <c r="U126" i="27"/>
  <c r="AL126" i="27" s="1"/>
  <c r="U65" i="27"/>
  <c r="AL65" i="27" s="1"/>
  <c r="U63" i="27"/>
  <c r="AL63" i="27" s="1"/>
  <c r="U127" i="27"/>
  <c r="AL127" i="27" s="1"/>
  <c r="U9" i="27"/>
  <c r="AL9" i="27" s="1"/>
  <c r="U89" i="27"/>
  <c r="AL89" i="27" s="1"/>
  <c r="U129" i="27"/>
  <c r="AL129" i="27" s="1"/>
  <c r="U128" i="27"/>
  <c r="AL128" i="27" s="1"/>
  <c r="U137" i="27"/>
  <c r="AL137" i="27" s="1"/>
  <c r="U138" i="27"/>
  <c r="AL138" i="27" s="1"/>
  <c r="AL114" i="27"/>
  <c r="U107" i="27"/>
  <c r="AL107" i="27" s="1"/>
  <c r="U105" i="27"/>
  <c r="AL105" i="27" s="1"/>
  <c r="U76" i="27"/>
  <c r="AL76" i="27" s="1"/>
  <c r="U54" i="27"/>
  <c r="AL54" i="27" s="1"/>
  <c r="U55" i="27"/>
  <c r="AL55" i="27" s="1"/>
  <c r="U53" i="27"/>
  <c r="AL53" i="27" s="1"/>
  <c r="U49" i="27"/>
  <c r="AL49" i="27" s="1"/>
  <c r="U50" i="27"/>
  <c r="AL50" i="27" s="1"/>
  <c r="U51" i="27"/>
  <c r="AL51" i="27" s="1"/>
  <c r="U48" i="27"/>
  <c r="AL48" i="27" s="1"/>
  <c r="U28" i="27"/>
  <c r="AL28" i="27" s="1"/>
  <c r="U27" i="27"/>
  <c r="AL27" i="27" s="1"/>
  <c r="S68" i="32" l="1"/>
  <c r="S185" i="32"/>
  <c r="S184" i="32"/>
  <c r="S183" i="32"/>
  <c r="S182" i="32"/>
  <c r="S181" i="32"/>
  <c r="S180" i="32"/>
  <c r="S179" i="32"/>
  <c r="S178" i="32"/>
  <c r="S177" i="32"/>
  <c r="S176" i="32"/>
  <c r="S175" i="32"/>
  <c r="S174" i="32"/>
  <c r="S173" i="32"/>
  <c r="S172" i="32"/>
  <c r="S171" i="32"/>
  <c r="S170" i="32"/>
  <c r="S169" i="32"/>
  <c r="S168" i="32"/>
  <c r="S167" i="32"/>
  <c r="S166" i="32"/>
  <c r="S165" i="32"/>
  <c r="S164" i="32"/>
  <c r="S163" i="32"/>
  <c r="S162" i="32"/>
  <c r="S161" i="32"/>
  <c r="S160" i="32"/>
  <c r="S159" i="32"/>
  <c r="S158" i="32"/>
  <c r="S157" i="32"/>
  <c r="S156" i="32"/>
  <c r="S155" i="32"/>
  <c r="S154" i="32"/>
  <c r="S153" i="32"/>
  <c r="S152" i="32"/>
  <c r="S151" i="32"/>
  <c r="S150" i="32"/>
  <c r="S149" i="32"/>
  <c r="S148" i="32"/>
  <c r="S147" i="32"/>
  <c r="S146" i="32"/>
  <c r="S145" i="32"/>
  <c r="S144" i="32"/>
  <c r="S143" i="32"/>
  <c r="S142" i="32"/>
  <c r="S141" i="32"/>
  <c r="S140" i="32"/>
  <c r="S139" i="32"/>
  <c r="S138" i="32"/>
  <c r="S137" i="32"/>
  <c r="S136" i="32"/>
  <c r="S135" i="32"/>
  <c r="S134" i="32"/>
  <c r="S133" i="32"/>
  <c r="S132" i="32"/>
  <c r="S131" i="32"/>
  <c r="S130" i="32"/>
  <c r="S129" i="32"/>
  <c r="S128" i="32"/>
  <c r="S127" i="32"/>
  <c r="S126" i="32"/>
  <c r="S125" i="32"/>
  <c r="S124" i="32"/>
  <c r="S123" i="32"/>
  <c r="S122" i="32"/>
  <c r="S121" i="32"/>
  <c r="S120" i="32"/>
  <c r="S119" i="32"/>
  <c r="S118" i="32"/>
  <c r="S117" i="32"/>
  <c r="S116" i="32"/>
  <c r="S115" i="32"/>
  <c r="S114" i="32"/>
  <c r="S113" i="32"/>
  <c r="S112" i="32"/>
  <c r="S111" i="32"/>
  <c r="S110" i="32"/>
  <c r="S109" i="32"/>
  <c r="S108" i="32"/>
  <c r="S107" i="32"/>
  <c r="S106" i="32"/>
  <c r="S105" i="32"/>
  <c r="S104" i="32"/>
  <c r="S103" i="32"/>
  <c r="S102" i="32"/>
  <c r="S101" i="32"/>
  <c r="S100" i="32"/>
  <c r="S99" i="32"/>
  <c r="S98" i="32"/>
  <c r="S97" i="32"/>
  <c r="S96" i="32"/>
  <c r="S95" i="32"/>
  <c r="S94" i="32"/>
  <c r="S93" i="32"/>
  <c r="S92" i="32"/>
  <c r="S91" i="32"/>
  <c r="S90" i="32"/>
  <c r="S89" i="32"/>
  <c r="S88" i="32"/>
  <c r="S87" i="32"/>
  <c r="S86" i="32"/>
  <c r="S85" i="32"/>
  <c r="S84" i="32"/>
  <c r="S83" i="32"/>
  <c r="S82" i="32"/>
  <c r="S81" i="32"/>
  <c r="S80" i="32"/>
  <c r="S79" i="32"/>
  <c r="S78" i="32"/>
  <c r="S77" i="32"/>
  <c r="S76" i="32"/>
  <c r="S75" i="32"/>
  <c r="S74" i="32"/>
  <c r="S73" i="32"/>
  <c r="S72" i="32"/>
  <c r="S71" i="32"/>
  <c r="S70" i="32"/>
  <c r="S69" i="32"/>
  <c r="B4" i="32"/>
  <c r="G4" i="32" s="1"/>
  <c r="H4" i="32" s="1"/>
  <c r="G3" i="32"/>
  <c r="H3" i="32" s="1"/>
  <c r="D3" i="32"/>
  <c r="C3" i="32"/>
  <c r="D4" i="27"/>
  <c r="C4" i="27"/>
  <c r="D3" i="27"/>
  <c r="C3" i="27"/>
  <c r="D2" i="27"/>
  <c r="C2" i="27"/>
  <c r="C4" i="32" l="1"/>
  <c r="D4" i="32"/>
  <c r="B5" i="32"/>
  <c r="B1" i="8"/>
  <c r="BS5" i="20"/>
  <c r="BS6" i="20"/>
  <c r="BS7" i="20"/>
  <c r="BS8" i="20"/>
  <c r="BS9" i="20"/>
  <c r="BS10" i="20"/>
  <c r="BS11" i="20"/>
  <c r="BS12" i="20"/>
  <c r="BS13" i="20"/>
  <c r="BS14" i="20"/>
  <c r="BS15" i="20"/>
  <c r="BS16" i="20"/>
  <c r="BS17" i="20"/>
  <c r="BS18" i="20"/>
  <c r="BS19" i="20"/>
  <c r="BS20" i="20"/>
  <c r="BS21" i="20"/>
  <c r="BS22" i="20"/>
  <c r="BS23" i="20"/>
  <c r="BS24" i="20"/>
  <c r="BS25" i="20"/>
  <c r="BS26" i="20"/>
  <c r="BS27" i="20"/>
  <c r="BS28" i="20"/>
  <c r="BS29" i="20"/>
  <c r="BS30" i="20"/>
  <c r="BS31" i="20"/>
  <c r="BS32" i="20"/>
  <c r="BS33" i="20"/>
  <c r="BS34" i="20"/>
  <c r="BS35" i="20"/>
  <c r="BS36" i="20"/>
  <c r="BS37" i="20"/>
  <c r="BS38" i="20"/>
  <c r="BS39" i="20"/>
  <c r="BS40" i="20"/>
  <c r="BS41" i="20"/>
  <c r="BS42" i="20"/>
  <c r="BS43" i="20"/>
  <c r="BS44" i="20"/>
  <c r="BS45" i="20"/>
  <c r="BS46" i="20"/>
  <c r="BS47" i="20"/>
  <c r="BS48" i="20"/>
  <c r="BS49" i="20"/>
  <c r="BS50" i="20"/>
  <c r="BS51" i="20"/>
  <c r="BS52" i="20"/>
  <c r="BS53" i="20"/>
  <c r="BS54" i="20"/>
  <c r="BS55" i="20"/>
  <c r="BS56" i="20"/>
  <c r="BS57" i="20"/>
  <c r="BS58" i="20"/>
  <c r="BS59" i="20"/>
  <c r="BS60" i="20"/>
  <c r="BS61" i="20"/>
  <c r="BS62" i="20"/>
  <c r="BS63" i="20"/>
  <c r="BS64" i="20"/>
  <c r="BS65" i="20"/>
  <c r="BS66" i="20"/>
  <c r="BS67" i="20"/>
  <c r="BS68" i="20"/>
  <c r="BS69" i="20"/>
  <c r="BS70" i="20"/>
  <c r="BS71" i="20"/>
  <c r="BS72" i="20"/>
  <c r="BS73" i="20"/>
  <c r="BS74" i="20"/>
  <c r="BS75" i="20"/>
  <c r="BS76" i="20"/>
  <c r="BS77" i="20"/>
  <c r="BS78" i="20"/>
  <c r="BS79" i="20"/>
  <c r="BS80" i="20"/>
  <c r="BS81" i="20"/>
  <c r="BS82" i="20"/>
  <c r="BS83" i="20"/>
  <c r="BS84" i="20"/>
  <c r="BS85" i="20"/>
  <c r="BS86" i="20"/>
  <c r="BS87" i="20"/>
  <c r="BS88" i="20"/>
  <c r="BS89" i="20"/>
  <c r="BS90" i="20"/>
  <c r="BS91" i="20"/>
  <c r="BS92" i="20"/>
  <c r="BS93" i="20"/>
  <c r="BS94" i="20"/>
  <c r="BS95" i="20"/>
  <c r="BS96" i="20"/>
  <c r="BS97" i="20"/>
  <c r="BS98" i="20"/>
  <c r="BS99" i="20"/>
  <c r="BS100" i="20"/>
  <c r="BS101" i="20"/>
  <c r="BS102" i="20"/>
  <c r="BS103" i="20"/>
  <c r="BS104" i="20"/>
  <c r="BS105" i="20"/>
  <c r="BS106" i="20"/>
  <c r="BS107" i="20"/>
  <c r="BS108" i="20"/>
  <c r="BS109" i="20"/>
  <c r="BS110" i="20"/>
  <c r="BS111" i="20"/>
  <c r="BS112" i="20"/>
  <c r="BS113" i="20"/>
  <c r="BS114" i="20"/>
  <c r="BS115" i="20"/>
  <c r="BS116" i="20"/>
  <c r="BS117" i="20"/>
  <c r="BS118" i="20"/>
  <c r="BS119" i="20"/>
  <c r="BS120" i="20"/>
  <c r="BS121" i="20"/>
  <c r="BS122" i="20"/>
  <c r="BS123" i="20"/>
  <c r="BS124" i="20"/>
  <c r="BS125" i="20"/>
  <c r="BS126" i="20"/>
  <c r="BS127" i="20"/>
  <c r="BS128" i="20"/>
  <c r="BS129" i="20"/>
  <c r="BS130" i="20"/>
  <c r="BS131" i="20"/>
  <c r="BS132" i="20"/>
  <c r="BS133" i="20"/>
  <c r="BS134" i="20"/>
  <c r="BS135" i="20"/>
  <c r="BS136" i="20"/>
  <c r="BS137" i="20"/>
  <c r="BS138" i="20"/>
  <c r="BS139" i="20"/>
  <c r="BS140" i="20"/>
  <c r="BS141" i="20"/>
  <c r="BS142" i="20"/>
  <c r="BS143" i="20"/>
  <c r="BS144" i="20"/>
  <c r="BS145" i="20"/>
  <c r="BS146" i="20"/>
  <c r="BS147" i="20"/>
  <c r="BS148" i="20"/>
  <c r="BS149" i="20"/>
  <c r="BS150" i="20"/>
  <c r="BS151" i="20"/>
  <c r="BS152" i="20"/>
  <c r="BS153" i="20"/>
  <c r="BS154" i="20"/>
  <c r="BS155" i="20"/>
  <c r="BS156" i="20"/>
  <c r="BS157" i="20"/>
  <c r="BS158" i="20"/>
  <c r="BS159" i="20"/>
  <c r="BS160" i="20"/>
  <c r="BS161" i="20"/>
  <c r="BS162" i="20"/>
  <c r="BS163" i="20"/>
  <c r="BS164" i="20"/>
  <c r="BS165" i="20"/>
  <c r="BS166" i="20"/>
  <c r="BS167" i="20"/>
  <c r="BS168" i="20"/>
  <c r="BS169" i="20"/>
  <c r="BS170" i="20"/>
  <c r="BS171" i="20"/>
  <c r="BS172" i="20"/>
  <c r="BS173" i="20"/>
  <c r="BS174" i="20"/>
  <c r="BS175" i="20"/>
  <c r="BS176" i="20"/>
  <c r="BS177" i="20"/>
  <c r="BS178" i="20"/>
  <c r="BS179" i="20"/>
  <c r="BS180" i="20"/>
  <c r="BS181" i="20"/>
  <c r="BS182" i="20"/>
  <c r="BS183" i="20"/>
  <c r="BS184" i="20"/>
  <c r="BS185" i="20"/>
  <c r="BS186" i="20"/>
  <c r="BS187" i="20"/>
  <c r="BS188" i="20"/>
  <c r="BS189" i="20"/>
  <c r="BS190" i="20"/>
  <c r="BS191" i="20"/>
  <c r="BS192" i="20"/>
  <c r="BS193" i="20"/>
  <c r="BS194" i="20"/>
  <c r="BS195" i="20"/>
  <c r="BS196" i="20"/>
  <c r="BS197" i="20"/>
  <c r="BS198" i="20"/>
  <c r="BS199" i="20"/>
  <c r="BS200" i="20"/>
  <c r="BS201" i="20"/>
  <c r="BS202" i="20"/>
  <c r="BS203" i="20"/>
  <c r="BS204" i="20"/>
  <c r="BS205" i="20"/>
  <c r="BS206" i="20"/>
  <c r="BS207" i="20"/>
  <c r="BS208" i="20"/>
  <c r="BS209" i="20"/>
  <c r="BS210" i="20"/>
  <c r="BS211" i="20"/>
  <c r="BS212" i="20"/>
  <c r="BS213" i="20"/>
  <c r="BS214" i="20"/>
  <c r="BS215" i="20"/>
  <c r="BS216" i="20"/>
  <c r="BS217" i="20"/>
  <c r="BS218" i="20"/>
  <c r="BS219" i="20"/>
  <c r="BS220" i="20"/>
  <c r="BS221" i="20"/>
  <c r="BS222" i="20"/>
  <c r="BS223" i="20"/>
  <c r="BS224" i="20"/>
  <c r="BS225" i="20"/>
  <c r="BS226" i="20"/>
  <c r="BS227" i="20"/>
  <c r="BS228" i="20"/>
  <c r="BS229" i="20"/>
  <c r="BS230" i="20"/>
  <c r="BS231" i="20"/>
  <c r="BS232" i="20"/>
  <c r="BS233" i="20"/>
  <c r="BS234" i="20"/>
  <c r="BS235" i="20"/>
  <c r="BS236" i="20"/>
  <c r="BS237" i="20"/>
  <c r="BS238" i="20"/>
  <c r="BS239" i="20"/>
  <c r="BS240" i="20"/>
  <c r="BS241" i="20"/>
  <c r="BS242" i="20"/>
  <c r="BS243" i="20"/>
  <c r="BS244" i="20"/>
  <c r="BS245" i="20"/>
  <c r="BS246" i="20"/>
  <c r="BS247" i="20"/>
  <c r="BS248" i="20"/>
  <c r="BS249" i="20"/>
  <c r="BS250" i="20"/>
  <c r="BS251" i="20"/>
  <c r="BS252" i="20"/>
  <c r="BS253" i="20"/>
  <c r="BS254" i="20"/>
  <c r="BS255" i="20"/>
  <c r="BS256" i="20"/>
  <c r="BS257" i="20"/>
  <c r="BS258" i="20"/>
  <c r="BS259" i="20"/>
  <c r="BS260" i="20"/>
  <c r="BS261" i="20"/>
  <c r="BS262" i="20"/>
  <c r="BS263" i="20"/>
  <c r="BS264" i="20"/>
  <c r="BS265" i="20"/>
  <c r="BS266" i="20"/>
  <c r="BS267" i="20"/>
  <c r="BS268" i="20"/>
  <c r="BS269" i="20"/>
  <c r="BS270" i="20"/>
  <c r="BS271" i="20"/>
  <c r="BS272" i="20"/>
  <c r="BS273" i="20"/>
  <c r="BS274" i="20"/>
  <c r="BS275" i="20"/>
  <c r="BS276" i="20"/>
  <c r="BS277" i="20"/>
  <c r="BS278" i="20"/>
  <c r="BS279" i="20"/>
  <c r="BS280" i="20"/>
  <c r="BS281" i="20"/>
  <c r="BS282" i="20"/>
  <c r="B1" i="7"/>
  <c r="B4" i="31"/>
  <c r="D4" i="31" s="1"/>
  <c r="G3" i="31"/>
  <c r="H3" i="31" s="1"/>
  <c r="D3" i="31"/>
  <c r="C3" i="31"/>
  <c r="B4" i="30"/>
  <c r="G4" i="30" s="1"/>
  <c r="H4" i="30" s="1"/>
  <c r="G3" i="30"/>
  <c r="H3" i="30" s="1"/>
  <c r="D3" i="30"/>
  <c r="C3" i="30"/>
  <c r="X15" i="24"/>
  <c r="T15" i="24"/>
  <c r="D15" i="24"/>
  <c r="C15" i="24"/>
  <c r="X14" i="24"/>
  <c r="D14" i="24"/>
  <c r="C14" i="24"/>
  <c r="X13" i="24"/>
  <c r="Q13" i="24"/>
  <c r="P13" i="24"/>
  <c r="O13" i="24"/>
  <c r="D13" i="24"/>
  <c r="C13" i="24"/>
  <c r="X12" i="24"/>
  <c r="Q12" i="24"/>
  <c r="P12" i="24"/>
  <c r="O12" i="24"/>
  <c r="D12" i="24"/>
  <c r="C12" i="24"/>
  <c r="X11" i="24"/>
  <c r="Q11" i="24"/>
  <c r="P11" i="24"/>
  <c r="O11" i="24"/>
  <c r="D11" i="24"/>
  <c r="C11" i="24"/>
  <c r="X10" i="24"/>
  <c r="Q10" i="24"/>
  <c r="P10" i="24"/>
  <c r="O10" i="24"/>
  <c r="D10" i="24"/>
  <c r="C10" i="24"/>
  <c r="X9" i="24"/>
  <c r="Q9" i="24"/>
  <c r="P9" i="24"/>
  <c r="O9" i="24"/>
  <c r="D9" i="24"/>
  <c r="C9" i="24"/>
  <c r="X8" i="24"/>
  <c r="Q8" i="24"/>
  <c r="P8" i="24"/>
  <c r="O8" i="24"/>
  <c r="D8" i="24"/>
  <c r="C8" i="24"/>
  <c r="X7" i="24"/>
  <c r="Q7" i="24"/>
  <c r="P7" i="24"/>
  <c r="O7" i="24"/>
  <c r="D7" i="24"/>
  <c r="C7" i="24"/>
  <c r="X6" i="24"/>
  <c r="Q6" i="24"/>
  <c r="P6" i="24"/>
  <c r="O6" i="24"/>
  <c r="D6" i="24"/>
  <c r="C6" i="24"/>
  <c r="X5" i="24"/>
  <c r="Q5" i="24"/>
  <c r="P5" i="24"/>
  <c r="O5" i="24"/>
  <c r="D5" i="24"/>
  <c r="C5" i="24"/>
  <c r="X4" i="24"/>
  <c r="D4" i="24"/>
  <c r="C4" i="24"/>
  <c r="X3" i="24"/>
  <c r="Q3" i="24"/>
  <c r="P3" i="24"/>
  <c r="O3" i="24"/>
  <c r="D3" i="24"/>
  <c r="C3" i="24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X2" i="24"/>
  <c r="Q2" i="24"/>
  <c r="P2" i="24"/>
  <c r="O2" i="24"/>
  <c r="D2" i="24"/>
  <c r="C2" i="24"/>
  <c r="AG19" i="27"/>
  <c r="AF19" i="27"/>
  <c r="AE19" i="27"/>
  <c r="AD19" i="27"/>
  <c r="S19" i="27"/>
  <c r="K19" i="27"/>
  <c r="H19" i="27"/>
  <c r="D19" i="27"/>
  <c r="C19" i="27"/>
  <c r="AG6" i="27"/>
  <c r="AF6" i="27"/>
  <c r="AE6" i="27"/>
  <c r="AD6" i="27"/>
  <c r="S6" i="27"/>
  <c r="K6" i="27"/>
  <c r="H6" i="27"/>
  <c r="C6" i="27"/>
  <c r="AG4" i="27"/>
  <c r="AF4" i="27"/>
  <c r="AE4" i="27"/>
  <c r="AD4" i="27"/>
  <c r="S4" i="27"/>
  <c r="K4" i="27"/>
  <c r="H4" i="27"/>
  <c r="AG3" i="27"/>
  <c r="AF3" i="27"/>
  <c r="AE3" i="27"/>
  <c r="AD3" i="27"/>
  <c r="S3" i="27"/>
  <c r="K3" i="27"/>
  <c r="H3" i="27"/>
  <c r="AG2" i="27"/>
  <c r="AF2" i="27"/>
  <c r="AE2" i="27"/>
  <c r="AD2" i="27"/>
  <c r="S2" i="27"/>
  <c r="K2" i="27"/>
  <c r="H2" i="27"/>
  <c r="BM282" i="20"/>
  <c r="BE282" i="20"/>
  <c r="BD282" i="20"/>
  <c r="BM281" i="20"/>
  <c r="BE281" i="20"/>
  <c r="BD281" i="20"/>
  <c r="BM280" i="20"/>
  <c r="BE280" i="20"/>
  <c r="BD280" i="20"/>
  <c r="BM279" i="20"/>
  <c r="BE279" i="20"/>
  <c r="BD279" i="20"/>
  <c r="BM278" i="20"/>
  <c r="BE278" i="20"/>
  <c r="BD278" i="20"/>
  <c r="BM277" i="20"/>
  <c r="BE277" i="20"/>
  <c r="BD277" i="20"/>
  <c r="BM276" i="20"/>
  <c r="BE276" i="20"/>
  <c r="BD276" i="20"/>
  <c r="BM275" i="20"/>
  <c r="BE275" i="20"/>
  <c r="BD275" i="20"/>
  <c r="BM274" i="20"/>
  <c r="BE274" i="20"/>
  <c r="BD274" i="20"/>
  <c r="BM273" i="20"/>
  <c r="BE273" i="20"/>
  <c r="BD273" i="20"/>
  <c r="BM272" i="20"/>
  <c r="BE272" i="20"/>
  <c r="BD272" i="20"/>
  <c r="BM271" i="20"/>
  <c r="BE271" i="20"/>
  <c r="BD271" i="20"/>
  <c r="BM270" i="20"/>
  <c r="BE270" i="20"/>
  <c r="BD270" i="20"/>
  <c r="BM269" i="20"/>
  <c r="BE269" i="20"/>
  <c r="BD269" i="20"/>
  <c r="BM268" i="20"/>
  <c r="BE268" i="20"/>
  <c r="BD268" i="20"/>
  <c r="BM267" i="20"/>
  <c r="BE267" i="20"/>
  <c r="BD267" i="20"/>
  <c r="BM266" i="20"/>
  <c r="BE266" i="20"/>
  <c r="BD266" i="20"/>
  <c r="BM265" i="20"/>
  <c r="BE265" i="20"/>
  <c r="BD265" i="20"/>
  <c r="BM264" i="20"/>
  <c r="BE264" i="20"/>
  <c r="BD264" i="20"/>
  <c r="BM263" i="20"/>
  <c r="BE263" i="20"/>
  <c r="BD263" i="20"/>
  <c r="BM262" i="20"/>
  <c r="BE262" i="20"/>
  <c r="BD262" i="20"/>
  <c r="BM261" i="20"/>
  <c r="BE261" i="20"/>
  <c r="BD261" i="20"/>
  <c r="BM260" i="20"/>
  <c r="BE260" i="20"/>
  <c r="BD260" i="20"/>
  <c r="BM259" i="20"/>
  <c r="BE259" i="20"/>
  <c r="BD259" i="20"/>
  <c r="BM258" i="20"/>
  <c r="BE258" i="20"/>
  <c r="BD258" i="20"/>
  <c r="BM257" i="20"/>
  <c r="BE257" i="20"/>
  <c r="BD257" i="20"/>
  <c r="BM256" i="20"/>
  <c r="BE256" i="20"/>
  <c r="BD256" i="20"/>
  <c r="BM255" i="20"/>
  <c r="BE255" i="20"/>
  <c r="BD255" i="20"/>
  <c r="BM254" i="20"/>
  <c r="BE254" i="20"/>
  <c r="BD254" i="20"/>
  <c r="BM253" i="20"/>
  <c r="BE253" i="20"/>
  <c r="BD253" i="20"/>
  <c r="BM252" i="20"/>
  <c r="BE252" i="20"/>
  <c r="BD252" i="20"/>
  <c r="BM251" i="20"/>
  <c r="BE251" i="20"/>
  <c r="BD251" i="20"/>
  <c r="BM250" i="20"/>
  <c r="BE250" i="20"/>
  <c r="BD250" i="20"/>
  <c r="BM249" i="20"/>
  <c r="BE249" i="20"/>
  <c r="BD249" i="20"/>
  <c r="BM248" i="20"/>
  <c r="BE248" i="20"/>
  <c r="BD248" i="20"/>
  <c r="BM247" i="20"/>
  <c r="BE247" i="20"/>
  <c r="BD247" i="20"/>
  <c r="BM246" i="20"/>
  <c r="BE246" i="20"/>
  <c r="BD246" i="20"/>
  <c r="BM245" i="20"/>
  <c r="BE245" i="20"/>
  <c r="BD245" i="20"/>
  <c r="BM244" i="20"/>
  <c r="BE244" i="20"/>
  <c r="BD244" i="20"/>
  <c r="BM243" i="20"/>
  <c r="BE243" i="20"/>
  <c r="BD243" i="20"/>
  <c r="BM242" i="20"/>
  <c r="BE242" i="20"/>
  <c r="BD242" i="20"/>
  <c r="BM241" i="20"/>
  <c r="BE241" i="20"/>
  <c r="BD241" i="20"/>
  <c r="BM240" i="20"/>
  <c r="BE240" i="20"/>
  <c r="BD240" i="20"/>
  <c r="BM239" i="20"/>
  <c r="BE239" i="20"/>
  <c r="BD239" i="20"/>
  <c r="BM238" i="20"/>
  <c r="BE238" i="20"/>
  <c r="BD238" i="20"/>
  <c r="BM237" i="20"/>
  <c r="BE237" i="20"/>
  <c r="BD237" i="20"/>
  <c r="BM236" i="20"/>
  <c r="BE236" i="20"/>
  <c r="BD236" i="20"/>
  <c r="BM235" i="20"/>
  <c r="BE235" i="20"/>
  <c r="BD235" i="20"/>
  <c r="BM234" i="20"/>
  <c r="BE234" i="20"/>
  <c r="BD234" i="20"/>
  <c r="BM233" i="20"/>
  <c r="BE233" i="20"/>
  <c r="BD233" i="20"/>
  <c r="BM232" i="20"/>
  <c r="BE232" i="20"/>
  <c r="BD232" i="20"/>
  <c r="BM231" i="20"/>
  <c r="BE231" i="20"/>
  <c r="BD231" i="20"/>
  <c r="BM230" i="20"/>
  <c r="BE230" i="20"/>
  <c r="BD230" i="20"/>
  <c r="BM229" i="20"/>
  <c r="BE229" i="20"/>
  <c r="BD229" i="20"/>
  <c r="BM228" i="20"/>
  <c r="BE228" i="20"/>
  <c r="BD228" i="20"/>
  <c r="BM227" i="20"/>
  <c r="BE227" i="20"/>
  <c r="BD227" i="20"/>
  <c r="BM226" i="20"/>
  <c r="BE226" i="20"/>
  <c r="BD226" i="20"/>
  <c r="BM225" i="20"/>
  <c r="BE225" i="20"/>
  <c r="BD225" i="20"/>
  <c r="BM224" i="20"/>
  <c r="BE224" i="20"/>
  <c r="BD224" i="20"/>
  <c r="BM223" i="20"/>
  <c r="BE223" i="20"/>
  <c r="BD223" i="20"/>
  <c r="BM222" i="20"/>
  <c r="BE222" i="20"/>
  <c r="BD222" i="20"/>
  <c r="BM221" i="20"/>
  <c r="BE221" i="20"/>
  <c r="BD221" i="20"/>
  <c r="BM220" i="20"/>
  <c r="BE220" i="20"/>
  <c r="BD220" i="20"/>
  <c r="BM219" i="20"/>
  <c r="BE219" i="20"/>
  <c r="BD219" i="20"/>
  <c r="BM218" i="20"/>
  <c r="BE218" i="20"/>
  <c r="BD218" i="20"/>
  <c r="BM217" i="20"/>
  <c r="BE217" i="20"/>
  <c r="BD217" i="20"/>
  <c r="BM216" i="20"/>
  <c r="BE216" i="20"/>
  <c r="BD216" i="20"/>
  <c r="BM215" i="20"/>
  <c r="BE215" i="20"/>
  <c r="BD215" i="20"/>
  <c r="BM214" i="20"/>
  <c r="BE214" i="20"/>
  <c r="BD214" i="20"/>
  <c r="BM213" i="20"/>
  <c r="BE213" i="20"/>
  <c r="BD213" i="20"/>
  <c r="BM212" i="20"/>
  <c r="BE212" i="20"/>
  <c r="BD212" i="20"/>
  <c r="BM211" i="20"/>
  <c r="BE211" i="20"/>
  <c r="BD211" i="20"/>
  <c r="BM210" i="20"/>
  <c r="BE210" i="20"/>
  <c r="BD210" i="20"/>
  <c r="BM209" i="20"/>
  <c r="BE209" i="20"/>
  <c r="BD209" i="20"/>
  <c r="BM208" i="20"/>
  <c r="BE208" i="20"/>
  <c r="BD208" i="20"/>
  <c r="BM207" i="20"/>
  <c r="BE207" i="20"/>
  <c r="BD207" i="20"/>
  <c r="BM206" i="20"/>
  <c r="BE206" i="20"/>
  <c r="BD206" i="20"/>
  <c r="BM205" i="20"/>
  <c r="BE205" i="20"/>
  <c r="BD205" i="20"/>
  <c r="BM204" i="20"/>
  <c r="BE204" i="20"/>
  <c r="BD204" i="20"/>
  <c r="BM203" i="20"/>
  <c r="BE203" i="20"/>
  <c r="BD203" i="20"/>
  <c r="BM202" i="20"/>
  <c r="BE202" i="20"/>
  <c r="BD202" i="20"/>
  <c r="BM201" i="20"/>
  <c r="BE201" i="20"/>
  <c r="BM200" i="20"/>
  <c r="BE200" i="20"/>
  <c r="BM199" i="20"/>
  <c r="BE199" i="20"/>
  <c r="BM198" i="20"/>
  <c r="BE198" i="20"/>
  <c r="BM197" i="20"/>
  <c r="BE197" i="20"/>
  <c r="BM196" i="20"/>
  <c r="BE196" i="20"/>
  <c r="BM195" i="20"/>
  <c r="BE195" i="20"/>
  <c r="BM194" i="20"/>
  <c r="BE194" i="20"/>
  <c r="BM193" i="20"/>
  <c r="BE193" i="20"/>
  <c r="BM192" i="20"/>
  <c r="BE192" i="20"/>
  <c r="BM191" i="20"/>
  <c r="BE191" i="20"/>
  <c r="BM190" i="20"/>
  <c r="BE190" i="20"/>
  <c r="BM189" i="20"/>
  <c r="BE189" i="20"/>
  <c r="BM188" i="20"/>
  <c r="BE188" i="20"/>
  <c r="BM187" i="20"/>
  <c r="BE187" i="20"/>
  <c r="BM186" i="20"/>
  <c r="BE186" i="20"/>
  <c r="BM185" i="20"/>
  <c r="BE185" i="20"/>
  <c r="BM184" i="20"/>
  <c r="BE184" i="20"/>
  <c r="BM183" i="20"/>
  <c r="BE183" i="20"/>
  <c r="BM182" i="20"/>
  <c r="BE182" i="20"/>
  <c r="BM181" i="20"/>
  <c r="BE181" i="20"/>
  <c r="BM180" i="20"/>
  <c r="BE180" i="20"/>
  <c r="BM179" i="20"/>
  <c r="BE179" i="20"/>
  <c r="BM178" i="20"/>
  <c r="BE178" i="20"/>
  <c r="BM177" i="20"/>
  <c r="BE177" i="20"/>
  <c r="BM176" i="20"/>
  <c r="BE176" i="20"/>
  <c r="BM175" i="20"/>
  <c r="BE175" i="20"/>
  <c r="BM174" i="20"/>
  <c r="BE174" i="20"/>
  <c r="BM173" i="20"/>
  <c r="BE173" i="20"/>
  <c r="BM172" i="20"/>
  <c r="BE172" i="20"/>
  <c r="BM171" i="20"/>
  <c r="BE171" i="20"/>
  <c r="BM170" i="20"/>
  <c r="BE170" i="20"/>
  <c r="BM169" i="20"/>
  <c r="BE169" i="20"/>
  <c r="BM168" i="20"/>
  <c r="BE168" i="20"/>
  <c r="BM167" i="20"/>
  <c r="BE167" i="20"/>
  <c r="BM166" i="20"/>
  <c r="BE166" i="20"/>
  <c r="BM165" i="20"/>
  <c r="BE165" i="20"/>
  <c r="BM164" i="20"/>
  <c r="BE164" i="20"/>
  <c r="BM163" i="20"/>
  <c r="BE163" i="20"/>
  <c r="BM162" i="20"/>
  <c r="BE162" i="20"/>
  <c r="BM161" i="20"/>
  <c r="BE161" i="20"/>
  <c r="BM160" i="20"/>
  <c r="BE160" i="20"/>
  <c r="BM159" i="20"/>
  <c r="BE159" i="20"/>
  <c r="BM158" i="20"/>
  <c r="BE158" i="20"/>
  <c r="BM157" i="20"/>
  <c r="BE157" i="20"/>
  <c r="BM156" i="20"/>
  <c r="BE156" i="20"/>
  <c r="BM155" i="20"/>
  <c r="BE155" i="20"/>
  <c r="BM154" i="20"/>
  <c r="BE154" i="20"/>
  <c r="BM153" i="20"/>
  <c r="BE153" i="20"/>
  <c r="BM152" i="20"/>
  <c r="BE152" i="20"/>
  <c r="BM151" i="20"/>
  <c r="BE151" i="20"/>
  <c r="BM150" i="20"/>
  <c r="BE150" i="20"/>
  <c r="BM149" i="20"/>
  <c r="BE149" i="20"/>
  <c r="BM148" i="20"/>
  <c r="BE148" i="20"/>
  <c r="BM147" i="20"/>
  <c r="BE147" i="20"/>
  <c r="BM146" i="20"/>
  <c r="BE146" i="20"/>
  <c r="BM145" i="20"/>
  <c r="BE145" i="20"/>
  <c r="BM144" i="20"/>
  <c r="BE144" i="20"/>
  <c r="BM143" i="20"/>
  <c r="BE143" i="20"/>
  <c r="BM142" i="20"/>
  <c r="BE142" i="20"/>
  <c r="BM141" i="20"/>
  <c r="BE141" i="20"/>
  <c r="BM140" i="20"/>
  <c r="BE140" i="20"/>
  <c r="BM139" i="20"/>
  <c r="BE139" i="20"/>
  <c r="BM138" i="20"/>
  <c r="BE138" i="20"/>
  <c r="BM137" i="20"/>
  <c r="BE137" i="20"/>
  <c r="BM136" i="20"/>
  <c r="BE136" i="20"/>
  <c r="BM135" i="20"/>
  <c r="BE135" i="20"/>
  <c r="BM134" i="20"/>
  <c r="BE134" i="20"/>
  <c r="BM133" i="20"/>
  <c r="BE133" i="20"/>
  <c r="BM132" i="20"/>
  <c r="BE132" i="20"/>
  <c r="BM131" i="20"/>
  <c r="BE131" i="20"/>
  <c r="BM130" i="20"/>
  <c r="BE130" i="20"/>
  <c r="BM129" i="20"/>
  <c r="BE129" i="20"/>
  <c r="BM128" i="20"/>
  <c r="BE128" i="20"/>
  <c r="BM127" i="20"/>
  <c r="BE127" i="20"/>
  <c r="BM126" i="20"/>
  <c r="BE126" i="20"/>
  <c r="BM125" i="20"/>
  <c r="BE125" i="20"/>
  <c r="BM124" i="20"/>
  <c r="BE124" i="20"/>
  <c r="BM123" i="20"/>
  <c r="BE123" i="20"/>
  <c r="BM122" i="20"/>
  <c r="BE122" i="20"/>
  <c r="BM121" i="20"/>
  <c r="BE121" i="20"/>
  <c r="BM120" i="20"/>
  <c r="BE120" i="20"/>
  <c r="BM119" i="20"/>
  <c r="BE119" i="20"/>
  <c r="BM118" i="20"/>
  <c r="BE118" i="20"/>
  <c r="BM117" i="20"/>
  <c r="BE117" i="20"/>
  <c r="BM116" i="20"/>
  <c r="BE116" i="20"/>
  <c r="BM115" i="20"/>
  <c r="BE115" i="20"/>
  <c r="BM114" i="20"/>
  <c r="BE114" i="20"/>
  <c r="BM113" i="20"/>
  <c r="BE113" i="20"/>
  <c r="BM112" i="20"/>
  <c r="BE112" i="20"/>
  <c r="BM111" i="20"/>
  <c r="BE111" i="20"/>
  <c r="BM110" i="20"/>
  <c r="BE110" i="20"/>
  <c r="BM109" i="20"/>
  <c r="BE109" i="20"/>
  <c r="BM108" i="20"/>
  <c r="BE108" i="20"/>
  <c r="BM107" i="20"/>
  <c r="BE107" i="20"/>
  <c r="BM106" i="20"/>
  <c r="BE106" i="20"/>
  <c r="BM105" i="20"/>
  <c r="BE105" i="20"/>
  <c r="BM104" i="20"/>
  <c r="BE104" i="20"/>
  <c r="BM103" i="20"/>
  <c r="BE103" i="20"/>
  <c r="BM102" i="20"/>
  <c r="BE102" i="20"/>
  <c r="BM101" i="20"/>
  <c r="BE101" i="20"/>
  <c r="BM100" i="20"/>
  <c r="BE100" i="20"/>
  <c r="BM99" i="20"/>
  <c r="BE99" i="20"/>
  <c r="BM98" i="20"/>
  <c r="BE98" i="20"/>
  <c r="BM97" i="20"/>
  <c r="BE97" i="20"/>
  <c r="BM96" i="20"/>
  <c r="BE96" i="20"/>
  <c r="BM95" i="20"/>
  <c r="BE95" i="20"/>
  <c r="BM94" i="20"/>
  <c r="BE94" i="20"/>
  <c r="BM93" i="20"/>
  <c r="BE93" i="20"/>
  <c r="BM92" i="20"/>
  <c r="BE92" i="20"/>
  <c r="BM91" i="20"/>
  <c r="BE91" i="20"/>
  <c r="BM90" i="20"/>
  <c r="BE90" i="20"/>
  <c r="BM89" i="20"/>
  <c r="BE89" i="20"/>
  <c r="BM88" i="20"/>
  <c r="BE88" i="20"/>
  <c r="BM87" i="20"/>
  <c r="BE87" i="20"/>
  <c r="BM86" i="20"/>
  <c r="BE86" i="20"/>
  <c r="BM85" i="20"/>
  <c r="BE85" i="20"/>
  <c r="BM84" i="20"/>
  <c r="BE84" i="20"/>
  <c r="BM83" i="20"/>
  <c r="BE83" i="20"/>
  <c r="BM82" i="20"/>
  <c r="BE82" i="20"/>
  <c r="BM81" i="20"/>
  <c r="BE81" i="20"/>
  <c r="BM80" i="20"/>
  <c r="BE80" i="20"/>
  <c r="BM79" i="20"/>
  <c r="BE79" i="20"/>
  <c r="BM78" i="20"/>
  <c r="BE78" i="20"/>
  <c r="BM77" i="20"/>
  <c r="BE77" i="20"/>
  <c r="BM76" i="20"/>
  <c r="BE76" i="20"/>
  <c r="BM75" i="20"/>
  <c r="BE75" i="20"/>
  <c r="BM74" i="20"/>
  <c r="BE74" i="20"/>
  <c r="BM73" i="20"/>
  <c r="BE73" i="20"/>
  <c r="BM72" i="20"/>
  <c r="BE72" i="20"/>
  <c r="BM71" i="20"/>
  <c r="BE71" i="20"/>
  <c r="BM70" i="20"/>
  <c r="BE70" i="20"/>
  <c r="BM69" i="20"/>
  <c r="BE69" i="20"/>
  <c r="BM68" i="20"/>
  <c r="BE68" i="20"/>
  <c r="BM67" i="20"/>
  <c r="BE67" i="20"/>
  <c r="BM66" i="20"/>
  <c r="BE66" i="20"/>
  <c r="BM65" i="20"/>
  <c r="BE65" i="20"/>
  <c r="BM64" i="20"/>
  <c r="BE64" i="20"/>
  <c r="BM63" i="20"/>
  <c r="BE63" i="20"/>
  <c r="BM62" i="20"/>
  <c r="BE62" i="20"/>
  <c r="BM61" i="20"/>
  <c r="BE61" i="20"/>
  <c r="BM60" i="20"/>
  <c r="BE60" i="20"/>
  <c r="BM59" i="20"/>
  <c r="BE59" i="20"/>
  <c r="BM58" i="20"/>
  <c r="BE58" i="20"/>
  <c r="BM57" i="20"/>
  <c r="BE57" i="20"/>
  <c r="BM56" i="20"/>
  <c r="BE56" i="20"/>
  <c r="BM55" i="20"/>
  <c r="BE55" i="20"/>
  <c r="BM54" i="20"/>
  <c r="BE54" i="20"/>
  <c r="BM53" i="20"/>
  <c r="BE53" i="20"/>
  <c r="BM52" i="20"/>
  <c r="BE52" i="20"/>
  <c r="BM51" i="20"/>
  <c r="BE51" i="20"/>
  <c r="BM50" i="20"/>
  <c r="BE50" i="20"/>
  <c r="BM49" i="20"/>
  <c r="BE49" i="20"/>
  <c r="BM48" i="20"/>
  <c r="BE48" i="20"/>
  <c r="BM47" i="20"/>
  <c r="BE47" i="20"/>
  <c r="BM46" i="20"/>
  <c r="BE46" i="20"/>
  <c r="BM45" i="20"/>
  <c r="BE45" i="20"/>
  <c r="BM44" i="20"/>
  <c r="BE44" i="20"/>
  <c r="BM43" i="20"/>
  <c r="BE43" i="20"/>
  <c r="BM42" i="20"/>
  <c r="BE42" i="20"/>
  <c r="BM41" i="20"/>
  <c r="BE41" i="20"/>
  <c r="BM40" i="20"/>
  <c r="BE40" i="20"/>
  <c r="BM39" i="20"/>
  <c r="BE39" i="20"/>
  <c r="BM38" i="20"/>
  <c r="BE38" i="20"/>
  <c r="BM37" i="20"/>
  <c r="BE37" i="20"/>
  <c r="BM36" i="20"/>
  <c r="BE36" i="20"/>
  <c r="BM35" i="20"/>
  <c r="BE35" i="20"/>
  <c r="BM34" i="20"/>
  <c r="BE34" i="20"/>
  <c r="BM33" i="20"/>
  <c r="BE33" i="20"/>
  <c r="BM32" i="20"/>
  <c r="BE32" i="20"/>
  <c r="BM31" i="20"/>
  <c r="BE31" i="20"/>
  <c r="BM30" i="20"/>
  <c r="BE30" i="20"/>
  <c r="BM29" i="20"/>
  <c r="BE29" i="20"/>
  <c r="BM28" i="20"/>
  <c r="BE28" i="20"/>
  <c r="BM27" i="20"/>
  <c r="BE27" i="20"/>
  <c r="BM26" i="20"/>
  <c r="BE26" i="20"/>
  <c r="BM25" i="20"/>
  <c r="BE25" i="20"/>
  <c r="BM24" i="20"/>
  <c r="BE24" i="20"/>
  <c r="BM23" i="20"/>
  <c r="BE23" i="20"/>
  <c r="BM22" i="20"/>
  <c r="BE22" i="20"/>
  <c r="BM21" i="20"/>
  <c r="BE21" i="20"/>
  <c r="BM20" i="20"/>
  <c r="BE20" i="20"/>
  <c r="BM19" i="20"/>
  <c r="BE19" i="20"/>
  <c r="BM18" i="20"/>
  <c r="BE18" i="20"/>
  <c r="BM17" i="20"/>
  <c r="BE17" i="20"/>
  <c r="BM16" i="20"/>
  <c r="BE16" i="20"/>
  <c r="BM15" i="20"/>
  <c r="BE15" i="20"/>
  <c r="BM14" i="20"/>
  <c r="BE14" i="20"/>
  <c r="BM13" i="20"/>
  <c r="BE13" i="20"/>
  <c r="BM12" i="20"/>
  <c r="BE12" i="20"/>
  <c r="BM11" i="20"/>
  <c r="BE11" i="20"/>
  <c r="BM10" i="20"/>
  <c r="BE10" i="20"/>
  <c r="BM9" i="20"/>
  <c r="BE9" i="20"/>
  <c r="BM8" i="20"/>
  <c r="BE8" i="20"/>
  <c r="BM7" i="20"/>
  <c r="BE7" i="20"/>
  <c r="BM6" i="20"/>
  <c r="BE6" i="20"/>
  <c r="BM5" i="20"/>
  <c r="BN17" i="20" l="1"/>
  <c r="BK17" i="20"/>
  <c r="BL17" i="20" s="1"/>
  <c r="BN16" i="20"/>
  <c r="BK16" i="20"/>
  <c r="BL16" i="20" s="1"/>
  <c r="K4" i="7"/>
  <c r="M4" i="7"/>
  <c r="I4" i="7"/>
  <c r="A4" i="8"/>
  <c r="B5" i="30"/>
  <c r="G5" i="30" s="1"/>
  <c r="H5" i="30" s="1"/>
  <c r="C4" i="30"/>
  <c r="D4" i="30"/>
  <c r="T19" i="24"/>
  <c r="T20" i="24"/>
  <c r="T21" i="24"/>
  <c r="T22" i="24"/>
  <c r="T23" i="24"/>
  <c r="T24" i="24"/>
  <c r="T25" i="24"/>
  <c r="B5" i="31"/>
  <c r="G4" i="31"/>
  <c r="H4" i="31" s="1"/>
  <c r="C4" i="31"/>
  <c r="T16" i="24"/>
  <c r="T17" i="24"/>
  <c r="T18" i="24"/>
  <c r="T10" i="24"/>
  <c r="T2" i="24"/>
  <c r="T9" i="24"/>
  <c r="T8" i="24"/>
  <c r="T7" i="24"/>
  <c r="T14" i="24"/>
  <c r="T6" i="24"/>
  <c r="D5" i="30"/>
  <c r="T4" i="27"/>
  <c r="T6" i="27"/>
  <c r="B7" i="7"/>
  <c r="B6" i="7" s="1"/>
  <c r="T3" i="24"/>
  <c r="T5" i="24"/>
  <c r="T11" i="24"/>
  <c r="T12" i="24"/>
  <c r="T13" i="24"/>
  <c r="T19" i="27"/>
  <c r="C5" i="32"/>
  <c r="G5" i="32"/>
  <c r="H5" i="32" s="1"/>
  <c r="B6" i="32"/>
  <c r="D5" i="32"/>
  <c r="T3" i="27"/>
  <c r="T2" i="27"/>
  <c r="B4" i="8"/>
  <c r="B4" i="7"/>
  <c r="A10" i="7"/>
  <c r="K10" i="7" l="1"/>
  <c r="I10" i="7"/>
  <c r="B6" i="30"/>
  <c r="C6" i="30" s="1"/>
  <c r="C5" i="30"/>
  <c r="BO134" i="20"/>
  <c r="BO63" i="20"/>
  <c r="U3" i="27"/>
  <c r="AL3" i="27" s="1"/>
  <c r="U2" i="27"/>
  <c r="AL2" i="27" s="1"/>
  <c r="U4" i="27"/>
  <c r="AL4" i="27" s="1"/>
  <c r="U19" i="27"/>
  <c r="AL19" i="27" s="1"/>
  <c r="U6" i="27"/>
  <c r="AL6" i="27" s="1"/>
  <c r="BO27" i="20"/>
  <c r="BO34" i="20"/>
  <c r="BO70" i="20"/>
  <c r="BO114" i="20"/>
  <c r="BO158" i="20"/>
  <c r="BO277" i="20"/>
  <c r="BO241" i="20"/>
  <c r="BO40" i="20"/>
  <c r="BO199" i="20"/>
  <c r="BO160" i="20"/>
  <c r="BO42" i="20"/>
  <c r="BO44" i="20"/>
  <c r="BO230" i="20"/>
  <c r="BO255" i="20"/>
  <c r="BO25" i="20"/>
  <c r="BO275" i="20"/>
  <c r="BO60" i="20"/>
  <c r="BO177" i="20"/>
  <c r="BO227" i="20"/>
  <c r="BO263" i="20"/>
  <c r="BO136" i="20"/>
  <c r="BO80" i="20"/>
  <c r="BO54" i="20"/>
  <c r="BO105" i="20"/>
  <c r="BO47" i="20"/>
  <c r="BO46" i="20"/>
  <c r="BO221" i="20"/>
  <c r="BO182" i="20"/>
  <c r="BO51" i="20"/>
  <c r="BO37" i="20"/>
  <c r="BO195" i="20"/>
  <c r="BO110" i="20"/>
  <c r="BO168" i="20"/>
  <c r="BO41" i="20"/>
  <c r="BO218" i="20"/>
  <c r="BO24" i="20"/>
  <c r="BO120" i="20"/>
  <c r="BO35" i="20"/>
  <c r="BO272" i="20"/>
  <c r="BO270" i="20"/>
  <c r="BO98" i="20"/>
  <c r="BO19" i="20"/>
  <c r="BO211" i="20"/>
  <c r="BO91" i="20"/>
  <c r="BO111" i="20"/>
  <c r="BO68" i="20"/>
  <c r="BO118" i="20"/>
  <c r="BO49" i="20"/>
  <c r="BO244" i="20"/>
  <c r="BO223" i="20"/>
  <c r="BO210" i="20"/>
  <c r="BO106" i="20"/>
  <c r="BO94" i="20"/>
  <c r="BO81" i="20"/>
  <c r="BO194" i="20"/>
  <c r="BO202" i="20"/>
  <c r="G5" i="31"/>
  <c r="H5" i="31" s="1"/>
  <c r="D5" i="31"/>
  <c r="C5" i="31"/>
  <c r="B6" i="31"/>
  <c r="BO104" i="20"/>
  <c r="BO253" i="20"/>
  <c r="BO243" i="20"/>
  <c r="BO278" i="20"/>
  <c r="BO112" i="20"/>
  <c r="BO29" i="20"/>
  <c r="BO133" i="20"/>
  <c r="BO84" i="20"/>
  <c r="BO257" i="20"/>
  <c r="BO127" i="20"/>
  <c r="BO103" i="20"/>
  <c r="BO192" i="20"/>
  <c r="BO62" i="20"/>
  <c r="BO5" i="20"/>
  <c r="BO77" i="20"/>
  <c r="BO198" i="20"/>
  <c r="BO239" i="20"/>
  <c r="BO216" i="20"/>
  <c r="BO58" i="20"/>
  <c r="BO66" i="20"/>
  <c r="BO55" i="20"/>
  <c r="BO184" i="20"/>
  <c r="BO126" i="20"/>
  <c r="BO7" i="20"/>
  <c r="BO31" i="20"/>
  <c r="BO281" i="20"/>
  <c r="BO249" i="20"/>
  <c r="BO87" i="20"/>
  <c r="BO124" i="20"/>
  <c r="BO107" i="20"/>
  <c r="BO175" i="20"/>
  <c r="BO72" i="20"/>
  <c r="BO33" i="20"/>
  <c r="BO78" i="20"/>
  <c r="BO30" i="20"/>
  <c r="BO97" i="20"/>
  <c r="BO57" i="20"/>
  <c r="BO179" i="20"/>
  <c r="BO67" i="20"/>
  <c r="BO146" i="20"/>
  <c r="BO280" i="20"/>
  <c r="BO166" i="20"/>
  <c r="BO240" i="20"/>
  <c r="BO261" i="20"/>
  <c r="BO188" i="20"/>
  <c r="BO13" i="20"/>
  <c r="BO83" i="20"/>
  <c r="BO170" i="20"/>
  <c r="BO187" i="20"/>
  <c r="BO28" i="20"/>
  <c r="BO16" i="20"/>
  <c r="BO100" i="20"/>
  <c r="BO228" i="20"/>
  <c r="BO125" i="20"/>
  <c r="BO53" i="20"/>
  <c r="BO14" i="20"/>
  <c r="BO86" i="20"/>
  <c r="BO201" i="20"/>
  <c r="BO174" i="20"/>
  <c r="BO212" i="20"/>
  <c r="BO178" i="20"/>
  <c r="BO171" i="20"/>
  <c r="BO165" i="20"/>
  <c r="BO143" i="20"/>
  <c r="BO6" i="20"/>
  <c r="BO142" i="20"/>
  <c r="BO266" i="20"/>
  <c r="BO56" i="20"/>
  <c r="BO269" i="20"/>
  <c r="BO242" i="20"/>
  <c r="BO101" i="20"/>
  <c r="BO39" i="20"/>
  <c r="BO169" i="20"/>
  <c r="BO193" i="20"/>
  <c r="BO248" i="20"/>
  <c r="BO282" i="20"/>
  <c r="BO50" i="20"/>
  <c r="BO32" i="20"/>
  <c r="BO268" i="20"/>
  <c r="BO262" i="20"/>
  <c r="BO150" i="20"/>
  <c r="BO96" i="20"/>
  <c r="BO137" i="20"/>
  <c r="BO75" i="20"/>
  <c r="BO121" i="20"/>
  <c r="BO22" i="20"/>
  <c r="BO43" i="20"/>
  <c r="BO73" i="20"/>
  <c r="BO214" i="20"/>
  <c r="BO274" i="20"/>
  <c r="BO233" i="20"/>
  <c r="BO145" i="20"/>
  <c r="BO69" i="20"/>
  <c r="BO181" i="20"/>
  <c r="BO176" i="20"/>
  <c r="BO85" i="20"/>
  <c r="BO90" i="20"/>
  <c r="BO186" i="20"/>
  <c r="BO173" i="20"/>
  <c r="BO109" i="20"/>
  <c r="BO232" i="20"/>
  <c r="BO132" i="20"/>
  <c r="BO76" i="20"/>
  <c r="BO259" i="20"/>
  <c r="BO197" i="20"/>
  <c r="BO122" i="20"/>
  <c r="BO144" i="20"/>
  <c r="BO52" i="20"/>
  <c r="BO236" i="20"/>
  <c r="G6" i="32"/>
  <c r="H6" i="32" s="1"/>
  <c r="B7" i="32"/>
  <c r="D6" i="32"/>
  <c r="C6" i="32"/>
  <c r="BO95" i="20"/>
  <c r="BO153" i="20"/>
  <c r="BO65" i="20"/>
  <c r="BO213" i="20"/>
  <c r="BO123" i="20"/>
  <c r="BO115" i="20"/>
  <c r="BO185" i="20"/>
  <c r="BO154" i="20"/>
  <c r="BO10" i="20"/>
  <c r="BO89" i="20"/>
  <c r="BO130" i="20"/>
  <c r="BO155" i="20"/>
  <c r="BO11" i="20"/>
  <c r="BO119" i="20"/>
  <c r="BO273" i="20"/>
  <c r="BO20" i="20"/>
  <c r="BO93" i="20"/>
  <c r="BO151" i="20"/>
  <c r="BO21" i="20"/>
  <c r="BO258" i="20"/>
  <c r="BO264" i="20"/>
  <c r="BO234" i="20"/>
  <c r="BO138" i="20"/>
  <c r="BO152" i="20"/>
  <c r="BO250" i="20"/>
  <c r="BO231" i="20"/>
  <c r="BO162" i="20"/>
  <c r="BO45" i="20"/>
  <c r="BO17" i="20"/>
  <c r="BO149" i="20"/>
  <c r="BO99" i="20"/>
  <c r="BO279" i="20"/>
  <c r="BO276" i="20"/>
  <c r="BO140" i="20"/>
  <c r="BO59" i="20"/>
  <c r="BO207" i="20"/>
  <c r="BO189" i="20"/>
  <c r="BO148" i="20"/>
  <c r="BO23" i="20"/>
  <c r="BO167" i="20"/>
  <c r="BO226" i="20"/>
  <c r="BO131" i="20"/>
  <c r="BO113" i="20"/>
  <c r="BO220" i="20"/>
  <c r="BO225" i="20"/>
  <c r="BO265" i="20"/>
  <c r="BO71" i="20"/>
  <c r="BO15" i="20"/>
  <c r="BO38" i="20"/>
  <c r="BO129" i="20"/>
  <c r="BO180" i="20"/>
  <c r="BO26" i="20"/>
  <c r="BO36" i="20"/>
  <c r="D6" i="30" l="1"/>
  <c r="G6" i="30"/>
  <c r="H6" i="30" s="1"/>
  <c r="B7" i="30"/>
  <c r="BO108" i="20"/>
  <c r="BO88" i="20"/>
  <c r="BO191" i="20"/>
  <c r="BO64" i="20"/>
  <c r="BO219" i="20"/>
  <c r="BO164" i="20"/>
  <c r="BO141" i="20"/>
  <c r="BO203" i="20"/>
  <c r="BO208" i="20"/>
  <c r="BO190" i="20"/>
  <c r="BO156" i="20"/>
  <c r="BO12" i="20"/>
  <c r="D6" i="31"/>
  <c r="C6" i="31"/>
  <c r="B7" i="31"/>
  <c r="G6" i="31"/>
  <c r="H6" i="31" s="1"/>
  <c r="BO92" i="20"/>
  <c r="BO157" i="20"/>
  <c r="BO172" i="20"/>
  <c r="BO74" i="20"/>
  <c r="BO271" i="20"/>
  <c r="BO254" i="20"/>
  <c r="BO205" i="20"/>
  <c r="BO147" i="20"/>
  <c r="BO79" i="20"/>
  <c r="BO247" i="20"/>
  <c r="BO61" i="20"/>
  <c r="BO161" i="20"/>
  <c r="C7" i="32"/>
  <c r="G7" i="32"/>
  <c r="H7" i="32" s="1"/>
  <c r="B8" i="32"/>
  <c r="D7" i="32"/>
  <c r="BO18" i="20"/>
  <c r="BO215" i="20"/>
  <c r="BO102" i="20"/>
  <c r="BO117" i="20"/>
  <c r="BO135" i="20"/>
  <c r="BO116" i="20"/>
  <c r="BO163" i="20"/>
  <c r="BO139" i="20"/>
  <c r="BO8" i="20"/>
  <c r="BO159" i="20"/>
  <c r="BO196" i="20"/>
  <c r="BO9" i="20"/>
  <c r="BO224" i="20"/>
  <c r="BO204" i="20"/>
  <c r="BO48" i="20"/>
  <c r="BO128" i="20"/>
  <c r="BO222" i="20"/>
  <c r="BO206" i="20"/>
  <c r="BO235" i="20"/>
  <c r="BO217" i="20"/>
  <c r="BO246" i="20"/>
  <c r="BO200" i="20"/>
  <c r="BO82" i="20"/>
  <c r="BO183" i="20"/>
  <c r="BO251" i="20"/>
  <c r="BO209" i="20"/>
  <c r="C7" i="30" l="1"/>
  <c r="B8" i="30"/>
  <c r="G7" i="30"/>
  <c r="H7" i="30" s="1"/>
  <c r="D7" i="30"/>
  <c r="G7" i="31"/>
  <c r="H7" i="31" s="1"/>
  <c r="C7" i="31"/>
  <c r="D7" i="31"/>
  <c r="B8" i="31"/>
  <c r="G8" i="32"/>
  <c r="H8" i="32" s="1"/>
  <c r="B9" i="32"/>
  <c r="D8" i="32"/>
  <c r="C8" i="32"/>
  <c r="BO238" i="20"/>
  <c r="BO256" i="20"/>
  <c r="BO237" i="20"/>
  <c r="BO245" i="20"/>
  <c r="BO252" i="20"/>
  <c r="BO260" i="20"/>
  <c r="BO229" i="20"/>
  <c r="BO267" i="20"/>
  <c r="B10" i="7" l="1"/>
  <c r="E10" i="7"/>
  <c r="G10" i="7" s="1"/>
  <c r="C10" i="7"/>
  <c r="C8" i="30"/>
  <c r="B9" i="30"/>
  <c r="G8" i="30"/>
  <c r="H8" i="30" s="1"/>
  <c r="D8" i="30"/>
  <c r="B9" i="31"/>
  <c r="G8" i="31"/>
  <c r="H8" i="31" s="1"/>
  <c r="D8" i="31"/>
  <c r="C8" i="31"/>
  <c r="C9" i="32"/>
  <c r="G9" i="32"/>
  <c r="H9" i="32" s="1"/>
  <c r="B10" i="32"/>
  <c r="D9" i="32"/>
  <c r="M10" i="7" l="1"/>
  <c r="B10" i="30"/>
  <c r="C9" i="30"/>
  <c r="G9" i="30"/>
  <c r="H9" i="30" s="1"/>
  <c r="D9" i="30"/>
  <c r="D9" i="31"/>
  <c r="C9" i="31"/>
  <c r="B10" i="31"/>
  <c r="G9" i="31"/>
  <c r="H9" i="31" s="1"/>
  <c r="G10" i="32"/>
  <c r="H10" i="32" s="1"/>
  <c r="B11" i="32"/>
  <c r="D10" i="32"/>
  <c r="C10" i="32"/>
  <c r="G10" i="30" l="1"/>
  <c r="H10" i="30" s="1"/>
  <c r="D10" i="30"/>
  <c r="C10" i="30"/>
  <c r="B11" i="30"/>
  <c r="D10" i="31"/>
  <c r="C10" i="31"/>
  <c r="B11" i="31"/>
  <c r="G10" i="31"/>
  <c r="H10" i="31" s="1"/>
  <c r="C11" i="32"/>
  <c r="G11" i="32"/>
  <c r="H11" i="32" s="1"/>
  <c r="B12" i="32"/>
  <c r="D11" i="32"/>
  <c r="D11" i="30" l="1"/>
  <c r="B12" i="30"/>
  <c r="G11" i="30"/>
  <c r="H11" i="30" s="1"/>
  <c r="C11" i="30"/>
  <c r="G11" i="31"/>
  <c r="H11" i="31" s="1"/>
  <c r="C11" i="31"/>
  <c r="B12" i="31"/>
  <c r="D11" i="31"/>
  <c r="G12" i="32"/>
  <c r="H12" i="32" s="1"/>
  <c r="B13" i="32"/>
  <c r="D12" i="32"/>
  <c r="C12" i="32"/>
  <c r="B13" i="30" l="1"/>
  <c r="D12" i="30"/>
  <c r="C12" i="30"/>
  <c r="G12" i="30"/>
  <c r="H12" i="30" s="1"/>
  <c r="B13" i="31"/>
  <c r="G12" i="31"/>
  <c r="H12" i="31" s="1"/>
  <c r="D12" i="31"/>
  <c r="C12" i="31"/>
  <c r="C13" i="32"/>
  <c r="G13" i="32"/>
  <c r="H13" i="32" s="1"/>
  <c r="B14" i="32"/>
  <c r="D13" i="32"/>
  <c r="B14" i="30" l="1"/>
  <c r="D13" i="30"/>
  <c r="C13" i="30"/>
  <c r="G13" i="30"/>
  <c r="H13" i="30" s="1"/>
  <c r="C13" i="31"/>
  <c r="B14" i="31"/>
  <c r="G13" i="31"/>
  <c r="H13" i="31" s="1"/>
  <c r="D13" i="31"/>
  <c r="G14" i="32"/>
  <c r="H14" i="32" s="1"/>
  <c r="B15" i="32"/>
  <c r="D14" i="32"/>
  <c r="C14" i="32"/>
  <c r="B15" i="30" l="1"/>
  <c r="G14" i="30"/>
  <c r="H14" i="30" s="1"/>
  <c r="C14" i="30"/>
  <c r="D14" i="30"/>
  <c r="D14" i="31"/>
  <c r="C14" i="31"/>
  <c r="G14" i="31"/>
  <c r="H14" i="31" s="1"/>
  <c r="B15" i="31"/>
  <c r="C15" i="32"/>
  <c r="G15" i="32"/>
  <c r="H15" i="32" s="1"/>
  <c r="B16" i="32"/>
  <c r="D15" i="32"/>
  <c r="C15" i="30" l="1"/>
  <c r="B16" i="30"/>
  <c r="G15" i="30"/>
  <c r="H15" i="30" s="1"/>
  <c r="D15" i="30"/>
  <c r="G15" i="31"/>
  <c r="H15" i="31" s="1"/>
  <c r="C15" i="31"/>
  <c r="B16" i="31"/>
  <c r="D15" i="31"/>
  <c r="G16" i="32"/>
  <c r="H16" i="32" s="1"/>
  <c r="B17" i="32"/>
  <c r="D16" i="32"/>
  <c r="C16" i="32"/>
  <c r="B17" i="30" l="1"/>
  <c r="D16" i="30"/>
  <c r="G16" i="30"/>
  <c r="H16" i="30" s="1"/>
  <c r="C16" i="30"/>
  <c r="B17" i="31"/>
  <c r="G16" i="31"/>
  <c r="H16" i="31" s="1"/>
  <c r="D16" i="31"/>
  <c r="C16" i="31"/>
  <c r="C17" i="32"/>
  <c r="G17" i="32"/>
  <c r="H17" i="32" s="1"/>
  <c r="B18" i="32"/>
  <c r="D17" i="32"/>
  <c r="B18" i="30" l="1"/>
  <c r="G17" i="30"/>
  <c r="H17" i="30" s="1"/>
  <c r="D17" i="30"/>
  <c r="C17" i="30"/>
  <c r="B18" i="31"/>
  <c r="G17" i="31"/>
  <c r="H17" i="31" s="1"/>
  <c r="D17" i="31"/>
  <c r="C17" i="31"/>
  <c r="G18" i="32"/>
  <c r="H18" i="32" s="1"/>
  <c r="B19" i="32"/>
  <c r="D18" i="32"/>
  <c r="C18" i="32"/>
  <c r="G18" i="30" l="1"/>
  <c r="H18" i="30" s="1"/>
  <c r="C18" i="30"/>
  <c r="D18" i="30"/>
  <c r="B19" i="30"/>
  <c r="D18" i="31"/>
  <c r="C18" i="31"/>
  <c r="G18" i="31"/>
  <c r="H18" i="31" s="1"/>
  <c r="B19" i="31"/>
  <c r="C19" i="32"/>
  <c r="G19" i="32"/>
  <c r="H19" i="32" s="1"/>
  <c r="B20" i="32"/>
  <c r="D19" i="32"/>
  <c r="C19" i="30" l="1"/>
  <c r="B20" i="30"/>
  <c r="G19" i="30"/>
  <c r="H19" i="30" s="1"/>
  <c r="D19" i="30"/>
  <c r="G19" i="31"/>
  <c r="H19" i="31" s="1"/>
  <c r="C19" i="31"/>
  <c r="B20" i="31"/>
  <c r="D19" i="31"/>
  <c r="G20" i="32"/>
  <c r="H20" i="32" s="1"/>
  <c r="B21" i="32"/>
  <c r="D20" i="32"/>
  <c r="C20" i="32"/>
  <c r="B21" i="30" l="1"/>
  <c r="D20" i="30"/>
  <c r="C20" i="30"/>
  <c r="G20" i="30"/>
  <c r="H20" i="30" s="1"/>
  <c r="B21" i="31"/>
  <c r="G20" i="31"/>
  <c r="H20" i="31" s="1"/>
  <c r="D20" i="31"/>
  <c r="C20" i="31"/>
  <c r="C21" i="32"/>
  <c r="G21" i="32"/>
  <c r="H21" i="32" s="1"/>
  <c r="B22" i="32"/>
  <c r="D21" i="32"/>
  <c r="G21" i="30" l="1"/>
  <c r="H21" i="30" s="1"/>
  <c r="D21" i="30"/>
  <c r="C21" i="30"/>
  <c r="B22" i="30"/>
  <c r="B22" i="31"/>
  <c r="G21" i="31"/>
  <c r="H21" i="31" s="1"/>
  <c r="D21" i="31"/>
  <c r="C21" i="31"/>
  <c r="G22" i="32"/>
  <c r="H22" i="32" s="1"/>
  <c r="B23" i="32"/>
  <c r="D22" i="32"/>
  <c r="C22" i="32"/>
  <c r="G22" i="30" l="1"/>
  <c r="H22" i="30" s="1"/>
  <c r="D22" i="30"/>
  <c r="C22" i="30"/>
  <c r="B23" i="30"/>
  <c r="D22" i="31"/>
  <c r="C22" i="31"/>
  <c r="G22" i="31"/>
  <c r="H22" i="31" s="1"/>
  <c r="B23" i="31"/>
  <c r="C23" i="32"/>
  <c r="G23" i="32"/>
  <c r="H23" i="32" s="1"/>
  <c r="B24" i="32"/>
  <c r="D23" i="32"/>
  <c r="C23" i="30" l="1"/>
  <c r="B24" i="30"/>
  <c r="G23" i="30"/>
  <c r="H23" i="30" s="1"/>
  <c r="D23" i="30"/>
  <c r="G23" i="31"/>
  <c r="H23" i="31" s="1"/>
  <c r="C23" i="31"/>
  <c r="B24" i="31"/>
  <c r="D23" i="31"/>
  <c r="G24" i="32"/>
  <c r="H24" i="32" s="1"/>
  <c r="D24" i="32"/>
  <c r="B25" i="32"/>
  <c r="C24" i="32"/>
  <c r="D24" i="30" l="1"/>
  <c r="B25" i="30"/>
  <c r="C24" i="30"/>
  <c r="G24" i="30"/>
  <c r="H24" i="30" s="1"/>
  <c r="B25" i="31"/>
  <c r="G24" i="31"/>
  <c r="H24" i="31" s="1"/>
  <c r="D24" i="31"/>
  <c r="C24" i="31"/>
  <c r="B26" i="32"/>
  <c r="D25" i="32"/>
  <c r="G25" i="32"/>
  <c r="H25" i="32" s="1"/>
  <c r="C25" i="32"/>
  <c r="D25" i="30" l="1"/>
  <c r="G25" i="30"/>
  <c r="H25" i="30" s="1"/>
  <c r="B26" i="30"/>
  <c r="C25" i="30"/>
  <c r="B26" i="31"/>
  <c r="G25" i="31"/>
  <c r="H25" i="31" s="1"/>
  <c r="D25" i="31"/>
  <c r="C25" i="31"/>
  <c r="D26" i="32"/>
  <c r="B27" i="32"/>
  <c r="C26" i="32"/>
  <c r="G26" i="32"/>
  <c r="H26" i="32" s="1"/>
  <c r="C26" i="30" l="1"/>
  <c r="D26" i="30"/>
  <c r="B27" i="30"/>
  <c r="G26" i="30"/>
  <c r="H26" i="30" s="1"/>
  <c r="D26" i="31"/>
  <c r="C26" i="31"/>
  <c r="B27" i="31"/>
  <c r="G26" i="31"/>
  <c r="H26" i="31" s="1"/>
  <c r="B28" i="32"/>
  <c r="D27" i="32"/>
  <c r="C27" i="32"/>
  <c r="G27" i="32"/>
  <c r="H27" i="32" s="1"/>
  <c r="G27" i="30" l="1"/>
  <c r="H27" i="30" s="1"/>
  <c r="D27" i="30"/>
  <c r="C27" i="30"/>
  <c r="B28" i="30"/>
  <c r="G27" i="31"/>
  <c r="H27" i="31" s="1"/>
  <c r="C27" i="31"/>
  <c r="B28" i="31"/>
  <c r="D27" i="31"/>
  <c r="B29" i="32"/>
  <c r="C28" i="32"/>
  <c r="G28" i="32"/>
  <c r="H28" i="32" s="1"/>
  <c r="D28" i="32"/>
  <c r="B29" i="30" l="1"/>
  <c r="G28" i="30"/>
  <c r="H28" i="30" s="1"/>
  <c r="C28" i="30"/>
  <c r="D28" i="30"/>
  <c r="B29" i="31"/>
  <c r="G28" i="31"/>
  <c r="H28" i="31" s="1"/>
  <c r="C28" i="31"/>
  <c r="D28" i="31"/>
  <c r="B30" i="32"/>
  <c r="D29" i="32"/>
  <c r="G29" i="32"/>
  <c r="H29" i="32" s="1"/>
  <c r="C29" i="32"/>
  <c r="C29" i="30" l="1"/>
  <c r="G29" i="30"/>
  <c r="H29" i="30" s="1"/>
  <c r="B30" i="30"/>
  <c r="D29" i="30"/>
  <c r="G29" i="31"/>
  <c r="H29" i="31" s="1"/>
  <c r="D29" i="31"/>
  <c r="C29" i="31"/>
  <c r="B30" i="31"/>
  <c r="G30" i="32"/>
  <c r="H30" i="32" s="1"/>
  <c r="D30" i="32"/>
  <c r="B31" i="32"/>
  <c r="C30" i="32"/>
  <c r="C30" i="30" l="1"/>
  <c r="G30" i="30"/>
  <c r="H30" i="30" s="1"/>
  <c r="D30" i="30"/>
  <c r="B31" i="30"/>
  <c r="D30" i="31"/>
  <c r="C30" i="31"/>
  <c r="B31" i="31"/>
  <c r="G30" i="31"/>
  <c r="H30" i="31" s="1"/>
  <c r="B32" i="32"/>
  <c r="D31" i="32"/>
  <c r="G31" i="32"/>
  <c r="H31" i="32" s="1"/>
  <c r="C31" i="32"/>
  <c r="B32" i="30" l="1"/>
  <c r="G31" i="30"/>
  <c r="H31" i="30" s="1"/>
  <c r="D31" i="30"/>
  <c r="C31" i="30"/>
  <c r="G31" i="31"/>
  <c r="H31" i="31" s="1"/>
  <c r="C31" i="31"/>
  <c r="B32" i="31"/>
  <c r="D31" i="31"/>
  <c r="G32" i="32"/>
  <c r="H32" i="32" s="1"/>
  <c r="D32" i="32"/>
  <c r="B33" i="32"/>
  <c r="C32" i="32"/>
  <c r="D32" i="30" l="1"/>
  <c r="C32" i="30"/>
  <c r="G32" i="30"/>
  <c r="H32" i="30" s="1"/>
  <c r="B33" i="30"/>
  <c r="B33" i="31"/>
  <c r="G32" i="31"/>
  <c r="H32" i="31" s="1"/>
  <c r="D32" i="31"/>
  <c r="C32" i="31"/>
  <c r="B34" i="32"/>
  <c r="D33" i="32"/>
  <c r="G33" i="32"/>
  <c r="H33" i="32" s="1"/>
  <c r="C33" i="32"/>
  <c r="G33" i="30" l="1"/>
  <c r="H33" i="30" s="1"/>
  <c r="D33" i="30"/>
  <c r="B34" i="30"/>
  <c r="C33" i="30"/>
  <c r="G33" i="31"/>
  <c r="H33" i="31" s="1"/>
  <c r="D33" i="31"/>
  <c r="C33" i="31"/>
  <c r="B34" i="31"/>
  <c r="D34" i="32"/>
  <c r="B35" i="32"/>
  <c r="C34" i="32"/>
  <c r="G34" i="32"/>
  <c r="H34" i="32" s="1"/>
  <c r="G34" i="30" l="1"/>
  <c r="H34" i="30" s="1"/>
  <c r="C34" i="30"/>
  <c r="B35" i="30"/>
  <c r="D34" i="30"/>
  <c r="D34" i="31"/>
  <c r="C34" i="31"/>
  <c r="B35" i="31"/>
  <c r="G34" i="31"/>
  <c r="H34" i="31" s="1"/>
  <c r="B36" i="32"/>
  <c r="D35" i="32"/>
  <c r="C35" i="32"/>
  <c r="G35" i="32"/>
  <c r="H35" i="32" s="1"/>
  <c r="B36" i="30" l="1"/>
  <c r="C35" i="30"/>
  <c r="G35" i="30"/>
  <c r="H35" i="30" s="1"/>
  <c r="D35" i="30"/>
  <c r="G35" i="31"/>
  <c r="H35" i="31" s="1"/>
  <c r="C35" i="31"/>
  <c r="D35" i="31"/>
  <c r="B36" i="31"/>
  <c r="C36" i="32"/>
  <c r="D36" i="32"/>
  <c r="B37" i="32"/>
  <c r="G36" i="32"/>
  <c r="H36" i="32" s="1"/>
  <c r="G36" i="30" l="1"/>
  <c r="H36" i="30" s="1"/>
  <c r="D36" i="30"/>
  <c r="C36" i="30"/>
  <c r="B37" i="30"/>
  <c r="B37" i="31"/>
  <c r="G36" i="31"/>
  <c r="H36" i="31" s="1"/>
  <c r="D36" i="31"/>
  <c r="C36" i="31"/>
  <c r="G37" i="32"/>
  <c r="H37" i="32" s="1"/>
  <c r="B38" i="32"/>
  <c r="D37" i="32"/>
  <c r="C37" i="32"/>
  <c r="B38" i="30" l="1"/>
  <c r="G37" i="30"/>
  <c r="H37" i="30" s="1"/>
  <c r="D37" i="30"/>
  <c r="C37" i="30"/>
  <c r="G37" i="31"/>
  <c r="H37" i="31" s="1"/>
  <c r="D37" i="31"/>
  <c r="C37" i="31"/>
  <c r="B38" i="31"/>
  <c r="C38" i="32"/>
  <c r="G38" i="32"/>
  <c r="H38" i="32" s="1"/>
  <c r="B39" i="32"/>
  <c r="D38" i="32"/>
  <c r="G38" i="30" l="1"/>
  <c r="H38" i="30" s="1"/>
  <c r="D38" i="30"/>
  <c r="C38" i="30"/>
  <c r="B39" i="30"/>
  <c r="D38" i="31"/>
  <c r="C38" i="31"/>
  <c r="B39" i="31"/>
  <c r="G38" i="31"/>
  <c r="H38" i="31" s="1"/>
  <c r="G39" i="32"/>
  <c r="H39" i="32" s="1"/>
  <c r="B40" i="32"/>
  <c r="D39" i="32"/>
  <c r="C39" i="32"/>
  <c r="D39" i="30" l="1"/>
  <c r="G39" i="30"/>
  <c r="H39" i="30" s="1"/>
  <c r="C39" i="30"/>
  <c r="B40" i="30"/>
  <c r="G39" i="31"/>
  <c r="H39" i="31" s="1"/>
  <c r="C39" i="31"/>
  <c r="D39" i="31"/>
  <c r="B40" i="31"/>
  <c r="C40" i="32"/>
  <c r="G40" i="32"/>
  <c r="H40" i="32" s="1"/>
  <c r="D40" i="32"/>
  <c r="B41" i="32"/>
  <c r="G40" i="30" l="1"/>
  <c r="H40" i="30" s="1"/>
  <c r="B41" i="30"/>
  <c r="D40" i="30"/>
  <c r="C40" i="30"/>
  <c r="B41" i="31"/>
  <c r="G40" i="31"/>
  <c r="H40" i="31" s="1"/>
  <c r="D40" i="31"/>
  <c r="C40" i="31"/>
  <c r="G41" i="32"/>
  <c r="H41" i="32" s="1"/>
  <c r="B42" i="32"/>
  <c r="D41" i="32"/>
  <c r="C41" i="32"/>
  <c r="D41" i="30" l="1"/>
  <c r="B42" i="30"/>
  <c r="C41" i="30"/>
  <c r="G41" i="30"/>
  <c r="H41" i="30" s="1"/>
  <c r="D41" i="31"/>
  <c r="C41" i="31"/>
  <c r="B42" i="31"/>
  <c r="G41" i="31"/>
  <c r="H41" i="31" s="1"/>
  <c r="C42" i="32"/>
  <c r="G42" i="32"/>
  <c r="H42" i="32" s="1"/>
  <c r="D42" i="32"/>
  <c r="B43" i="32"/>
  <c r="G42" i="30" l="1"/>
  <c r="H42" i="30" s="1"/>
  <c r="D42" i="30"/>
  <c r="C42" i="30"/>
  <c r="B43" i="30"/>
  <c r="D42" i="31"/>
  <c r="C42" i="31"/>
  <c r="B43" i="31"/>
  <c r="G42" i="31"/>
  <c r="H42" i="31" s="1"/>
  <c r="G43" i="32"/>
  <c r="H43" i="32" s="1"/>
  <c r="B44" i="32"/>
  <c r="D43" i="32"/>
  <c r="C43" i="32"/>
  <c r="B44" i="30" l="1"/>
  <c r="G43" i="30"/>
  <c r="H43" i="30" s="1"/>
  <c r="D43" i="30"/>
  <c r="C43" i="30"/>
  <c r="G43" i="31"/>
  <c r="H43" i="31" s="1"/>
  <c r="C43" i="31"/>
  <c r="D43" i="31"/>
  <c r="B44" i="31"/>
  <c r="C44" i="32"/>
  <c r="G44" i="32"/>
  <c r="H44" i="32" s="1"/>
  <c r="B45" i="32"/>
  <c r="D44" i="32"/>
  <c r="B45" i="30" l="1"/>
  <c r="D44" i="30"/>
  <c r="G44" i="30"/>
  <c r="H44" i="30" s="1"/>
  <c r="C44" i="30"/>
  <c r="B45" i="31"/>
  <c r="G44" i="31"/>
  <c r="H44" i="31" s="1"/>
  <c r="D44" i="31"/>
  <c r="C44" i="31"/>
  <c r="G45" i="32"/>
  <c r="H45" i="32" s="1"/>
  <c r="B46" i="32"/>
  <c r="D45" i="32"/>
  <c r="C45" i="32"/>
  <c r="C45" i="30" l="1"/>
  <c r="B46" i="30"/>
  <c r="G45" i="30"/>
  <c r="H45" i="30" s="1"/>
  <c r="D45" i="30"/>
  <c r="C45" i="31"/>
  <c r="B46" i="31"/>
  <c r="G45" i="31"/>
  <c r="H45" i="31" s="1"/>
  <c r="D45" i="31"/>
  <c r="C46" i="32"/>
  <c r="G46" i="32"/>
  <c r="H46" i="32" s="1"/>
  <c r="B47" i="32"/>
  <c r="D46" i="32"/>
  <c r="D46" i="30" l="1"/>
  <c r="B47" i="30"/>
  <c r="C46" i="30"/>
  <c r="G46" i="30"/>
  <c r="H46" i="30" s="1"/>
  <c r="D46" i="31"/>
  <c r="C46" i="31"/>
  <c r="G46" i="31"/>
  <c r="H46" i="31" s="1"/>
  <c r="B47" i="31"/>
  <c r="G47" i="32"/>
  <c r="H47" i="32" s="1"/>
  <c r="B48" i="32"/>
  <c r="D47" i="32"/>
  <c r="C47" i="32"/>
  <c r="G47" i="30" l="1"/>
  <c r="H47" i="30" s="1"/>
  <c r="C47" i="30"/>
  <c r="B48" i="30"/>
  <c r="D47" i="30"/>
  <c r="G47" i="31"/>
  <c r="H47" i="31" s="1"/>
  <c r="C47" i="31"/>
  <c r="B48" i="31"/>
  <c r="D47" i="31"/>
  <c r="C48" i="32"/>
  <c r="G48" i="32"/>
  <c r="H48" i="32" s="1"/>
  <c r="D48" i="32"/>
  <c r="B49" i="32"/>
  <c r="B49" i="30" l="1"/>
  <c r="G48" i="30"/>
  <c r="H48" i="30" s="1"/>
  <c r="D48" i="30"/>
  <c r="C48" i="30"/>
  <c r="B49" i="31"/>
  <c r="G48" i="31"/>
  <c r="H48" i="31" s="1"/>
  <c r="D48" i="31"/>
  <c r="C48" i="31"/>
  <c r="G49" i="32"/>
  <c r="H49" i="32" s="1"/>
  <c r="B50" i="32"/>
  <c r="D49" i="32"/>
  <c r="C49" i="32"/>
  <c r="B50" i="30" l="1"/>
  <c r="G49" i="30"/>
  <c r="H49" i="30" s="1"/>
  <c r="C49" i="30"/>
  <c r="D49" i="30"/>
  <c r="B50" i="31"/>
  <c r="G49" i="31"/>
  <c r="H49" i="31" s="1"/>
  <c r="D49" i="31"/>
  <c r="C49" i="31"/>
  <c r="C50" i="32"/>
  <c r="G50" i="32"/>
  <c r="H50" i="32" s="1"/>
  <c r="D50" i="32"/>
  <c r="B51" i="32"/>
  <c r="G50" i="30" l="1"/>
  <c r="H50" i="30" s="1"/>
  <c r="D50" i="30"/>
  <c r="C50" i="30"/>
  <c r="B51" i="30"/>
  <c r="D50" i="31"/>
  <c r="C50" i="31"/>
  <c r="G50" i="31"/>
  <c r="H50" i="31" s="1"/>
  <c r="B51" i="31"/>
  <c r="G51" i="32"/>
  <c r="H51" i="32" s="1"/>
  <c r="B52" i="32"/>
  <c r="D51" i="32"/>
  <c r="C51" i="32"/>
  <c r="G51" i="30" l="1"/>
  <c r="H51" i="30" s="1"/>
  <c r="D51" i="30"/>
  <c r="B52" i="30"/>
  <c r="C51" i="30"/>
  <c r="G51" i="31"/>
  <c r="H51" i="31" s="1"/>
  <c r="C51" i="31"/>
  <c r="B52" i="31"/>
  <c r="D51" i="31"/>
  <c r="C52" i="32"/>
  <c r="G52" i="32"/>
  <c r="H52" i="32" s="1"/>
  <c r="B53" i="32"/>
  <c r="D52" i="32"/>
  <c r="D52" i="30" l="1"/>
  <c r="G52" i="30"/>
  <c r="H52" i="30" s="1"/>
  <c r="C52" i="30"/>
  <c r="B53" i="30"/>
  <c r="B53" i="31"/>
  <c r="G52" i="31"/>
  <c r="H52" i="31" s="1"/>
  <c r="D52" i="31"/>
  <c r="C52" i="31"/>
  <c r="G53" i="32"/>
  <c r="H53" i="32" s="1"/>
  <c r="B54" i="32"/>
  <c r="D53" i="32"/>
  <c r="C53" i="32"/>
  <c r="G53" i="30" l="1"/>
  <c r="H53" i="30" s="1"/>
  <c r="C53" i="30"/>
  <c r="D53" i="30"/>
  <c r="B54" i="30"/>
  <c r="B54" i="31"/>
  <c r="G53" i="31"/>
  <c r="H53" i="31" s="1"/>
  <c r="D53" i="31"/>
  <c r="C53" i="31"/>
  <c r="C54" i="32"/>
  <c r="G54" i="32"/>
  <c r="H54" i="32" s="1"/>
  <c r="B55" i="32"/>
  <c r="D54" i="32"/>
  <c r="B55" i="30" l="1"/>
  <c r="G54" i="30"/>
  <c r="H54" i="30" s="1"/>
  <c r="C54" i="30"/>
  <c r="D54" i="30"/>
  <c r="D54" i="31"/>
  <c r="C54" i="31"/>
  <c r="G54" i="31"/>
  <c r="H54" i="31" s="1"/>
  <c r="B55" i="31"/>
  <c r="G55" i="32"/>
  <c r="H55" i="32" s="1"/>
  <c r="B56" i="32"/>
  <c r="D55" i="32"/>
  <c r="C55" i="32"/>
  <c r="B56" i="30" l="1"/>
  <c r="G55" i="30"/>
  <c r="H55" i="30" s="1"/>
  <c r="D55" i="30"/>
  <c r="C55" i="30"/>
  <c r="G55" i="31"/>
  <c r="H55" i="31" s="1"/>
  <c r="C55" i="31"/>
  <c r="B56" i="31"/>
  <c r="D55" i="31"/>
  <c r="C56" i="32"/>
  <c r="G56" i="32"/>
  <c r="H56" i="32" s="1"/>
  <c r="D56" i="32"/>
  <c r="B57" i="32"/>
  <c r="C56" i="30" l="1"/>
  <c r="D56" i="30"/>
  <c r="G56" i="30"/>
  <c r="H56" i="30" s="1"/>
  <c r="B57" i="30"/>
  <c r="B57" i="31"/>
  <c r="G56" i="31"/>
  <c r="H56" i="31" s="1"/>
  <c r="D56" i="31"/>
  <c r="C56" i="31"/>
  <c r="G57" i="32"/>
  <c r="H57" i="32" s="1"/>
  <c r="B58" i="32"/>
  <c r="D57" i="32"/>
  <c r="C57" i="32"/>
  <c r="B58" i="30" l="1"/>
  <c r="G57" i="30"/>
  <c r="H57" i="30" s="1"/>
  <c r="C57" i="30"/>
  <c r="D57" i="30"/>
  <c r="B58" i="31"/>
  <c r="G57" i="31"/>
  <c r="H57" i="31" s="1"/>
  <c r="D57" i="31"/>
  <c r="C57" i="31"/>
  <c r="C58" i="32"/>
  <c r="G58" i="32"/>
  <c r="H58" i="32" s="1"/>
  <c r="D58" i="32"/>
  <c r="B59" i="32"/>
  <c r="C58" i="30" l="1"/>
  <c r="B59" i="30"/>
  <c r="D58" i="30"/>
  <c r="G58" i="30"/>
  <c r="H58" i="30" s="1"/>
  <c r="D58" i="31"/>
  <c r="C58" i="31"/>
  <c r="B59" i="31"/>
  <c r="G58" i="31"/>
  <c r="H58" i="31" s="1"/>
  <c r="G59" i="32"/>
  <c r="H59" i="32" s="1"/>
  <c r="B60" i="32"/>
  <c r="D59" i="32"/>
  <c r="C59" i="32"/>
  <c r="D59" i="30" l="1"/>
  <c r="B60" i="30"/>
  <c r="G59" i="30"/>
  <c r="H59" i="30" s="1"/>
  <c r="C59" i="30"/>
  <c r="G59" i="31"/>
  <c r="H59" i="31" s="1"/>
  <c r="C59" i="31"/>
  <c r="B60" i="31"/>
  <c r="D59" i="31"/>
  <c r="C60" i="32"/>
  <c r="G60" i="32"/>
  <c r="H60" i="32" s="1"/>
  <c r="B61" i="32"/>
  <c r="D60" i="32"/>
  <c r="A6" i="20"/>
  <c r="E5" i="20"/>
  <c r="D5" i="20"/>
  <c r="C5" i="20"/>
  <c r="B5" i="20"/>
  <c r="D60" i="30" l="1"/>
  <c r="C60" i="30"/>
  <c r="B61" i="30"/>
  <c r="G60" i="30"/>
  <c r="H60" i="30" s="1"/>
  <c r="B61" i="31"/>
  <c r="G60" i="31"/>
  <c r="H60" i="31" s="1"/>
  <c r="C60" i="31"/>
  <c r="D60" i="31"/>
  <c r="G61" i="32"/>
  <c r="H61" i="32" s="1"/>
  <c r="B62" i="32"/>
  <c r="D61" i="32"/>
  <c r="C61" i="32"/>
  <c r="C6" i="20"/>
  <c r="A7" i="20"/>
  <c r="E6" i="20"/>
  <c r="D6" i="20"/>
  <c r="B6" i="20"/>
  <c r="D61" i="30" l="1"/>
  <c r="B62" i="30"/>
  <c r="C61" i="30"/>
  <c r="G61" i="30"/>
  <c r="H61" i="30" s="1"/>
  <c r="G61" i="31"/>
  <c r="H61" i="31" s="1"/>
  <c r="D61" i="31"/>
  <c r="C61" i="31"/>
  <c r="B62" i="31"/>
  <c r="C62" i="32"/>
  <c r="G62" i="32"/>
  <c r="H62" i="32" s="1"/>
  <c r="B63" i="32"/>
  <c r="D62" i="32"/>
  <c r="A8" i="20"/>
  <c r="E7" i="20"/>
  <c r="D7" i="20"/>
  <c r="C7" i="20"/>
  <c r="B7" i="20"/>
  <c r="A9" i="20" l="1"/>
  <c r="G62" i="30"/>
  <c r="H62" i="30" s="1"/>
  <c r="D62" i="30"/>
  <c r="C62" i="30"/>
  <c r="B63" i="30"/>
  <c r="D62" i="31"/>
  <c r="C62" i="31"/>
  <c r="B63" i="31"/>
  <c r="G62" i="31"/>
  <c r="H62" i="31" s="1"/>
  <c r="G63" i="32"/>
  <c r="H63" i="32" s="1"/>
  <c r="B64" i="32"/>
  <c r="D63" i="32"/>
  <c r="C63" i="32"/>
  <c r="C8" i="20"/>
  <c r="E8" i="20"/>
  <c r="D8" i="20"/>
  <c r="B8" i="20"/>
  <c r="B64" i="30" l="1"/>
  <c r="G63" i="30"/>
  <c r="H63" i="30" s="1"/>
  <c r="D63" i="30"/>
  <c r="C63" i="30"/>
  <c r="G63" i="31"/>
  <c r="H63" i="31" s="1"/>
  <c r="C63" i="31"/>
  <c r="B64" i="31"/>
  <c r="D63" i="31"/>
  <c r="C64" i="32"/>
  <c r="G64" i="32"/>
  <c r="H64" i="32" s="1"/>
  <c r="D64" i="32"/>
  <c r="B65" i="32"/>
  <c r="A10" i="20"/>
  <c r="E9" i="20"/>
  <c r="D9" i="20"/>
  <c r="C9" i="20"/>
  <c r="B9" i="20"/>
  <c r="D64" i="30" l="1"/>
  <c r="B65" i="30"/>
  <c r="C64" i="30"/>
  <c r="G64" i="30"/>
  <c r="H64" i="30" s="1"/>
  <c r="B65" i="31"/>
  <c r="G64" i="31"/>
  <c r="H64" i="31" s="1"/>
  <c r="D64" i="31"/>
  <c r="C64" i="31"/>
  <c r="G65" i="32"/>
  <c r="H65" i="32" s="1"/>
  <c r="B66" i="32"/>
  <c r="D65" i="32"/>
  <c r="C65" i="32"/>
  <c r="C10" i="20"/>
  <c r="A11" i="20"/>
  <c r="E10" i="20"/>
  <c r="D10" i="20"/>
  <c r="B10" i="20"/>
  <c r="B66" i="30" l="1"/>
  <c r="G65" i="30"/>
  <c r="H65" i="30" s="1"/>
  <c r="C65" i="30"/>
  <c r="D65" i="30"/>
  <c r="G65" i="31"/>
  <c r="H65" i="31" s="1"/>
  <c r="D65" i="31"/>
  <c r="C65" i="31"/>
  <c r="B66" i="31"/>
  <c r="C66" i="32"/>
  <c r="G66" i="32"/>
  <c r="H66" i="32" s="1"/>
  <c r="D66" i="32"/>
  <c r="B67" i="32"/>
  <c r="A12" i="20"/>
  <c r="E11" i="20"/>
  <c r="D11" i="20"/>
  <c r="C11" i="20"/>
  <c r="B11" i="20"/>
  <c r="C66" i="30" l="1"/>
  <c r="B67" i="30"/>
  <c r="D66" i="30"/>
  <c r="G66" i="30"/>
  <c r="H66" i="30" s="1"/>
  <c r="D66" i="31"/>
  <c r="C66" i="31"/>
  <c r="B67" i="31"/>
  <c r="G66" i="31"/>
  <c r="H66" i="31" s="1"/>
  <c r="G67" i="32"/>
  <c r="H67" i="32" s="1"/>
  <c r="B68" i="32"/>
  <c r="D67" i="32"/>
  <c r="C67" i="32"/>
  <c r="C12" i="20"/>
  <c r="A13" i="20"/>
  <c r="E12" i="20"/>
  <c r="D12" i="20"/>
  <c r="B12" i="20"/>
  <c r="C67" i="30" l="1"/>
  <c r="G67" i="30"/>
  <c r="H67" i="30" s="1"/>
  <c r="D67" i="30"/>
  <c r="B68" i="30"/>
  <c r="G67" i="31"/>
  <c r="H67" i="31" s="1"/>
  <c r="C67" i="31"/>
  <c r="D67" i="31"/>
  <c r="B68" i="31"/>
  <c r="C68" i="32"/>
  <c r="G68" i="32"/>
  <c r="H68" i="32" s="1"/>
  <c r="B69" i="32"/>
  <c r="D68" i="32"/>
  <c r="A14" i="20"/>
  <c r="E13" i="20"/>
  <c r="D13" i="20"/>
  <c r="C13" i="20"/>
  <c r="B13" i="20"/>
  <c r="B69" i="30" l="1"/>
  <c r="G68" i="30"/>
  <c r="H68" i="30" s="1"/>
  <c r="D68" i="30"/>
  <c r="C68" i="30"/>
  <c r="B69" i="31"/>
  <c r="G68" i="31"/>
  <c r="H68" i="31" s="1"/>
  <c r="C68" i="31"/>
  <c r="D68" i="31"/>
  <c r="G69" i="32"/>
  <c r="H69" i="32" s="1"/>
  <c r="B70" i="32"/>
  <c r="D69" i="32"/>
  <c r="C69" i="32"/>
  <c r="C14" i="20"/>
  <c r="A15" i="20"/>
  <c r="E14" i="20"/>
  <c r="D14" i="20"/>
  <c r="B14" i="20"/>
  <c r="B70" i="30" l="1"/>
  <c r="G69" i="30"/>
  <c r="H69" i="30" s="1"/>
  <c r="C69" i="30"/>
  <c r="D69" i="30"/>
  <c r="G69" i="31"/>
  <c r="H69" i="31" s="1"/>
  <c r="D69" i="31"/>
  <c r="C69" i="31"/>
  <c r="B70" i="31"/>
  <c r="C70" i="32"/>
  <c r="G70" i="32"/>
  <c r="H70" i="32" s="1"/>
  <c r="B71" i="32"/>
  <c r="D70" i="32"/>
  <c r="A16" i="20"/>
  <c r="E15" i="20"/>
  <c r="D15" i="20"/>
  <c r="C15" i="20"/>
  <c r="B15" i="20"/>
  <c r="G70" i="30" l="1"/>
  <c r="H70" i="30" s="1"/>
  <c r="C70" i="30"/>
  <c r="B71" i="30"/>
  <c r="D70" i="30"/>
  <c r="D70" i="31"/>
  <c r="C70" i="31"/>
  <c r="B71" i="31"/>
  <c r="G70" i="31"/>
  <c r="H70" i="31" s="1"/>
  <c r="G71" i="32"/>
  <c r="H71" i="32" s="1"/>
  <c r="B72" i="32"/>
  <c r="D71" i="32"/>
  <c r="C71" i="32"/>
  <c r="C16" i="20"/>
  <c r="A17" i="20"/>
  <c r="E16" i="20"/>
  <c r="D16" i="20"/>
  <c r="B16" i="20"/>
  <c r="G71" i="30" l="1"/>
  <c r="H71" i="30" s="1"/>
  <c r="D71" i="30"/>
  <c r="C71" i="30"/>
  <c r="B72" i="30"/>
  <c r="G71" i="31"/>
  <c r="H71" i="31" s="1"/>
  <c r="C71" i="31"/>
  <c r="D71" i="31"/>
  <c r="B72" i="31"/>
  <c r="C72" i="32"/>
  <c r="G72" i="32"/>
  <c r="H72" i="32" s="1"/>
  <c r="D72" i="32"/>
  <c r="B73" i="32"/>
  <c r="A18" i="20"/>
  <c r="E17" i="20"/>
  <c r="D17" i="20"/>
  <c r="C17" i="20"/>
  <c r="B17" i="20"/>
  <c r="B73" i="30" l="1"/>
  <c r="D72" i="30"/>
  <c r="C72" i="30"/>
  <c r="G72" i="30"/>
  <c r="H72" i="30" s="1"/>
  <c r="B73" i="31"/>
  <c r="G72" i="31"/>
  <c r="H72" i="31" s="1"/>
  <c r="D72" i="31"/>
  <c r="C72" i="31"/>
  <c r="G73" i="32"/>
  <c r="H73" i="32" s="1"/>
  <c r="B74" i="32"/>
  <c r="D73" i="32"/>
  <c r="C73" i="32"/>
  <c r="C18" i="20"/>
  <c r="A19" i="20"/>
  <c r="E18" i="20"/>
  <c r="D18" i="20"/>
  <c r="B18" i="20"/>
  <c r="C73" i="30" l="1"/>
  <c r="G73" i="30"/>
  <c r="H73" i="30" s="1"/>
  <c r="B74" i="30"/>
  <c r="D73" i="30"/>
  <c r="D73" i="31"/>
  <c r="C73" i="31"/>
  <c r="B74" i="31"/>
  <c r="G73" i="31"/>
  <c r="H73" i="31" s="1"/>
  <c r="C74" i="32"/>
  <c r="G74" i="32"/>
  <c r="H74" i="32" s="1"/>
  <c r="D74" i="32"/>
  <c r="B75" i="32"/>
  <c r="A20" i="20"/>
  <c r="E19" i="20"/>
  <c r="D19" i="20"/>
  <c r="C19" i="20"/>
  <c r="B19" i="20"/>
  <c r="G74" i="30" l="1"/>
  <c r="H74" i="30" s="1"/>
  <c r="D74" i="30"/>
  <c r="C74" i="30"/>
  <c r="B75" i="30"/>
  <c r="D74" i="31"/>
  <c r="C74" i="31"/>
  <c r="B75" i="31"/>
  <c r="G74" i="31"/>
  <c r="H74" i="31" s="1"/>
  <c r="G75" i="32"/>
  <c r="H75" i="32" s="1"/>
  <c r="B76" i="32"/>
  <c r="D75" i="32"/>
  <c r="C75" i="32"/>
  <c r="C20" i="20"/>
  <c r="A21" i="20"/>
  <c r="E20" i="20"/>
  <c r="D20" i="20"/>
  <c r="B20" i="20"/>
  <c r="B76" i="30" l="1"/>
  <c r="D75" i="30"/>
  <c r="C75" i="30"/>
  <c r="G75" i="30"/>
  <c r="H75" i="30" s="1"/>
  <c r="G75" i="31"/>
  <c r="H75" i="31" s="1"/>
  <c r="C75" i="31"/>
  <c r="D75" i="31"/>
  <c r="B76" i="31"/>
  <c r="C76" i="32"/>
  <c r="G76" i="32"/>
  <c r="H76" i="32" s="1"/>
  <c r="B77" i="32"/>
  <c r="D76" i="32"/>
  <c r="A22" i="20"/>
  <c r="E21" i="20"/>
  <c r="D21" i="20"/>
  <c r="C21" i="20"/>
  <c r="B21" i="20"/>
  <c r="C76" i="30" l="1"/>
  <c r="D76" i="30"/>
  <c r="B77" i="30"/>
  <c r="G76" i="30"/>
  <c r="H76" i="30" s="1"/>
  <c r="B77" i="31"/>
  <c r="G76" i="31"/>
  <c r="H76" i="31" s="1"/>
  <c r="D76" i="31"/>
  <c r="C76" i="31"/>
  <c r="G77" i="32"/>
  <c r="H77" i="32" s="1"/>
  <c r="B78" i="32"/>
  <c r="D77" i="32"/>
  <c r="C77" i="32"/>
  <c r="C22" i="20"/>
  <c r="A23" i="20"/>
  <c r="E22" i="20"/>
  <c r="D22" i="20"/>
  <c r="B22" i="20"/>
  <c r="G77" i="30" l="1"/>
  <c r="H77" i="30" s="1"/>
  <c r="D77" i="30"/>
  <c r="C77" i="30"/>
  <c r="B78" i="30"/>
  <c r="C77" i="31"/>
  <c r="B78" i="31"/>
  <c r="G77" i="31"/>
  <c r="H77" i="31" s="1"/>
  <c r="D77" i="31"/>
  <c r="C78" i="32"/>
  <c r="G78" i="32"/>
  <c r="H78" i="32" s="1"/>
  <c r="B79" i="32"/>
  <c r="D78" i="32"/>
  <c r="A24" i="20"/>
  <c r="E23" i="20"/>
  <c r="D23" i="20"/>
  <c r="C23" i="20"/>
  <c r="B23" i="20"/>
  <c r="B79" i="30" l="1"/>
  <c r="G78" i="30"/>
  <c r="H78" i="30" s="1"/>
  <c r="D78" i="30"/>
  <c r="C78" i="30"/>
  <c r="D78" i="31"/>
  <c r="C78" i="31"/>
  <c r="G78" i="31"/>
  <c r="H78" i="31" s="1"/>
  <c r="B79" i="31"/>
  <c r="G79" i="32"/>
  <c r="H79" i="32" s="1"/>
  <c r="B80" i="32"/>
  <c r="D79" i="32"/>
  <c r="C79" i="32"/>
  <c r="A25" i="20"/>
  <c r="E24" i="20"/>
  <c r="C24" i="20"/>
  <c r="D24" i="20"/>
  <c r="B24" i="20"/>
  <c r="C79" i="30" l="1"/>
  <c r="B80" i="30"/>
  <c r="G79" i="30"/>
  <c r="H79" i="30" s="1"/>
  <c r="D79" i="30"/>
  <c r="G79" i="31"/>
  <c r="H79" i="31" s="1"/>
  <c r="C79" i="31"/>
  <c r="B80" i="31"/>
  <c r="D79" i="31"/>
  <c r="C80" i="32"/>
  <c r="G80" i="32"/>
  <c r="H80" i="32" s="1"/>
  <c r="D80" i="32"/>
  <c r="B81" i="32"/>
  <c r="A26" i="20"/>
  <c r="E25" i="20"/>
  <c r="D25" i="20"/>
  <c r="C25" i="20"/>
  <c r="B25" i="20"/>
  <c r="G80" i="30" l="1"/>
  <c r="H80" i="30" s="1"/>
  <c r="D80" i="30"/>
  <c r="C80" i="30"/>
  <c r="B81" i="30"/>
  <c r="B81" i="31"/>
  <c r="G80" i="31"/>
  <c r="H80" i="31" s="1"/>
  <c r="D80" i="31"/>
  <c r="C80" i="31"/>
  <c r="G81" i="32"/>
  <c r="H81" i="32" s="1"/>
  <c r="B82" i="32"/>
  <c r="D81" i="32"/>
  <c r="C81" i="32"/>
  <c r="C26" i="20"/>
  <c r="A27" i="20"/>
  <c r="E26" i="20"/>
  <c r="D26" i="20"/>
  <c r="B26" i="20"/>
  <c r="B82" i="30" l="1"/>
  <c r="G81" i="30"/>
  <c r="H81" i="30" s="1"/>
  <c r="D81" i="30"/>
  <c r="C81" i="30"/>
  <c r="B82" i="31"/>
  <c r="G81" i="31"/>
  <c r="H81" i="31" s="1"/>
  <c r="D81" i="31"/>
  <c r="C81" i="31"/>
  <c r="C82" i="32"/>
  <c r="G82" i="32"/>
  <c r="H82" i="32" s="1"/>
  <c r="D82" i="32"/>
  <c r="B83" i="32"/>
  <c r="A28" i="20"/>
  <c r="E27" i="20"/>
  <c r="D27" i="20"/>
  <c r="C27" i="20"/>
  <c r="B27" i="20"/>
  <c r="G82" i="30" l="1"/>
  <c r="H82" i="30" s="1"/>
  <c r="B83" i="30"/>
  <c r="D82" i="30"/>
  <c r="C82" i="30"/>
  <c r="D82" i="31"/>
  <c r="C82" i="31"/>
  <c r="G82" i="31"/>
  <c r="H82" i="31" s="1"/>
  <c r="B83" i="31"/>
  <c r="G83" i="32"/>
  <c r="H83" i="32" s="1"/>
  <c r="B84" i="32"/>
  <c r="D83" i="32"/>
  <c r="C83" i="32"/>
  <c r="A29" i="20"/>
  <c r="E28" i="20"/>
  <c r="D28" i="20"/>
  <c r="C28" i="20"/>
  <c r="B28" i="20"/>
  <c r="B84" i="30" l="1"/>
  <c r="G83" i="30"/>
  <c r="H83" i="30" s="1"/>
  <c r="D83" i="30"/>
  <c r="C83" i="30"/>
  <c r="G83" i="31"/>
  <c r="H83" i="31" s="1"/>
  <c r="C83" i="31"/>
  <c r="B84" i="31"/>
  <c r="D83" i="31"/>
  <c r="C84" i="32"/>
  <c r="G84" i="32"/>
  <c r="H84" i="32" s="1"/>
  <c r="B85" i="32"/>
  <c r="D84" i="32"/>
  <c r="A30" i="20"/>
  <c r="E29" i="20"/>
  <c r="D29" i="20"/>
  <c r="C29" i="20"/>
  <c r="B29" i="20"/>
  <c r="D84" i="30" l="1"/>
  <c r="B85" i="30"/>
  <c r="G84" i="30"/>
  <c r="H84" i="30" s="1"/>
  <c r="C84" i="30"/>
  <c r="B85" i="31"/>
  <c r="G84" i="31"/>
  <c r="H84" i="31" s="1"/>
  <c r="D84" i="31"/>
  <c r="C84" i="31"/>
  <c r="G85" i="32"/>
  <c r="H85" i="32" s="1"/>
  <c r="B86" i="32"/>
  <c r="D85" i="32"/>
  <c r="C85" i="32"/>
  <c r="A31" i="20"/>
  <c r="E30" i="20"/>
  <c r="D30" i="20"/>
  <c r="C30" i="20"/>
  <c r="B30" i="20"/>
  <c r="C85" i="30" l="1"/>
  <c r="B86" i="30"/>
  <c r="D85" i="30"/>
  <c r="G85" i="30"/>
  <c r="H85" i="30" s="1"/>
  <c r="B86" i="31"/>
  <c r="G85" i="31"/>
  <c r="H85" i="31" s="1"/>
  <c r="D85" i="31"/>
  <c r="C85" i="31"/>
  <c r="C86" i="32"/>
  <c r="G86" i="32"/>
  <c r="H86" i="32" s="1"/>
  <c r="B87" i="32"/>
  <c r="D86" i="32"/>
  <c r="D31" i="20"/>
  <c r="C31" i="20"/>
  <c r="B31" i="20"/>
  <c r="A32" i="20"/>
  <c r="E31" i="20"/>
  <c r="G86" i="30" l="1"/>
  <c r="H86" i="30" s="1"/>
  <c r="D86" i="30"/>
  <c r="B87" i="30"/>
  <c r="C86" i="30"/>
  <c r="D86" i="31"/>
  <c r="C86" i="31"/>
  <c r="G86" i="31"/>
  <c r="H86" i="31" s="1"/>
  <c r="B87" i="31"/>
  <c r="G87" i="32"/>
  <c r="H87" i="32" s="1"/>
  <c r="B88" i="32"/>
  <c r="D87" i="32"/>
  <c r="C87" i="32"/>
  <c r="A33" i="20"/>
  <c r="E32" i="20"/>
  <c r="B32" i="20"/>
  <c r="D32" i="20"/>
  <c r="C32" i="20"/>
  <c r="B88" i="30" l="1"/>
  <c r="D87" i="30"/>
  <c r="C87" i="30"/>
  <c r="G87" i="30"/>
  <c r="H87" i="30" s="1"/>
  <c r="G87" i="31"/>
  <c r="H87" i="31" s="1"/>
  <c r="C87" i="31"/>
  <c r="B88" i="31"/>
  <c r="D87" i="31"/>
  <c r="C88" i="32"/>
  <c r="G88" i="32"/>
  <c r="H88" i="32" s="1"/>
  <c r="D88" i="32"/>
  <c r="B89" i="32"/>
  <c r="D33" i="20"/>
  <c r="C33" i="20"/>
  <c r="B33" i="20"/>
  <c r="E33" i="20"/>
  <c r="A34" i="20"/>
  <c r="D88" i="30" l="1"/>
  <c r="G88" i="30"/>
  <c r="H88" i="30" s="1"/>
  <c r="B89" i="30"/>
  <c r="C88" i="30"/>
  <c r="B89" i="31"/>
  <c r="G88" i="31"/>
  <c r="H88" i="31" s="1"/>
  <c r="D88" i="31"/>
  <c r="C88" i="31"/>
  <c r="B90" i="32"/>
  <c r="D89" i="32"/>
  <c r="G89" i="32"/>
  <c r="H89" i="32" s="1"/>
  <c r="C89" i="32"/>
  <c r="B34" i="20"/>
  <c r="A35" i="20"/>
  <c r="E34" i="20"/>
  <c r="D34" i="20"/>
  <c r="C34" i="20"/>
  <c r="B90" i="30" l="1"/>
  <c r="G89" i="30"/>
  <c r="H89" i="30" s="1"/>
  <c r="C89" i="30"/>
  <c r="D89" i="30"/>
  <c r="B90" i="31"/>
  <c r="G89" i="31"/>
  <c r="H89" i="31" s="1"/>
  <c r="D89" i="31"/>
  <c r="C89" i="31"/>
  <c r="G90" i="32"/>
  <c r="H90" i="32" s="1"/>
  <c r="D90" i="32"/>
  <c r="B91" i="32"/>
  <c r="C90" i="32"/>
  <c r="A36" i="20"/>
  <c r="D35" i="20"/>
  <c r="C35" i="20"/>
  <c r="B35" i="20"/>
  <c r="E35" i="20"/>
  <c r="C90" i="30" l="1"/>
  <c r="B91" i="30"/>
  <c r="D90" i="30"/>
  <c r="G90" i="30"/>
  <c r="H90" i="30" s="1"/>
  <c r="D90" i="31"/>
  <c r="C90" i="31"/>
  <c r="B91" i="31"/>
  <c r="G90" i="31"/>
  <c r="H90" i="31" s="1"/>
  <c r="B92" i="32"/>
  <c r="D91" i="32"/>
  <c r="G91" i="32"/>
  <c r="H91" i="32" s="1"/>
  <c r="C91" i="32"/>
  <c r="C36" i="20"/>
  <c r="A37" i="20"/>
  <c r="E36" i="20"/>
  <c r="B36" i="20"/>
  <c r="D36" i="20"/>
  <c r="B92" i="30" l="1"/>
  <c r="D91" i="30"/>
  <c r="G91" i="30"/>
  <c r="H91" i="30" s="1"/>
  <c r="C91" i="30"/>
  <c r="G91" i="31"/>
  <c r="H91" i="31" s="1"/>
  <c r="C91" i="31"/>
  <c r="B92" i="31"/>
  <c r="D91" i="31"/>
  <c r="D92" i="32"/>
  <c r="B93" i="32"/>
  <c r="C92" i="32"/>
  <c r="G92" i="32"/>
  <c r="H92" i="32" s="1"/>
  <c r="A38" i="20"/>
  <c r="E37" i="20"/>
  <c r="D37" i="20"/>
  <c r="C37" i="20"/>
  <c r="B37" i="20"/>
  <c r="G92" i="30" l="1"/>
  <c r="H92" i="30" s="1"/>
  <c r="B93" i="30"/>
  <c r="C92" i="30"/>
  <c r="D92" i="30"/>
  <c r="B93" i="31"/>
  <c r="G92" i="31"/>
  <c r="H92" i="31" s="1"/>
  <c r="C92" i="31"/>
  <c r="D92" i="31"/>
  <c r="B94" i="32"/>
  <c r="D93" i="32"/>
  <c r="C93" i="32"/>
  <c r="G93" i="32"/>
  <c r="H93" i="32" s="1"/>
  <c r="D38" i="20"/>
  <c r="C38" i="20"/>
  <c r="A39" i="20"/>
  <c r="E38" i="20"/>
  <c r="B38" i="20"/>
  <c r="D93" i="30" l="1"/>
  <c r="C93" i="30"/>
  <c r="B94" i="30"/>
  <c r="G93" i="30"/>
  <c r="H93" i="30" s="1"/>
  <c r="G93" i="31"/>
  <c r="H93" i="31" s="1"/>
  <c r="D93" i="31"/>
  <c r="C93" i="31"/>
  <c r="B94" i="31"/>
  <c r="B95" i="32"/>
  <c r="C94" i="32"/>
  <c r="G94" i="32"/>
  <c r="H94" i="32" s="1"/>
  <c r="D94" i="32"/>
  <c r="A40" i="20"/>
  <c r="E39" i="20"/>
  <c r="B39" i="20"/>
  <c r="C39" i="20"/>
  <c r="D39" i="20"/>
  <c r="B95" i="30" l="1"/>
  <c r="G94" i="30"/>
  <c r="H94" i="30" s="1"/>
  <c r="C94" i="30"/>
  <c r="D94" i="30"/>
  <c r="D94" i="31"/>
  <c r="C94" i="31"/>
  <c r="B95" i="31"/>
  <c r="G94" i="31"/>
  <c r="H94" i="31" s="1"/>
  <c r="B96" i="32"/>
  <c r="D95" i="32"/>
  <c r="G95" i="32"/>
  <c r="H95" i="32" s="1"/>
  <c r="C95" i="32"/>
  <c r="D40" i="20"/>
  <c r="C40" i="20"/>
  <c r="A41" i="20"/>
  <c r="E40" i="20"/>
  <c r="B40" i="20"/>
  <c r="D95" i="30" l="1"/>
  <c r="C95" i="30"/>
  <c r="B96" i="30"/>
  <c r="G95" i="30"/>
  <c r="H95" i="30" s="1"/>
  <c r="G95" i="31"/>
  <c r="H95" i="31" s="1"/>
  <c r="C95" i="31"/>
  <c r="B96" i="31"/>
  <c r="D95" i="31"/>
  <c r="G96" i="32"/>
  <c r="H96" i="32" s="1"/>
  <c r="D96" i="32"/>
  <c r="B97" i="32"/>
  <c r="C96" i="32"/>
  <c r="A42" i="20"/>
  <c r="E41" i="20"/>
  <c r="D41" i="20"/>
  <c r="C41" i="20"/>
  <c r="B41" i="20"/>
  <c r="D96" i="30" l="1"/>
  <c r="C96" i="30"/>
  <c r="G96" i="30"/>
  <c r="H96" i="30" s="1"/>
  <c r="B97" i="30"/>
  <c r="B97" i="31"/>
  <c r="G96" i="31"/>
  <c r="H96" i="31" s="1"/>
  <c r="D96" i="31"/>
  <c r="C96" i="31"/>
  <c r="B98" i="32"/>
  <c r="D97" i="32"/>
  <c r="G97" i="32"/>
  <c r="H97" i="32" s="1"/>
  <c r="C97" i="32"/>
  <c r="D42" i="20"/>
  <c r="C42" i="20"/>
  <c r="A43" i="20"/>
  <c r="E42" i="20"/>
  <c r="B42" i="20"/>
  <c r="B98" i="30" l="1"/>
  <c r="C97" i="30"/>
  <c r="G97" i="30"/>
  <c r="H97" i="30" s="1"/>
  <c r="D97" i="30"/>
  <c r="G97" i="31"/>
  <c r="H97" i="31" s="1"/>
  <c r="D97" i="31"/>
  <c r="C97" i="31"/>
  <c r="B98" i="31"/>
  <c r="G98" i="32"/>
  <c r="H98" i="32" s="1"/>
  <c r="D98" i="32"/>
  <c r="B99" i="32"/>
  <c r="C98" i="32"/>
  <c r="A44" i="20"/>
  <c r="E43" i="20"/>
  <c r="B43" i="20"/>
  <c r="D43" i="20"/>
  <c r="C43" i="20"/>
  <c r="C98" i="30" l="1"/>
  <c r="G98" i="30"/>
  <c r="H98" i="30" s="1"/>
  <c r="D98" i="30"/>
  <c r="B99" i="30"/>
  <c r="D98" i="31"/>
  <c r="C98" i="31"/>
  <c r="B99" i="31"/>
  <c r="G98" i="31"/>
  <c r="H98" i="31" s="1"/>
  <c r="B100" i="32"/>
  <c r="D99" i="32"/>
  <c r="G99" i="32"/>
  <c r="H99" i="32" s="1"/>
  <c r="C99" i="32"/>
  <c r="A45" i="20"/>
  <c r="D44" i="20"/>
  <c r="C44" i="20"/>
  <c r="E44" i="20"/>
  <c r="B44" i="20"/>
  <c r="G99" i="30" l="1"/>
  <c r="H99" i="30" s="1"/>
  <c r="C99" i="30"/>
  <c r="B100" i="30"/>
  <c r="D99" i="30"/>
  <c r="G99" i="31"/>
  <c r="H99" i="31" s="1"/>
  <c r="C99" i="31"/>
  <c r="D99" i="31"/>
  <c r="B100" i="31"/>
  <c r="D100" i="32"/>
  <c r="B101" i="32"/>
  <c r="C100" i="32"/>
  <c r="G100" i="32"/>
  <c r="H100" i="32" s="1"/>
  <c r="A46" i="20"/>
  <c r="E45" i="20"/>
  <c r="D45" i="20"/>
  <c r="C45" i="20"/>
  <c r="B45" i="20"/>
  <c r="G100" i="30" l="1"/>
  <c r="H100" i="30" s="1"/>
  <c r="C100" i="30"/>
  <c r="B101" i="30"/>
  <c r="D100" i="30"/>
  <c r="B101" i="31"/>
  <c r="G100" i="31"/>
  <c r="H100" i="31" s="1"/>
  <c r="D100" i="31"/>
  <c r="C100" i="31"/>
  <c r="B102" i="32"/>
  <c r="D101" i="32"/>
  <c r="C101" i="32"/>
  <c r="G101" i="32"/>
  <c r="H101" i="32" s="1"/>
  <c r="A47" i="20"/>
  <c r="E46" i="20"/>
  <c r="D46" i="20"/>
  <c r="C46" i="20"/>
  <c r="B46" i="20"/>
  <c r="G101" i="30" l="1"/>
  <c r="H101" i="30" s="1"/>
  <c r="C101" i="30"/>
  <c r="B102" i="30"/>
  <c r="D101" i="30"/>
  <c r="G101" i="31"/>
  <c r="H101" i="31" s="1"/>
  <c r="D101" i="31"/>
  <c r="C101" i="31"/>
  <c r="B102" i="31"/>
  <c r="B103" i="32"/>
  <c r="D102" i="32"/>
  <c r="G102" i="32"/>
  <c r="H102" i="32" s="1"/>
  <c r="C102" i="32"/>
  <c r="A48" i="20"/>
  <c r="E47" i="20"/>
  <c r="D47" i="20"/>
  <c r="C47" i="20"/>
  <c r="B47" i="20"/>
  <c r="G102" i="30" l="1"/>
  <c r="H102" i="30" s="1"/>
  <c r="C102" i="30"/>
  <c r="B103" i="30"/>
  <c r="D102" i="30"/>
  <c r="D102" i="31"/>
  <c r="C102" i="31"/>
  <c r="B103" i="31"/>
  <c r="G102" i="31"/>
  <c r="H102" i="31" s="1"/>
  <c r="B104" i="32"/>
  <c r="D103" i="32"/>
  <c r="G103" i="32"/>
  <c r="H103" i="32" s="1"/>
  <c r="C103" i="32"/>
  <c r="A49" i="20"/>
  <c r="E48" i="20"/>
  <c r="D48" i="20"/>
  <c r="C48" i="20"/>
  <c r="B48" i="20"/>
  <c r="C103" i="30" l="1"/>
  <c r="B104" i="30"/>
  <c r="D103" i="30"/>
  <c r="G103" i="30"/>
  <c r="H103" i="30" s="1"/>
  <c r="G103" i="31"/>
  <c r="H103" i="31" s="1"/>
  <c r="C103" i="31"/>
  <c r="D103" i="31"/>
  <c r="B104" i="31"/>
  <c r="B105" i="32"/>
  <c r="D104" i="32"/>
  <c r="G104" i="32"/>
  <c r="H104" i="32" s="1"/>
  <c r="C104" i="32"/>
  <c r="A50" i="20"/>
  <c r="E49" i="20"/>
  <c r="D49" i="20"/>
  <c r="C49" i="20"/>
  <c r="B49" i="20"/>
  <c r="B105" i="30" l="1"/>
  <c r="D104" i="30"/>
  <c r="C104" i="30"/>
  <c r="G104" i="30"/>
  <c r="H104" i="30" s="1"/>
  <c r="B105" i="31"/>
  <c r="G104" i="31"/>
  <c r="H104" i="31" s="1"/>
  <c r="D104" i="31"/>
  <c r="C104" i="31"/>
  <c r="B106" i="32"/>
  <c r="D105" i="32"/>
  <c r="C105" i="32"/>
  <c r="G105" i="32"/>
  <c r="H105" i="32" s="1"/>
  <c r="A51" i="20"/>
  <c r="E50" i="20"/>
  <c r="D50" i="20"/>
  <c r="C50" i="20"/>
  <c r="B50" i="20"/>
  <c r="B106" i="30" l="1"/>
  <c r="C105" i="30"/>
  <c r="G105" i="30"/>
  <c r="H105" i="30" s="1"/>
  <c r="D105" i="30"/>
  <c r="D105" i="31"/>
  <c r="C105" i="31"/>
  <c r="B106" i="31"/>
  <c r="G105" i="31"/>
  <c r="H105" i="31" s="1"/>
  <c r="B107" i="32"/>
  <c r="D106" i="32"/>
  <c r="G106" i="32"/>
  <c r="H106" i="32" s="1"/>
  <c r="C106" i="32"/>
  <c r="A52" i="20"/>
  <c r="E51" i="20"/>
  <c r="C51" i="20"/>
  <c r="B51" i="20"/>
  <c r="D51" i="20"/>
  <c r="C106" i="30" l="1"/>
  <c r="B107" i="30"/>
  <c r="D106" i="30"/>
  <c r="G106" i="30"/>
  <c r="H106" i="30" s="1"/>
  <c r="D106" i="31"/>
  <c r="C106" i="31"/>
  <c r="B107" i="31"/>
  <c r="G106" i="31"/>
  <c r="H106" i="31" s="1"/>
  <c r="B108" i="32"/>
  <c r="D107" i="32"/>
  <c r="G107" i="32"/>
  <c r="H107" i="32" s="1"/>
  <c r="C107" i="32"/>
  <c r="A53" i="20"/>
  <c r="E52" i="20"/>
  <c r="D52" i="20"/>
  <c r="C52" i="20"/>
  <c r="B52" i="20"/>
  <c r="B108" i="30" l="1"/>
  <c r="D107" i="30"/>
  <c r="C107" i="30"/>
  <c r="G107" i="30"/>
  <c r="H107" i="30" s="1"/>
  <c r="G107" i="31"/>
  <c r="H107" i="31" s="1"/>
  <c r="C107" i="31"/>
  <c r="B108" i="31"/>
  <c r="D107" i="31"/>
  <c r="B109" i="32"/>
  <c r="D108" i="32"/>
  <c r="G108" i="32"/>
  <c r="H108" i="32" s="1"/>
  <c r="C108" i="32"/>
  <c r="A54" i="20"/>
  <c r="E53" i="20"/>
  <c r="B53" i="20"/>
  <c r="C53" i="20"/>
  <c r="D53" i="20"/>
  <c r="B109" i="30" l="1"/>
  <c r="D108" i="30"/>
  <c r="C108" i="30"/>
  <c r="G108" i="30"/>
  <c r="H108" i="30" s="1"/>
  <c r="B109" i="31"/>
  <c r="G108" i="31"/>
  <c r="H108" i="31" s="1"/>
  <c r="D108" i="31"/>
  <c r="C108" i="31"/>
  <c r="B110" i="32"/>
  <c r="D109" i="32"/>
  <c r="C109" i="32"/>
  <c r="G109" i="32"/>
  <c r="H109" i="32" s="1"/>
  <c r="A55" i="20"/>
  <c r="E54" i="20"/>
  <c r="D54" i="20"/>
  <c r="C54" i="20"/>
  <c r="B54" i="20"/>
  <c r="G109" i="30" l="1"/>
  <c r="H109" i="30" s="1"/>
  <c r="D109" i="30"/>
  <c r="B110" i="30"/>
  <c r="C109" i="30"/>
  <c r="C109" i="31"/>
  <c r="B110" i="31"/>
  <c r="G109" i="31"/>
  <c r="H109" i="31" s="1"/>
  <c r="D109" i="31"/>
  <c r="B111" i="32"/>
  <c r="D110" i="32"/>
  <c r="G110" i="32"/>
  <c r="H110" i="32" s="1"/>
  <c r="C110" i="32"/>
  <c r="A56" i="20"/>
  <c r="E55" i="20"/>
  <c r="B55" i="20"/>
  <c r="D55" i="20"/>
  <c r="C55" i="20"/>
  <c r="B111" i="30" l="1"/>
  <c r="G110" i="30"/>
  <c r="H110" i="30" s="1"/>
  <c r="D110" i="30"/>
  <c r="C110" i="30"/>
  <c r="D110" i="31"/>
  <c r="C110" i="31"/>
  <c r="G110" i="31"/>
  <c r="H110" i="31" s="1"/>
  <c r="B111" i="31"/>
  <c r="B112" i="32"/>
  <c r="D111" i="32"/>
  <c r="G111" i="32"/>
  <c r="H111" i="32" s="1"/>
  <c r="C111" i="32"/>
  <c r="A57" i="20"/>
  <c r="E56" i="20"/>
  <c r="D56" i="20"/>
  <c r="C56" i="20"/>
  <c r="B56" i="20"/>
  <c r="B112" i="30" l="1"/>
  <c r="D111" i="30"/>
  <c r="C111" i="30"/>
  <c r="G111" i="30"/>
  <c r="H111" i="30" s="1"/>
  <c r="G111" i="31"/>
  <c r="H111" i="31" s="1"/>
  <c r="C111" i="31"/>
  <c r="B112" i="31"/>
  <c r="D111" i="31"/>
  <c r="B113" i="32"/>
  <c r="D112" i="32"/>
  <c r="G112" i="32"/>
  <c r="H112" i="32" s="1"/>
  <c r="C112" i="32"/>
  <c r="A58" i="20"/>
  <c r="E57" i="20"/>
  <c r="D57" i="20"/>
  <c r="C57" i="20"/>
  <c r="B57" i="20"/>
  <c r="G112" i="30" l="1"/>
  <c r="H112" i="30" s="1"/>
  <c r="D112" i="30"/>
  <c r="C112" i="30"/>
  <c r="B113" i="30"/>
  <c r="B113" i="31"/>
  <c r="G112" i="31"/>
  <c r="H112" i="31" s="1"/>
  <c r="D112" i="31"/>
  <c r="C112" i="31"/>
  <c r="B114" i="32"/>
  <c r="D113" i="32"/>
  <c r="C113" i="32"/>
  <c r="G113" i="32"/>
  <c r="H113" i="32" s="1"/>
  <c r="A59" i="20"/>
  <c r="E58" i="20"/>
  <c r="D58" i="20"/>
  <c r="C58" i="20"/>
  <c r="B58" i="20"/>
  <c r="B114" i="30" l="1"/>
  <c r="D113" i="30"/>
  <c r="C113" i="30"/>
  <c r="G113" i="30"/>
  <c r="H113" i="30" s="1"/>
  <c r="B114" i="31"/>
  <c r="G113" i="31"/>
  <c r="H113" i="31" s="1"/>
  <c r="D113" i="31"/>
  <c r="C113" i="31"/>
  <c r="B115" i="32"/>
  <c r="D114" i="32"/>
  <c r="G114" i="32"/>
  <c r="H114" i="32" s="1"/>
  <c r="C114" i="32"/>
  <c r="A60" i="20"/>
  <c r="E59" i="20"/>
  <c r="D59" i="20"/>
  <c r="C59" i="20"/>
  <c r="B59" i="20"/>
  <c r="D114" i="30" l="1"/>
  <c r="C114" i="30"/>
  <c r="G114" i="30"/>
  <c r="H114" i="30" s="1"/>
  <c r="B115" i="30"/>
  <c r="D114" i="31"/>
  <c r="C114" i="31"/>
  <c r="G114" i="31"/>
  <c r="H114" i="31" s="1"/>
  <c r="B115" i="31"/>
  <c r="B116" i="32"/>
  <c r="D115" i="32"/>
  <c r="G115" i="32"/>
  <c r="H115" i="32" s="1"/>
  <c r="C115" i="32"/>
  <c r="A61" i="20"/>
  <c r="E60" i="20"/>
  <c r="D60" i="20"/>
  <c r="C60" i="20"/>
  <c r="B60" i="20"/>
  <c r="G115" i="30" l="1"/>
  <c r="H115" i="30" s="1"/>
  <c r="C115" i="30"/>
  <c r="B116" i="30"/>
  <c r="D115" i="30"/>
  <c r="G115" i="31"/>
  <c r="H115" i="31" s="1"/>
  <c r="C115" i="31"/>
  <c r="B116" i="31"/>
  <c r="D115" i="31"/>
  <c r="B117" i="32"/>
  <c r="D116" i="32"/>
  <c r="G116" i="32"/>
  <c r="H116" i="32" s="1"/>
  <c r="C116" i="32"/>
  <c r="A62" i="20"/>
  <c r="E61" i="20"/>
  <c r="D61" i="20"/>
  <c r="C61" i="20"/>
  <c r="B61" i="20"/>
  <c r="G116" i="30" l="1"/>
  <c r="H116" i="30" s="1"/>
  <c r="D116" i="30"/>
  <c r="B117" i="30"/>
  <c r="C116" i="30"/>
  <c r="B117" i="31"/>
  <c r="G116" i="31"/>
  <c r="H116" i="31" s="1"/>
  <c r="D116" i="31"/>
  <c r="C116" i="31"/>
  <c r="B118" i="32"/>
  <c r="D117" i="32"/>
  <c r="C117" i="32"/>
  <c r="G117" i="32"/>
  <c r="H117" i="32" s="1"/>
  <c r="A63" i="20"/>
  <c r="E62" i="20"/>
  <c r="D62" i="20"/>
  <c r="C62" i="20"/>
  <c r="B62" i="20"/>
  <c r="D117" i="30" l="1"/>
  <c r="C117" i="30"/>
  <c r="B118" i="30"/>
  <c r="G117" i="30"/>
  <c r="H117" i="30" s="1"/>
  <c r="B118" i="31"/>
  <c r="G117" i="31"/>
  <c r="H117" i="31" s="1"/>
  <c r="D117" i="31"/>
  <c r="C117" i="31"/>
  <c r="B119" i="32"/>
  <c r="D118" i="32"/>
  <c r="G118" i="32"/>
  <c r="H118" i="32" s="1"/>
  <c r="C118" i="32"/>
  <c r="A64" i="20"/>
  <c r="E63" i="20"/>
  <c r="D63" i="20"/>
  <c r="C63" i="20"/>
  <c r="B63" i="20"/>
  <c r="B119" i="30" l="1"/>
  <c r="G118" i="30"/>
  <c r="H118" i="30" s="1"/>
  <c r="C118" i="30"/>
  <c r="D118" i="30"/>
  <c r="D118" i="31"/>
  <c r="C118" i="31"/>
  <c r="G118" i="31"/>
  <c r="H118" i="31" s="1"/>
  <c r="B119" i="31"/>
  <c r="B120" i="32"/>
  <c r="D119" i="32"/>
  <c r="G119" i="32"/>
  <c r="H119" i="32" s="1"/>
  <c r="C119" i="32"/>
  <c r="A65" i="20"/>
  <c r="E64" i="20"/>
  <c r="D64" i="20"/>
  <c r="C64" i="20"/>
  <c r="B64" i="20"/>
  <c r="C119" i="30" l="1"/>
  <c r="B120" i="30"/>
  <c r="G119" i="30"/>
  <c r="H119" i="30" s="1"/>
  <c r="D119" i="30"/>
  <c r="G119" i="31"/>
  <c r="H119" i="31" s="1"/>
  <c r="C119" i="31"/>
  <c r="B120" i="31"/>
  <c r="D119" i="31"/>
  <c r="B121" i="32"/>
  <c r="D120" i="32"/>
  <c r="G120" i="32"/>
  <c r="H120" i="32" s="1"/>
  <c r="C120" i="32"/>
  <c r="A66" i="20"/>
  <c r="E65" i="20"/>
  <c r="D65" i="20"/>
  <c r="C65" i="20"/>
  <c r="B65" i="20"/>
  <c r="B121" i="30" l="1"/>
  <c r="D120" i="30"/>
  <c r="G120" i="30"/>
  <c r="H120" i="30" s="1"/>
  <c r="C120" i="30"/>
  <c r="B121" i="31"/>
  <c r="G120" i="31"/>
  <c r="H120" i="31" s="1"/>
  <c r="D120" i="31"/>
  <c r="C120" i="31"/>
  <c r="B122" i="32"/>
  <c r="D121" i="32"/>
  <c r="C121" i="32"/>
  <c r="G121" i="32"/>
  <c r="H121" i="32" s="1"/>
  <c r="A67" i="20"/>
  <c r="E66" i="20"/>
  <c r="D66" i="20"/>
  <c r="C66" i="20"/>
  <c r="B66" i="20"/>
  <c r="B122" i="30" l="1"/>
  <c r="G121" i="30"/>
  <c r="H121" i="30" s="1"/>
  <c r="C121" i="30"/>
  <c r="D121" i="30"/>
  <c r="B122" i="31"/>
  <c r="G121" i="31"/>
  <c r="H121" i="31" s="1"/>
  <c r="D121" i="31"/>
  <c r="C121" i="31"/>
  <c r="B123" i="32"/>
  <c r="D122" i="32"/>
  <c r="G122" i="32"/>
  <c r="H122" i="32" s="1"/>
  <c r="C122" i="32"/>
  <c r="A68" i="20"/>
  <c r="E67" i="20"/>
  <c r="C67" i="20"/>
  <c r="B67" i="20"/>
  <c r="D67" i="20"/>
  <c r="D122" i="30" l="1"/>
  <c r="C122" i="30"/>
  <c r="B123" i="30"/>
  <c r="G122" i="30"/>
  <c r="H122" i="30" s="1"/>
  <c r="D122" i="31"/>
  <c r="C122" i="31"/>
  <c r="B123" i="31"/>
  <c r="G122" i="31"/>
  <c r="H122" i="31" s="1"/>
  <c r="B124" i="32"/>
  <c r="D123" i="32"/>
  <c r="G123" i="32"/>
  <c r="H123" i="32" s="1"/>
  <c r="C123" i="32"/>
  <c r="A69" i="20"/>
  <c r="E68" i="20"/>
  <c r="D68" i="20"/>
  <c r="C68" i="20"/>
  <c r="B68" i="20"/>
  <c r="D123" i="30" l="1"/>
  <c r="C123" i="30"/>
  <c r="B124" i="30"/>
  <c r="G123" i="30"/>
  <c r="H123" i="30" s="1"/>
  <c r="G123" i="31"/>
  <c r="H123" i="31" s="1"/>
  <c r="C123" i="31"/>
  <c r="B124" i="31"/>
  <c r="D123" i="31"/>
  <c r="B125" i="32"/>
  <c r="D124" i="32"/>
  <c r="G124" i="32"/>
  <c r="H124" i="32" s="1"/>
  <c r="C124" i="32"/>
  <c r="A70" i="20"/>
  <c r="E69" i="20"/>
  <c r="B69" i="20"/>
  <c r="D69" i="20"/>
  <c r="C69" i="20"/>
  <c r="B125" i="30" l="1"/>
  <c r="D124" i="30"/>
  <c r="C124" i="30"/>
  <c r="G124" i="30"/>
  <c r="H124" i="30" s="1"/>
  <c r="B125" i="31"/>
  <c r="G124" i="31"/>
  <c r="H124" i="31" s="1"/>
  <c r="C124" i="31"/>
  <c r="D124" i="31"/>
  <c r="B126" i="32"/>
  <c r="D125" i="32"/>
  <c r="C125" i="32"/>
  <c r="G125" i="32"/>
  <c r="H125" i="32" s="1"/>
  <c r="A71" i="20"/>
  <c r="E70" i="20"/>
  <c r="D70" i="20"/>
  <c r="C70" i="20"/>
  <c r="B70" i="20"/>
  <c r="B126" i="30" l="1"/>
  <c r="D125" i="30"/>
  <c r="G125" i="30"/>
  <c r="H125" i="30" s="1"/>
  <c r="C125" i="30"/>
  <c r="G125" i="31"/>
  <c r="H125" i="31" s="1"/>
  <c r="D125" i="31"/>
  <c r="C125" i="31"/>
  <c r="B126" i="31"/>
  <c r="B127" i="32"/>
  <c r="D126" i="32"/>
  <c r="G126" i="32"/>
  <c r="H126" i="32" s="1"/>
  <c r="C126" i="32"/>
  <c r="A72" i="20"/>
  <c r="E71" i="20"/>
  <c r="C71" i="20"/>
  <c r="B71" i="20"/>
  <c r="D71" i="20"/>
  <c r="B127" i="30" l="1"/>
  <c r="G126" i="30"/>
  <c r="H126" i="30" s="1"/>
  <c r="D126" i="30"/>
  <c r="C126" i="30"/>
  <c r="D126" i="31"/>
  <c r="C126" i="31"/>
  <c r="B127" i="31"/>
  <c r="G126" i="31"/>
  <c r="H126" i="31" s="1"/>
  <c r="B128" i="32"/>
  <c r="D127" i="32"/>
  <c r="G127" i="32"/>
  <c r="H127" i="32" s="1"/>
  <c r="C127" i="32"/>
  <c r="A73" i="20"/>
  <c r="E72" i="20"/>
  <c r="D72" i="20"/>
  <c r="C72" i="20"/>
  <c r="B72" i="20"/>
  <c r="B128" i="30" l="1"/>
  <c r="G127" i="30"/>
  <c r="H127" i="30" s="1"/>
  <c r="C127" i="30"/>
  <c r="D127" i="30"/>
  <c r="G127" i="31"/>
  <c r="H127" i="31" s="1"/>
  <c r="C127" i="31"/>
  <c r="B128" i="31"/>
  <c r="D127" i="31"/>
  <c r="G128" i="32"/>
  <c r="H128" i="32" s="1"/>
  <c r="B129" i="32"/>
  <c r="D128" i="32"/>
  <c r="C128" i="32"/>
  <c r="A74" i="20"/>
  <c r="E73" i="20"/>
  <c r="B73" i="20"/>
  <c r="D73" i="20"/>
  <c r="C73" i="20"/>
  <c r="C128" i="30" l="1"/>
  <c r="B129" i="30"/>
  <c r="G128" i="30"/>
  <c r="H128" i="30" s="1"/>
  <c r="D128" i="30"/>
  <c r="B129" i="31"/>
  <c r="G128" i="31"/>
  <c r="H128" i="31" s="1"/>
  <c r="D128" i="31"/>
  <c r="C128" i="31"/>
  <c r="G129" i="32"/>
  <c r="H129" i="32" s="1"/>
  <c r="D129" i="32"/>
  <c r="C129" i="32"/>
  <c r="B130" i="32"/>
  <c r="A75" i="20"/>
  <c r="E74" i="20"/>
  <c r="D74" i="20"/>
  <c r="C74" i="20"/>
  <c r="B74" i="20"/>
  <c r="C129" i="30" l="1"/>
  <c r="G129" i="30"/>
  <c r="H129" i="30" s="1"/>
  <c r="B130" i="30"/>
  <c r="D129" i="30"/>
  <c r="G129" i="31"/>
  <c r="H129" i="31" s="1"/>
  <c r="D129" i="31"/>
  <c r="C129" i="31"/>
  <c r="B130" i="31"/>
  <c r="B131" i="32"/>
  <c r="D130" i="32"/>
  <c r="C130" i="32"/>
  <c r="G130" i="32"/>
  <c r="H130" i="32" s="1"/>
  <c r="A76" i="20"/>
  <c r="E75" i="20"/>
  <c r="D75" i="20"/>
  <c r="C75" i="20"/>
  <c r="B75" i="20"/>
  <c r="G130" i="30" l="1"/>
  <c r="H130" i="30" s="1"/>
  <c r="C130" i="30"/>
  <c r="D130" i="30"/>
  <c r="B131" i="30"/>
  <c r="D130" i="31"/>
  <c r="C130" i="31"/>
  <c r="B131" i="31"/>
  <c r="G130" i="31"/>
  <c r="H130" i="31" s="1"/>
  <c r="G131" i="32"/>
  <c r="H131" i="32" s="1"/>
  <c r="D131" i="32"/>
  <c r="C131" i="32"/>
  <c r="B132" i="32"/>
  <c r="A77" i="20"/>
  <c r="E76" i="20"/>
  <c r="D76" i="20"/>
  <c r="C76" i="20"/>
  <c r="B76" i="20"/>
  <c r="G131" i="30" l="1"/>
  <c r="H131" i="30" s="1"/>
  <c r="B132" i="30"/>
  <c r="D131" i="30"/>
  <c r="C131" i="30"/>
  <c r="G131" i="31"/>
  <c r="H131" i="31" s="1"/>
  <c r="C131" i="31"/>
  <c r="D131" i="31"/>
  <c r="B132" i="31"/>
  <c r="B133" i="32"/>
  <c r="D132" i="32"/>
  <c r="C132" i="32"/>
  <c r="G132" i="32"/>
  <c r="H132" i="32" s="1"/>
  <c r="A78" i="20"/>
  <c r="E77" i="20"/>
  <c r="D77" i="20"/>
  <c r="C77" i="20"/>
  <c r="B77" i="20"/>
  <c r="B133" i="30" l="1"/>
  <c r="C132" i="30"/>
  <c r="D132" i="30"/>
  <c r="G132" i="30"/>
  <c r="H132" i="30" s="1"/>
  <c r="B133" i="31"/>
  <c r="G132" i="31"/>
  <c r="H132" i="31" s="1"/>
  <c r="D132" i="31"/>
  <c r="C132" i="31"/>
  <c r="G133" i="32"/>
  <c r="H133" i="32" s="1"/>
  <c r="B134" i="32"/>
  <c r="D133" i="32"/>
  <c r="C133" i="32"/>
  <c r="A79" i="20"/>
  <c r="E78" i="20"/>
  <c r="D78" i="20"/>
  <c r="C78" i="20"/>
  <c r="B78" i="20"/>
  <c r="B134" i="30" l="1"/>
  <c r="C133" i="30"/>
  <c r="G133" i="30"/>
  <c r="H133" i="30" s="1"/>
  <c r="D133" i="30"/>
  <c r="B134" i="31"/>
  <c r="G133" i="31"/>
  <c r="H133" i="31" s="1"/>
  <c r="D133" i="31"/>
  <c r="C133" i="31"/>
  <c r="B135" i="32"/>
  <c r="D134" i="32"/>
  <c r="C134" i="32"/>
  <c r="G134" i="32"/>
  <c r="H134" i="32" s="1"/>
  <c r="A80" i="20"/>
  <c r="E79" i="20"/>
  <c r="D79" i="20"/>
  <c r="C79" i="20"/>
  <c r="B79" i="20"/>
  <c r="G134" i="30" l="1"/>
  <c r="H134" i="30" s="1"/>
  <c r="D134" i="30"/>
  <c r="B135" i="30"/>
  <c r="C134" i="30"/>
  <c r="D134" i="31"/>
  <c r="C134" i="31"/>
  <c r="B135" i="31"/>
  <c r="G134" i="31"/>
  <c r="H134" i="31" s="1"/>
  <c r="G135" i="32"/>
  <c r="H135" i="32" s="1"/>
  <c r="C135" i="32"/>
  <c r="B136" i="32"/>
  <c r="D135" i="32"/>
  <c r="A81" i="20"/>
  <c r="E80" i="20"/>
  <c r="D80" i="20"/>
  <c r="C80" i="20"/>
  <c r="B80" i="20"/>
  <c r="D135" i="30" l="1"/>
  <c r="B136" i="30"/>
  <c r="G135" i="30"/>
  <c r="H135" i="30" s="1"/>
  <c r="C135" i="30"/>
  <c r="G135" i="31"/>
  <c r="H135" i="31" s="1"/>
  <c r="D135" i="31"/>
  <c r="C135" i="31"/>
  <c r="B136" i="31"/>
  <c r="B137" i="32"/>
  <c r="D136" i="32"/>
  <c r="C136" i="32"/>
  <c r="G136" i="32"/>
  <c r="H136" i="32" s="1"/>
  <c r="A82" i="20"/>
  <c r="E81" i="20"/>
  <c r="D81" i="20"/>
  <c r="C81" i="20"/>
  <c r="B81" i="20"/>
  <c r="G136" i="30" l="1"/>
  <c r="H136" i="30" s="1"/>
  <c r="B137" i="30"/>
  <c r="D136" i="30"/>
  <c r="C136" i="30"/>
  <c r="B137" i="31"/>
  <c r="G136" i="31"/>
  <c r="H136" i="31" s="1"/>
  <c r="C136" i="31"/>
  <c r="D136" i="31"/>
  <c r="G137" i="32"/>
  <c r="H137" i="32" s="1"/>
  <c r="D137" i="32"/>
  <c r="C137" i="32"/>
  <c r="B138" i="32"/>
  <c r="A83" i="20"/>
  <c r="E82" i="20"/>
  <c r="D82" i="20"/>
  <c r="C82" i="20"/>
  <c r="B82" i="20"/>
  <c r="B138" i="30" l="1"/>
  <c r="G137" i="30"/>
  <c r="H137" i="30" s="1"/>
  <c r="D137" i="30"/>
  <c r="C137" i="30"/>
  <c r="B138" i="31"/>
  <c r="G137" i="31"/>
  <c r="H137" i="31" s="1"/>
  <c r="D137" i="31"/>
  <c r="C137" i="31"/>
  <c r="B139" i="32"/>
  <c r="D138" i="32"/>
  <c r="C138" i="32"/>
  <c r="G138" i="32"/>
  <c r="H138" i="32" s="1"/>
  <c r="A84" i="20"/>
  <c r="E83" i="20"/>
  <c r="C83" i="20"/>
  <c r="B83" i="20"/>
  <c r="D83" i="20"/>
  <c r="G138" i="30" l="1"/>
  <c r="H138" i="30" s="1"/>
  <c r="B139" i="30"/>
  <c r="D138" i="30"/>
  <c r="C138" i="30"/>
  <c r="D138" i="31"/>
  <c r="C138" i="31"/>
  <c r="G138" i="31"/>
  <c r="H138" i="31" s="1"/>
  <c r="B139" i="31"/>
  <c r="G139" i="32"/>
  <c r="H139" i="32" s="1"/>
  <c r="D139" i="32"/>
  <c r="C139" i="32"/>
  <c r="B140" i="32"/>
  <c r="A85" i="20"/>
  <c r="E84" i="20"/>
  <c r="D84" i="20"/>
  <c r="C84" i="20"/>
  <c r="B84" i="20"/>
  <c r="D139" i="30" l="1"/>
  <c r="G139" i="30"/>
  <c r="H139" i="30" s="1"/>
  <c r="B140" i="30"/>
  <c r="C139" i="30"/>
  <c r="G139" i="31"/>
  <c r="H139" i="31" s="1"/>
  <c r="D139" i="31"/>
  <c r="C139" i="31"/>
  <c r="B140" i="31"/>
  <c r="B141" i="32"/>
  <c r="D140" i="32"/>
  <c r="C140" i="32"/>
  <c r="G140" i="32"/>
  <c r="H140" i="32" s="1"/>
  <c r="A86" i="20"/>
  <c r="E85" i="20"/>
  <c r="B85" i="20"/>
  <c r="D85" i="20"/>
  <c r="C85" i="20"/>
  <c r="C140" i="30" l="1"/>
  <c r="B141" i="30"/>
  <c r="G140" i="30"/>
  <c r="H140" i="30" s="1"/>
  <c r="D140" i="30"/>
  <c r="B141" i="31"/>
  <c r="G140" i="31"/>
  <c r="H140" i="31" s="1"/>
  <c r="D140" i="31"/>
  <c r="C140" i="31"/>
  <c r="G141" i="32"/>
  <c r="H141" i="32" s="1"/>
  <c r="B142" i="32"/>
  <c r="D141" i="32"/>
  <c r="C141" i="32"/>
  <c r="A87" i="20"/>
  <c r="E86" i="20"/>
  <c r="D86" i="20"/>
  <c r="C86" i="20"/>
  <c r="B86" i="20"/>
  <c r="C141" i="30" l="1"/>
  <c r="B142" i="30"/>
  <c r="G141" i="30"/>
  <c r="H141" i="30" s="1"/>
  <c r="D141" i="30"/>
  <c r="B142" i="31"/>
  <c r="D141" i="31"/>
  <c r="C141" i="31"/>
  <c r="G141" i="31"/>
  <c r="H141" i="31" s="1"/>
  <c r="B143" i="32"/>
  <c r="D142" i="32"/>
  <c r="C142" i="32"/>
  <c r="G142" i="32"/>
  <c r="H142" i="32" s="1"/>
  <c r="A88" i="20"/>
  <c r="E87" i="20"/>
  <c r="C87" i="20"/>
  <c r="D87" i="20"/>
  <c r="B87" i="20"/>
  <c r="G142" i="30" l="1"/>
  <c r="H142" i="30" s="1"/>
  <c r="D142" i="30"/>
  <c r="C142" i="30"/>
  <c r="B143" i="30"/>
  <c r="D142" i="31"/>
  <c r="C142" i="31"/>
  <c r="G142" i="31"/>
  <c r="H142" i="31" s="1"/>
  <c r="B143" i="31"/>
  <c r="G143" i="32"/>
  <c r="H143" i="32" s="1"/>
  <c r="C143" i="32"/>
  <c r="B144" i="32"/>
  <c r="D143" i="32"/>
  <c r="A89" i="20"/>
  <c r="E88" i="20"/>
  <c r="D88" i="20"/>
  <c r="C88" i="20"/>
  <c r="B88" i="20"/>
  <c r="D143" i="30" l="1"/>
  <c r="B144" i="30"/>
  <c r="G143" i="30"/>
  <c r="H143" i="30" s="1"/>
  <c r="C143" i="30"/>
  <c r="G143" i="31"/>
  <c r="H143" i="31" s="1"/>
  <c r="D143" i="31"/>
  <c r="C143" i="31"/>
  <c r="B144" i="31"/>
  <c r="B145" i="32"/>
  <c r="D144" i="32"/>
  <c r="C144" i="32"/>
  <c r="G144" i="32"/>
  <c r="H144" i="32" s="1"/>
  <c r="A90" i="20"/>
  <c r="E89" i="20"/>
  <c r="C89" i="20"/>
  <c r="B89" i="20"/>
  <c r="D89" i="20"/>
  <c r="B145" i="30" l="1"/>
  <c r="D144" i="30"/>
  <c r="G144" i="30"/>
  <c r="H144" i="30" s="1"/>
  <c r="C144" i="30"/>
  <c r="B145" i="31"/>
  <c r="G144" i="31"/>
  <c r="H144" i="31" s="1"/>
  <c r="D144" i="31"/>
  <c r="C144" i="31"/>
  <c r="G145" i="32"/>
  <c r="H145" i="32" s="1"/>
  <c r="D145" i="32"/>
  <c r="C145" i="32"/>
  <c r="B146" i="32"/>
  <c r="E90" i="20"/>
  <c r="D90" i="20"/>
  <c r="C90" i="20"/>
  <c r="B90" i="20"/>
  <c r="A91" i="20"/>
  <c r="C145" i="30" l="1"/>
  <c r="B146" i="30"/>
  <c r="D145" i="30"/>
  <c r="G145" i="30"/>
  <c r="H145" i="30" s="1"/>
  <c r="B146" i="31"/>
  <c r="D145" i="31"/>
  <c r="C145" i="31"/>
  <c r="G145" i="31"/>
  <c r="H145" i="31" s="1"/>
  <c r="B147" i="32"/>
  <c r="D146" i="32"/>
  <c r="C146" i="32"/>
  <c r="G146" i="32"/>
  <c r="H146" i="32" s="1"/>
  <c r="A92" i="20"/>
  <c r="E91" i="20"/>
  <c r="D91" i="20"/>
  <c r="B91" i="20"/>
  <c r="C91" i="20"/>
  <c r="D146" i="30" l="1"/>
  <c r="G146" i="30"/>
  <c r="H146" i="30" s="1"/>
  <c r="B147" i="30"/>
  <c r="C146" i="30"/>
  <c r="D146" i="31"/>
  <c r="C146" i="31"/>
  <c r="B147" i="31"/>
  <c r="G146" i="31"/>
  <c r="H146" i="31" s="1"/>
  <c r="G147" i="32"/>
  <c r="H147" i="32" s="1"/>
  <c r="D147" i="32"/>
  <c r="C147" i="32"/>
  <c r="B148" i="32"/>
  <c r="D92" i="20"/>
  <c r="C92" i="20"/>
  <c r="B92" i="20"/>
  <c r="A93" i="20"/>
  <c r="E92" i="20"/>
  <c r="G147" i="30" l="1"/>
  <c r="H147" i="30" s="1"/>
  <c r="B148" i="30"/>
  <c r="D147" i="30"/>
  <c r="C147" i="30"/>
  <c r="G147" i="31"/>
  <c r="H147" i="31" s="1"/>
  <c r="D147" i="31"/>
  <c r="C147" i="31"/>
  <c r="B148" i="31"/>
  <c r="B149" i="32"/>
  <c r="D148" i="32"/>
  <c r="C148" i="32"/>
  <c r="G148" i="32"/>
  <c r="H148" i="32" s="1"/>
  <c r="A94" i="20"/>
  <c r="E93" i="20"/>
  <c r="D93" i="20"/>
  <c r="B93" i="20"/>
  <c r="C93" i="20"/>
  <c r="C148" i="30" l="1"/>
  <c r="B149" i="30"/>
  <c r="G148" i="30"/>
  <c r="H148" i="30" s="1"/>
  <c r="D148" i="30"/>
  <c r="B149" i="31"/>
  <c r="G148" i="31"/>
  <c r="H148" i="31" s="1"/>
  <c r="D148" i="31"/>
  <c r="C148" i="31"/>
  <c r="G149" i="32"/>
  <c r="H149" i="32" s="1"/>
  <c r="B150" i="32"/>
  <c r="D149" i="32"/>
  <c r="C149" i="32"/>
  <c r="D94" i="20"/>
  <c r="C94" i="20"/>
  <c r="B94" i="20"/>
  <c r="A95" i="20"/>
  <c r="E94" i="20"/>
  <c r="G149" i="30" l="1"/>
  <c r="H149" i="30" s="1"/>
  <c r="C149" i="30"/>
  <c r="D149" i="30"/>
  <c r="B150" i="30"/>
  <c r="B150" i="31"/>
  <c r="G149" i="31"/>
  <c r="H149" i="31" s="1"/>
  <c r="D149" i="31"/>
  <c r="C149" i="31"/>
  <c r="B151" i="32"/>
  <c r="D150" i="32"/>
  <c r="C150" i="32"/>
  <c r="G150" i="32"/>
  <c r="H150" i="32" s="1"/>
  <c r="A96" i="20"/>
  <c r="E95" i="20"/>
  <c r="D95" i="20"/>
  <c r="C95" i="20"/>
  <c r="B95" i="20"/>
  <c r="D150" i="30" l="1"/>
  <c r="B151" i="30"/>
  <c r="G150" i="30"/>
  <c r="H150" i="30" s="1"/>
  <c r="C150" i="30"/>
  <c r="D150" i="31"/>
  <c r="C150" i="31"/>
  <c r="B151" i="31"/>
  <c r="G150" i="31"/>
  <c r="H150" i="31" s="1"/>
  <c r="G151" i="32"/>
  <c r="H151" i="32" s="1"/>
  <c r="C151" i="32"/>
  <c r="B152" i="32"/>
  <c r="D151" i="32"/>
  <c r="C96" i="20"/>
  <c r="B96" i="20"/>
  <c r="A97" i="20"/>
  <c r="E96" i="20"/>
  <c r="D96" i="20"/>
  <c r="D151" i="30" l="1"/>
  <c r="B152" i="30"/>
  <c r="G151" i="30"/>
  <c r="H151" i="30" s="1"/>
  <c r="C151" i="30"/>
  <c r="G151" i="31"/>
  <c r="H151" i="31" s="1"/>
  <c r="D151" i="31"/>
  <c r="C151" i="31"/>
  <c r="B152" i="31"/>
  <c r="B153" i="32"/>
  <c r="D152" i="32"/>
  <c r="C152" i="32"/>
  <c r="G152" i="32"/>
  <c r="H152" i="32" s="1"/>
  <c r="A98" i="20"/>
  <c r="E97" i="20"/>
  <c r="D97" i="20"/>
  <c r="C97" i="20"/>
  <c r="B97" i="20"/>
  <c r="G152" i="30" l="1"/>
  <c r="H152" i="30" s="1"/>
  <c r="C152" i="30"/>
  <c r="D152" i="30"/>
  <c r="B153" i="30"/>
  <c r="B153" i="31"/>
  <c r="G152" i="31"/>
  <c r="H152" i="31" s="1"/>
  <c r="C152" i="31"/>
  <c r="D152" i="31"/>
  <c r="G153" i="32"/>
  <c r="H153" i="32" s="1"/>
  <c r="D153" i="32"/>
  <c r="C153" i="32"/>
  <c r="B154" i="32"/>
  <c r="C98" i="20"/>
  <c r="B98" i="20"/>
  <c r="A99" i="20"/>
  <c r="E98" i="20"/>
  <c r="D98" i="20"/>
  <c r="G153" i="30" l="1"/>
  <c r="H153" i="30" s="1"/>
  <c r="D153" i="30"/>
  <c r="B154" i="30"/>
  <c r="C153" i="30"/>
  <c r="B154" i="31"/>
  <c r="G153" i="31"/>
  <c r="H153" i="31" s="1"/>
  <c r="D153" i="31"/>
  <c r="C153" i="31"/>
  <c r="B155" i="32"/>
  <c r="D154" i="32"/>
  <c r="C154" i="32"/>
  <c r="G154" i="32"/>
  <c r="H154" i="32" s="1"/>
  <c r="A100" i="20"/>
  <c r="E99" i="20"/>
  <c r="D99" i="20"/>
  <c r="C99" i="20"/>
  <c r="B99" i="20"/>
  <c r="G154" i="30" l="1"/>
  <c r="H154" i="30" s="1"/>
  <c r="D154" i="30"/>
  <c r="C154" i="30"/>
  <c r="B155" i="30"/>
  <c r="D154" i="31"/>
  <c r="C154" i="31"/>
  <c r="G154" i="31"/>
  <c r="H154" i="31" s="1"/>
  <c r="B155" i="31"/>
  <c r="G155" i="32"/>
  <c r="H155" i="32" s="1"/>
  <c r="D155" i="32"/>
  <c r="C155" i="32"/>
  <c r="B156" i="32"/>
  <c r="C100" i="20"/>
  <c r="B100" i="20"/>
  <c r="A101" i="20"/>
  <c r="E100" i="20"/>
  <c r="D100" i="20"/>
  <c r="B156" i="30" l="1"/>
  <c r="D155" i="30"/>
  <c r="C155" i="30"/>
  <c r="G155" i="30"/>
  <c r="H155" i="30" s="1"/>
  <c r="G155" i="31"/>
  <c r="H155" i="31" s="1"/>
  <c r="D155" i="31"/>
  <c r="C155" i="31"/>
  <c r="B156" i="31"/>
  <c r="B157" i="32"/>
  <c r="D156" i="32"/>
  <c r="C156" i="32"/>
  <c r="G156" i="32"/>
  <c r="H156" i="32" s="1"/>
  <c r="A102" i="20"/>
  <c r="E101" i="20"/>
  <c r="D101" i="20"/>
  <c r="C101" i="20"/>
  <c r="B101" i="20"/>
  <c r="B157" i="30" l="1"/>
  <c r="G156" i="30"/>
  <c r="H156" i="30" s="1"/>
  <c r="D156" i="30"/>
  <c r="C156" i="30"/>
  <c r="B157" i="31"/>
  <c r="G156" i="31"/>
  <c r="H156" i="31" s="1"/>
  <c r="D156" i="31"/>
  <c r="C156" i="31"/>
  <c r="G157" i="32"/>
  <c r="H157" i="32" s="1"/>
  <c r="B158" i="32"/>
  <c r="D157" i="32"/>
  <c r="C157" i="32"/>
  <c r="C102" i="20"/>
  <c r="B102" i="20"/>
  <c r="A103" i="20"/>
  <c r="E102" i="20"/>
  <c r="D102" i="20"/>
  <c r="C157" i="30" l="1"/>
  <c r="B158" i="30"/>
  <c r="G157" i="30"/>
  <c r="H157" i="30" s="1"/>
  <c r="D157" i="30"/>
  <c r="B158" i="31"/>
  <c r="D157" i="31"/>
  <c r="C157" i="31"/>
  <c r="G157" i="31"/>
  <c r="H157" i="31" s="1"/>
  <c r="B159" i="32"/>
  <c r="D158" i="32"/>
  <c r="C158" i="32"/>
  <c r="G158" i="32"/>
  <c r="H158" i="32" s="1"/>
  <c r="A104" i="20"/>
  <c r="E103" i="20"/>
  <c r="D103" i="20"/>
  <c r="C103" i="20"/>
  <c r="B103" i="20"/>
  <c r="G158" i="30" l="1"/>
  <c r="H158" i="30" s="1"/>
  <c r="C158" i="30"/>
  <c r="D158" i="30"/>
  <c r="B159" i="30"/>
  <c r="D158" i="31"/>
  <c r="C158" i="31"/>
  <c r="G158" i="31"/>
  <c r="H158" i="31" s="1"/>
  <c r="B159" i="31"/>
  <c r="G159" i="32"/>
  <c r="H159" i="32" s="1"/>
  <c r="C159" i="32"/>
  <c r="B160" i="32"/>
  <c r="D159" i="32"/>
  <c r="C104" i="20"/>
  <c r="B104" i="20"/>
  <c r="A105" i="20"/>
  <c r="E104" i="20"/>
  <c r="D104" i="20"/>
  <c r="D159" i="30" l="1"/>
  <c r="B160" i="30"/>
  <c r="G159" i="30"/>
  <c r="H159" i="30" s="1"/>
  <c r="C159" i="30"/>
  <c r="G159" i="31"/>
  <c r="H159" i="31" s="1"/>
  <c r="D159" i="31"/>
  <c r="C159" i="31"/>
  <c r="B160" i="31"/>
  <c r="B161" i="32"/>
  <c r="D160" i="32"/>
  <c r="C160" i="32"/>
  <c r="G160" i="32"/>
  <c r="H160" i="32" s="1"/>
  <c r="A106" i="20"/>
  <c r="E105" i="20"/>
  <c r="D105" i="20"/>
  <c r="C105" i="20"/>
  <c r="B105" i="20"/>
  <c r="B161" i="30" l="1"/>
  <c r="D160" i="30"/>
  <c r="G160" i="30"/>
  <c r="H160" i="30" s="1"/>
  <c r="C160" i="30"/>
  <c r="B161" i="31"/>
  <c r="G160" i="31"/>
  <c r="H160" i="31" s="1"/>
  <c r="D160" i="31"/>
  <c r="C160" i="31"/>
  <c r="G161" i="32"/>
  <c r="H161" i="32" s="1"/>
  <c r="D161" i="32"/>
  <c r="C161" i="32"/>
  <c r="B162" i="32"/>
  <c r="C106" i="20"/>
  <c r="B106" i="20"/>
  <c r="A107" i="20"/>
  <c r="E106" i="20"/>
  <c r="D106" i="20"/>
  <c r="B162" i="30" l="1"/>
  <c r="D161" i="30"/>
  <c r="C161" i="30"/>
  <c r="G161" i="30"/>
  <c r="H161" i="30" s="1"/>
  <c r="B162" i="31"/>
  <c r="D161" i="31"/>
  <c r="C161" i="31"/>
  <c r="G161" i="31"/>
  <c r="H161" i="31" s="1"/>
  <c r="B163" i="32"/>
  <c r="D162" i="32"/>
  <c r="C162" i="32"/>
  <c r="G162" i="32"/>
  <c r="H162" i="32" s="1"/>
  <c r="A108" i="20"/>
  <c r="E107" i="20"/>
  <c r="D107" i="20"/>
  <c r="C107" i="20"/>
  <c r="B107" i="20"/>
  <c r="B163" i="30" l="1"/>
  <c r="D162" i="30"/>
  <c r="C162" i="30"/>
  <c r="G162" i="30"/>
  <c r="H162" i="30" s="1"/>
  <c r="D162" i="31"/>
  <c r="C162" i="31"/>
  <c r="B163" i="31"/>
  <c r="G162" i="31"/>
  <c r="H162" i="31" s="1"/>
  <c r="G163" i="32"/>
  <c r="H163" i="32" s="1"/>
  <c r="D163" i="32"/>
  <c r="C163" i="32"/>
  <c r="B164" i="32"/>
  <c r="C108" i="20"/>
  <c r="B108" i="20"/>
  <c r="A109" i="20"/>
  <c r="E108" i="20"/>
  <c r="D108" i="20"/>
  <c r="G163" i="30" l="1"/>
  <c r="H163" i="30" s="1"/>
  <c r="C163" i="30"/>
  <c r="D163" i="30"/>
  <c r="B164" i="30"/>
  <c r="G163" i="31"/>
  <c r="H163" i="31" s="1"/>
  <c r="D163" i="31"/>
  <c r="C163" i="31"/>
  <c r="B164" i="31"/>
  <c r="B165" i="32"/>
  <c r="D164" i="32"/>
  <c r="C164" i="32"/>
  <c r="G164" i="32"/>
  <c r="H164" i="32" s="1"/>
  <c r="A110" i="20"/>
  <c r="E109" i="20"/>
  <c r="D109" i="20"/>
  <c r="C109" i="20"/>
  <c r="B109" i="20"/>
  <c r="G164" i="30" l="1"/>
  <c r="H164" i="30" s="1"/>
  <c r="D164" i="30"/>
  <c r="C164" i="30"/>
  <c r="B165" i="30"/>
  <c r="B165" i="31"/>
  <c r="G164" i="31"/>
  <c r="H164" i="31" s="1"/>
  <c r="D164" i="31"/>
  <c r="C164" i="31"/>
  <c r="G165" i="32"/>
  <c r="H165" i="32" s="1"/>
  <c r="B166" i="32"/>
  <c r="D165" i="32"/>
  <c r="C165" i="32"/>
  <c r="C110" i="20"/>
  <c r="B110" i="20"/>
  <c r="A111" i="20"/>
  <c r="E110" i="20"/>
  <c r="D110" i="20"/>
  <c r="C165" i="30" l="1"/>
  <c r="D165" i="30"/>
  <c r="B166" i="30"/>
  <c r="G165" i="30"/>
  <c r="H165" i="30" s="1"/>
  <c r="B166" i="31"/>
  <c r="G165" i="31"/>
  <c r="H165" i="31" s="1"/>
  <c r="D165" i="31"/>
  <c r="C165" i="31"/>
  <c r="B167" i="32"/>
  <c r="D166" i="32"/>
  <c r="C166" i="32"/>
  <c r="G166" i="32"/>
  <c r="H166" i="32" s="1"/>
  <c r="A112" i="20"/>
  <c r="E111" i="20"/>
  <c r="D111" i="20"/>
  <c r="C111" i="20"/>
  <c r="B111" i="20"/>
  <c r="G166" i="30" l="1"/>
  <c r="H166" i="30" s="1"/>
  <c r="D166" i="30"/>
  <c r="C166" i="30"/>
  <c r="B167" i="30"/>
  <c r="D166" i="31"/>
  <c r="C166" i="31"/>
  <c r="B167" i="31"/>
  <c r="G166" i="31"/>
  <c r="H166" i="31" s="1"/>
  <c r="G167" i="32"/>
  <c r="H167" i="32" s="1"/>
  <c r="C167" i="32"/>
  <c r="B168" i="32"/>
  <c r="D167" i="32"/>
  <c r="C112" i="20"/>
  <c r="B112" i="20"/>
  <c r="A113" i="20"/>
  <c r="E112" i="20"/>
  <c r="D112" i="20"/>
  <c r="B168" i="30" l="1"/>
  <c r="C167" i="30"/>
  <c r="D167" i="30"/>
  <c r="G167" i="30"/>
  <c r="H167" i="30" s="1"/>
  <c r="G167" i="31"/>
  <c r="H167" i="31" s="1"/>
  <c r="D167" i="31"/>
  <c r="C167" i="31"/>
  <c r="B168" i="31"/>
  <c r="B169" i="32"/>
  <c r="D168" i="32"/>
  <c r="C168" i="32"/>
  <c r="G168" i="32"/>
  <c r="H168" i="32" s="1"/>
  <c r="A114" i="20"/>
  <c r="E113" i="20"/>
  <c r="D113" i="20"/>
  <c r="C113" i="20"/>
  <c r="B113" i="20"/>
  <c r="B169" i="30" l="1"/>
  <c r="G168" i="30"/>
  <c r="H168" i="30" s="1"/>
  <c r="C168" i="30"/>
  <c r="D168" i="30"/>
  <c r="B169" i="31"/>
  <c r="G168" i="31"/>
  <c r="H168" i="31" s="1"/>
  <c r="C168" i="31"/>
  <c r="D168" i="31"/>
  <c r="G169" i="32"/>
  <c r="H169" i="32" s="1"/>
  <c r="B170" i="32"/>
  <c r="D169" i="32"/>
  <c r="C169" i="32"/>
  <c r="C114" i="20"/>
  <c r="B114" i="20"/>
  <c r="A115" i="20"/>
  <c r="E114" i="20"/>
  <c r="D114" i="20"/>
  <c r="B170" i="30" l="1"/>
  <c r="G169" i="30"/>
  <c r="H169" i="30" s="1"/>
  <c r="C169" i="30"/>
  <c r="D169" i="30"/>
  <c r="B170" i="31"/>
  <c r="G169" i="31"/>
  <c r="H169" i="31" s="1"/>
  <c r="D169" i="31"/>
  <c r="C169" i="31"/>
  <c r="B171" i="32"/>
  <c r="D170" i="32"/>
  <c r="C170" i="32"/>
  <c r="G170" i="32"/>
  <c r="H170" i="32" s="1"/>
  <c r="A116" i="20"/>
  <c r="E115" i="20"/>
  <c r="D115" i="20"/>
  <c r="C115" i="20"/>
  <c r="B115" i="20"/>
  <c r="B171" i="30" l="1"/>
  <c r="D170" i="30"/>
  <c r="G170" i="30"/>
  <c r="H170" i="30" s="1"/>
  <c r="C170" i="30"/>
  <c r="D170" i="31"/>
  <c r="C170" i="31"/>
  <c r="G170" i="31"/>
  <c r="H170" i="31" s="1"/>
  <c r="B171" i="31"/>
  <c r="G171" i="32"/>
  <c r="H171" i="32" s="1"/>
  <c r="B172" i="32"/>
  <c r="D171" i="32"/>
  <c r="C171" i="32"/>
  <c r="C116" i="20"/>
  <c r="B116" i="20"/>
  <c r="A117" i="20"/>
  <c r="E116" i="20"/>
  <c r="D116" i="20"/>
  <c r="G171" i="30" l="1"/>
  <c r="H171" i="30" s="1"/>
  <c r="D171" i="30"/>
  <c r="B172" i="30"/>
  <c r="C171" i="30"/>
  <c r="G171" i="31"/>
  <c r="H171" i="31" s="1"/>
  <c r="D171" i="31"/>
  <c r="C171" i="31"/>
  <c r="B172" i="31"/>
  <c r="B173" i="32"/>
  <c r="D172" i="32"/>
  <c r="C172" i="32"/>
  <c r="G172" i="32"/>
  <c r="H172" i="32" s="1"/>
  <c r="A118" i="20"/>
  <c r="E117" i="20"/>
  <c r="D117" i="20"/>
  <c r="C117" i="20"/>
  <c r="B117" i="20"/>
  <c r="G172" i="30" l="1"/>
  <c r="H172" i="30" s="1"/>
  <c r="D172" i="30"/>
  <c r="B173" i="30"/>
  <c r="C172" i="30"/>
  <c r="B173" i="31"/>
  <c r="G172" i="31"/>
  <c r="H172" i="31" s="1"/>
  <c r="D172" i="31"/>
  <c r="C172" i="31"/>
  <c r="G173" i="32"/>
  <c r="H173" i="32" s="1"/>
  <c r="B174" i="32"/>
  <c r="D173" i="32"/>
  <c r="C173" i="32"/>
  <c r="C118" i="20"/>
  <c r="B118" i="20"/>
  <c r="A119" i="20"/>
  <c r="E118" i="20"/>
  <c r="D118" i="20"/>
  <c r="B174" i="30" l="1"/>
  <c r="D173" i="30"/>
  <c r="C173" i="30"/>
  <c r="G173" i="30"/>
  <c r="H173" i="30" s="1"/>
  <c r="B174" i="31"/>
  <c r="D173" i="31"/>
  <c r="C173" i="31"/>
  <c r="G173" i="31"/>
  <c r="H173" i="31" s="1"/>
  <c r="B175" i="32"/>
  <c r="D174" i="32"/>
  <c r="C174" i="32"/>
  <c r="G174" i="32"/>
  <c r="H174" i="32" s="1"/>
  <c r="A120" i="20"/>
  <c r="E119" i="20"/>
  <c r="D119" i="20"/>
  <c r="C119" i="20"/>
  <c r="B119" i="20"/>
  <c r="G174" i="30" l="1"/>
  <c r="H174" i="30" s="1"/>
  <c r="B175" i="30"/>
  <c r="D174" i="30"/>
  <c r="C174" i="30"/>
  <c r="D174" i="31"/>
  <c r="C174" i="31"/>
  <c r="G174" i="31"/>
  <c r="H174" i="31" s="1"/>
  <c r="B175" i="31"/>
  <c r="G175" i="32"/>
  <c r="H175" i="32" s="1"/>
  <c r="B176" i="32"/>
  <c r="D175" i="32"/>
  <c r="C175" i="32"/>
  <c r="C120" i="20"/>
  <c r="B120" i="20"/>
  <c r="A121" i="20"/>
  <c r="E120" i="20"/>
  <c r="D120" i="20"/>
  <c r="B176" i="30" l="1"/>
  <c r="G175" i="30"/>
  <c r="H175" i="30" s="1"/>
  <c r="C175" i="30"/>
  <c r="D175" i="30"/>
  <c r="G175" i="31"/>
  <c r="H175" i="31" s="1"/>
  <c r="D175" i="31"/>
  <c r="C175" i="31"/>
  <c r="B176" i="31"/>
  <c r="B177" i="32"/>
  <c r="D176" i="32"/>
  <c r="C176" i="32"/>
  <c r="G176" i="32"/>
  <c r="H176" i="32" s="1"/>
  <c r="A122" i="20"/>
  <c r="E121" i="20"/>
  <c r="D121" i="20"/>
  <c r="C121" i="20"/>
  <c r="B121" i="20"/>
  <c r="D176" i="30" l="1"/>
  <c r="B177" i="30"/>
  <c r="G176" i="30"/>
  <c r="H176" i="30" s="1"/>
  <c r="C176" i="30"/>
  <c r="B177" i="31"/>
  <c r="G176" i="31"/>
  <c r="H176" i="31" s="1"/>
  <c r="D176" i="31"/>
  <c r="C176" i="31"/>
  <c r="G177" i="32"/>
  <c r="H177" i="32" s="1"/>
  <c r="B178" i="32"/>
  <c r="D177" i="32"/>
  <c r="C177" i="32"/>
  <c r="C122" i="20"/>
  <c r="B122" i="20"/>
  <c r="A123" i="20"/>
  <c r="E122" i="20"/>
  <c r="D122" i="20"/>
  <c r="G177" i="30" l="1"/>
  <c r="H177" i="30" s="1"/>
  <c r="B178" i="30"/>
  <c r="D177" i="30"/>
  <c r="C177" i="30"/>
  <c r="B178" i="31"/>
  <c r="D177" i="31"/>
  <c r="C177" i="31"/>
  <c r="G177" i="31"/>
  <c r="H177" i="31" s="1"/>
  <c r="B179" i="32"/>
  <c r="D178" i="32"/>
  <c r="C178" i="32"/>
  <c r="G178" i="32"/>
  <c r="H178" i="32" s="1"/>
  <c r="A124" i="20"/>
  <c r="E123" i="20"/>
  <c r="D123" i="20"/>
  <c r="C123" i="20"/>
  <c r="B123" i="20"/>
  <c r="G178" i="30" l="1"/>
  <c r="H178" i="30" s="1"/>
  <c r="B179" i="30"/>
  <c r="D178" i="30"/>
  <c r="C178" i="30"/>
  <c r="D178" i="31"/>
  <c r="C178" i="31"/>
  <c r="B179" i="31"/>
  <c r="G178" i="31"/>
  <c r="H178" i="31" s="1"/>
  <c r="G179" i="32"/>
  <c r="H179" i="32" s="1"/>
  <c r="B180" i="32"/>
  <c r="D179" i="32"/>
  <c r="C179" i="32"/>
  <c r="C124" i="20"/>
  <c r="B124" i="20"/>
  <c r="A125" i="20"/>
  <c r="E124" i="20"/>
  <c r="D124" i="20"/>
  <c r="D179" i="30" l="1"/>
  <c r="C179" i="30"/>
  <c r="G179" i="30"/>
  <c r="H179" i="30" s="1"/>
  <c r="B180" i="30"/>
  <c r="G179" i="31"/>
  <c r="H179" i="31" s="1"/>
  <c r="D179" i="31"/>
  <c r="C179" i="31"/>
  <c r="B180" i="31"/>
  <c r="B181" i="32"/>
  <c r="D180" i="32"/>
  <c r="C180" i="32"/>
  <c r="G180" i="32"/>
  <c r="H180" i="32" s="1"/>
  <c r="A126" i="20"/>
  <c r="E125" i="20"/>
  <c r="D125" i="20"/>
  <c r="C125" i="20"/>
  <c r="B125" i="20"/>
  <c r="B181" i="30" l="1"/>
  <c r="G180" i="30"/>
  <c r="H180" i="30" s="1"/>
  <c r="D180" i="30"/>
  <c r="C180" i="30"/>
  <c r="B181" i="31"/>
  <c r="G180" i="31"/>
  <c r="H180" i="31" s="1"/>
  <c r="D180" i="31"/>
  <c r="C180" i="31"/>
  <c r="G181" i="32"/>
  <c r="H181" i="32" s="1"/>
  <c r="B182" i="32"/>
  <c r="D181" i="32"/>
  <c r="C181" i="32"/>
  <c r="C126" i="20"/>
  <c r="B126" i="20"/>
  <c r="A127" i="20"/>
  <c r="E126" i="20"/>
  <c r="D126" i="20"/>
  <c r="C181" i="30" l="1"/>
  <c r="B182" i="30"/>
  <c r="D181" i="30"/>
  <c r="G181" i="30"/>
  <c r="H181" i="30" s="1"/>
  <c r="B182" i="31"/>
  <c r="G181" i="31"/>
  <c r="H181" i="31" s="1"/>
  <c r="D181" i="31"/>
  <c r="C181" i="31"/>
  <c r="B183" i="32"/>
  <c r="D182" i="32"/>
  <c r="C182" i="32"/>
  <c r="G182" i="32"/>
  <c r="H182" i="32" s="1"/>
  <c r="A128" i="20"/>
  <c r="E127" i="20"/>
  <c r="D127" i="20"/>
  <c r="C127" i="20"/>
  <c r="B127" i="20"/>
  <c r="G182" i="30" l="1"/>
  <c r="H182" i="30" s="1"/>
  <c r="D182" i="30"/>
  <c r="C182" i="30"/>
  <c r="B183" i="30"/>
  <c r="D182" i="31"/>
  <c r="C182" i="31"/>
  <c r="B183" i="31"/>
  <c r="G182" i="31"/>
  <c r="H182" i="31" s="1"/>
  <c r="G183" i="32"/>
  <c r="H183" i="32" s="1"/>
  <c r="B184" i="32"/>
  <c r="D183" i="32"/>
  <c r="C183" i="32"/>
  <c r="C128" i="20"/>
  <c r="B128" i="20"/>
  <c r="A129" i="20"/>
  <c r="E128" i="20"/>
  <c r="D128" i="20"/>
  <c r="B184" i="30" l="1"/>
  <c r="G183" i="30"/>
  <c r="H183" i="30" s="1"/>
  <c r="C183" i="30"/>
  <c r="D183" i="30"/>
  <c r="G183" i="31"/>
  <c r="H183" i="31" s="1"/>
  <c r="D183" i="31"/>
  <c r="C183" i="31"/>
  <c r="B184" i="31"/>
  <c r="B185" i="32"/>
  <c r="B186" i="32" s="1"/>
  <c r="D184" i="32"/>
  <c r="C184" i="32"/>
  <c r="G184" i="32"/>
  <c r="H184" i="32" s="1"/>
  <c r="A130" i="20"/>
  <c r="E129" i="20"/>
  <c r="D129" i="20"/>
  <c r="C129" i="20"/>
  <c r="B129" i="20"/>
  <c r="B187" i="32" l="1"/>
  <c r="G186" i="32"/>
  <c r="H186" i="32" s="1"/>
  <c r="C186" i="32"/>
  <c r="D186" i="32"/>
  <c r="B185" i="30"/>
  <c r="G184" i="30"/>
  <c r="H184" i="30" s="1"/>
  <c r="C184" i="30"/>
  <c r="D184" i="30"/>
  <c r="B185" i="31"/>
  <c r="B186" i="31" s="1"/>
  <c r="G184" i="31"/>
  <c r="H184" i="31" s="1"/>
  <c r="C184" i="31"/>
  <c r="D184" i="31"/>
  <c r="G185" i="32"/>
  <c r="H185" i="32" s="1"/>
  <c r="D185" i="32"/>
  <c r="C185" i="32"/>
  <c r="C130" i="20"/>
  <c r="B130" i="20"/>
  <c r="A131" i="20"/>
  <c r="E130" i="20"/>
  <c r="D130" i="20"/>
  <c r="C186" i="31" l="1"/>
  <c r="B187" i="31"/>
  <c r="D186" i="31"/>
  <c r="G186" i="31"/>
  <c r="H186" i="31" s="1"/>
  <c r="C187" i="32"/>
  <c r="D187" i="32"/>
  <c r="G187" i="32"/>
  <c r="H187" i="32" s="1"/>
  <c r="B188" i="32"/>
  <c r="B186" i="30"/>
  <c r="D185" i="30"/>
  <c r="C185" i="30"/>
  <c r="G185" i="30"/>
  <c r="H185" i="30" s="1"/>
  <c r="G185" i="31"/>
  <c r="H185" i="31" s="1"/>
  <c r="D185" i="31"/>
  <c r="C185" i="31"/>
  <c r="A132" i="20"/>
  <c r="E131" i="20"/>
  <c r="D131" i="20"/>
  <c r="C131" i="20"/>
  <c r="B131" i="20"/>
  <c r="B188" i="31" l="1"/>
  <c r="C187" i="31"/>
  <c r="D187" i="31"/>
  <c r="G187" i="31"/>
  <c r="H187" i="31" s="1"/>
  <c r="B189" i="32"/>
  <c r="G188" i="32"/>
  <c r="H188" i="32" s="1"/>
  <c r="C188" i="32"/>
  <c r="D188" i="32"/>
  <c r="B187" i="30"/>
  <c r="D186" i="30"/>
  <c r="C186" i="30"/>
  <c r="G186" i="30"/>
  <c r="H186" i="30" s="1"/>
  <c r="C132" i="20"/>
  <c r="B132" i="20"/>
  <c r="A133" i="20"/>
  <c r="E132" i="20"/>
  <c r="D132" i="20"/>
  <c r="B189" i="31" l="1"/>
  <c r="G188" i="31"/>
  <c r="H188" i="31" s="1"/>
  <c r="C188" i="31"/>
  <c r="D188" i="31"/>
  <c r="B190" i="32"/>
  <c r="C189" i="32"/>
  <c r="D189" i="32"/>
  <c r="G189" i="32"/>
  <c r="H189" i="32" s="1"/>
  <c r="B188" i="30"/>
  <c r="G187" i="30"/>
  <c r="H187" i="30" s="1"/>
  <c r="D187" i="30"/>
  <c r="C187" i="30"/>
  <c r="A134" i="20"/>
  <c r="E133" i="20"/>
  <c r="D133" i="20"/>
  <c r="C133" i="20"/>
  <c r="B133" i="20"/>
  <c r="B190" i="31" l="1"/>
  <c r="C189" i="31"/>
  <c r="G189" i="31"/>
  <c r="H189" i="31" s="1"/>
  <c r="D189" i="31"/>
  <c r="B191" i="32"/>
  <c r="D190" i="32"/>
  <c r="G190" i="32"/>
  <c r="H190" i="32" s="1"/>
  <c r="C190" i="32"/>
  <c r="B189" i="30"/>
  <c r="G188" i="30"/>
  <c r="H188" i="30" s="1"/>
  <c r="C188" i="30"/>
  <c r="D188" i="30"/>
  <c r="C134" i="20"/>
  <c r="B134" i="20"/>
  <c r="A135" i="20"/>
  <c r="E134" i="20"/>
  <c r="D134" i="20"/>
  <c r="B191" i="31" l="1"/>
  <c r="D190" i="31"/>
  <c r="C190" i="31"/>
  <c r="G190" i="31"/>
  <c r="H190" i="31" s="1"/>
  <c r="B192" i="32"/>
  <c r="G191" i="32"/>
  <c r="H191" i="32" s="1"/>
  <c r="C191" i="32"/>
  <c r="D191" i="32"/>
  <c r="D189" i="30"/>
  <c r="C189" i="30"/>
  <c r="B190" i="30"/>
  <c r="G189" i="30"/>
  <c r="H189" i="30" s="1"/>
  <c r="D135" i="20"/>
  <c r="A136" i="20"/>
  <c r="E135" i="20"/>
  <c r="C135" i="20"/>
  <c r="B135" i="20"/>
  <c r="B192" i="31" l="1"/>
  <c r="G191" i="31"/>
  <c r="H191" i="31" s="1"/>
  <c r="C191" i="31"/>
  <c r="D191" i="31"/>
  <c r="B193" i="32"/>
  <c r="C192" i="32"/>
  <c r="D192" i="32"/>
  <c r="G192" i="32"/>
  <c r="H192" i="32" s="1"/>
  <c r="C190" i="30"/>
  <c r="D190" i="30"/>
  <c r="B191" i="30"/>
  <c r="G190" i="30"/>
  <c r="H190" i="30" s="1"/>
  <c r="D136" i="20"/>
  <c r="C136" i="20"/>
  <c r="B136" i="20"/>
  <c r="A137" i="20"/>
  <c r="E136" i="20"/>
  <c r="B193" i="31" l="1"/>
  <c r="C192" i="31"/>
  <c r="D192" i="31"/>
  <c r="G192" i="31"/>
  <c r="H192" i="31" s="1"/>
  <c r="B194" i="32"/>
  <c r="G193" i="32"/>
  <c r="H193" i="32" s="1"/>
  <c r="C193" i="32"/>
  <c r="D193" i="32"/>
  <c r="B192" i="30"/>
  <c r="C191" i="30"/>
  <c r="D191" i="30"/>
  <c r="G191" i="30"/>
  <c r="H191" i="30" s="1"/>
  <c r="D137" i="20"/>
  <c r="A138" i="20"/>
  <c r="E137" i="20"/>
  <c r="B137" i="20"/>
  <c r="C137" i="20"/>
  <c r="B194" i="31" l="1"/>
  <c r="C193" i="31"/>
  <c r="G193" i="31"/>
  <c r="H193" i="31" s="1"/>
  <c r="D193" i="31"/>
  <c r="B195" i="32"/>
  <c r="C194" i="32"/>
  <c r="D194" i="32"/>
  <c r="G194" i="32"/>
  <c r="H194" i="32" s="1"/>
  <c r="B193" i="30"/>
  <c r="C192" i="30"/>
  <c r="G192" i="30"/>
  <c r="H192" i="30" s="1"/>
  <c r="D192" i="30"/>
  <c r="A139" i="20"/>
  <c r="E138" i="20"/>
  <c r="D138" i="20"/>
  <c r="C138" i="20"/>
  <c r="B138" i="20"/>
  <c r="B195" i="31" l="1"/>
  <c r="C194" i="31"/>
  <c r="D194" i="31"/>
  <c r="G194" i="31"/>
  <c r="H194" i="31" s="1"/>
  <c r="B196" i="32"/>
  <c r="D195" i="32"/>
  <c r="C195" i="32"/>
  <c r="G195" i="32"/>
  <c r="H195" i="32" s="1"/>
  <c r="B194" i="30"/>
  <c r="C193" i="30"/>
  <c r="G193" i="30"/>
  <c r="H193" i="30" s="1"/>
  <c r="D193" i="30"/>
  <c r="D139" i="20"/>
  <c r="C139" i="20"/>
  <c r="A140" i="20"/>
  <c r="E139" i="20"/>
  <c r="B139" i="20"/>
  <c r="B196" i="31" l="1"/>
  <c r="C195" i="31"/>
  <c r="D195" i="31"/>
  <c r="G195" i="31"/>
  <c r="H195" i="31" s="1"/>
  <c r="B197" i="32"/>
  <c r="C196" i="32"/>
  <c r="D196" i="32"/>
  <c r="G196" i="32"/>
  <c r="H196" i="32" s="1"/>
  <c r="B195" i="30"/>
  <c r="D194" i="30"/>
  <c r="C194" i="30"/>
  <c r="G194" i="30"/>
  <c r="H194" i="30" s="1"/>
  <c r="A141" i="20"/>
  <c r="E140" i="20"/>
  <c r="D140" i="20"/>
  <c r="C140" i="20"/>
  <c r="B140" i="20"/>
  <c r="B197" i="31" l="1"/>
  <c r="D196" i="31"/>
  <c r="G196" i="31"/>
  <c r="H196" i="31" s="1"/>
  <c r="C196" i="31"/>
  <c r="B198" i="32"/>
  <c r="D197" i="32"/>
  <c r="C197" i="32"/>
  <c r="G197" i="32"/>
  <c r="H197" i="32" s="1"/>
  <c r="B196" i="30"/>
  <c r="C195" i="30"/>
  <c r="G195" i="30"/>
  <c r="H195" i="30" s="1"/>
  <c r="D195" i="30"/>
  <c r="A142" i="20"/>
  <c r="E141" i="20"/>
  <c r="D141" i="20"/>
  <c r="C141" i="20"/>
  <c r="B141" i="20"/>
  <c r="B198" i="31" l="1"/>
  <c r="C197" i="31"/>
  <c r="D197" i="31"/>
  <c r="G197" i="31"/>
  <c r="H197" i="31" s="1"/>
  <c r="B199" i="32"/>
  <c r="C198" i="32"/>
  <c r="D198" i="32"/>
  <c r="G198" i="32"/>
  <c r="H198" i="32" s="1"/>
  <c r="B197" i="30"/>
  <c r="G196" i="30"/>
  <c r="H196" i="30" s="1"/>
  <c r="C196" i="30"/>
  <c r="D196" i="30"/>
  <c r="A143" i="20"/>
  <c r="E142" i="20"/>
  <c r="D142" i="20"/>
  <c r="C142" i="20"/>
  <c r="B142" i="20"/>
  <c r="B199" i="31" l="1"/>
  <c r="C198" i="31"/>
  <c r="D198" i="31"/>
  <c r="G198" i="31"/>
  <c r="H198" i="31" s="1"/>
  <c r="B200" i="32"/>
  <c r="G199" i="32"/>
  <c r="H199" i="32" s="1"/>
  <c r="C199" i="32"/>
  <c r="D199" i="32"/>
  <c r="C197" i="30"/>
  <c r="B198" i="30"/>
  <c r="G197" i="30"/>
  <c r="H197" i="30" s="1"/>
  <c r="D197" i="30"/>
  <c r="A144" i="20"/>
  <c r="E143" i="20"/>
  <c r="D143" i="20"/>
  <c r="C143" i="20"/>
  <c r="B143" i="20"/>
  <c r="B200" i="31" l="1"/>
  <c r="C199" i="31"/>
  <c r="G199" i="31"/>
  <c r="H199" i="31" s="1"/>
  <c r="D199" i="31"/>
  <c r="B201" i="32"/>
  <c r="C200" i="32"/>
  <c r="D200" i="32"/>
  <c r="G200" i="32"/>
  <c r="H200" i="32" s="1"/>
  <c r="C198" i="30"/>
  <c r="B199" i="30"/>
  <c r="D198" i="30"/>
  <c r="G198" i="30"/>
  <c r="H198" i="30" s="1"/>
  <c r="A145" i="20"/>
  <c r="E144" i="20"/>
  <c r="D144" i="20"/>
  <c r="C144" i="20"/>
  <c r="B144" i="20"/>
  <c r="B201" i="31" l="1"/>
  <c r="G200" i="31"/>
  <c r="H200" i="31" s="1"/>
  <c r="D200" i="31"/>
  <c r="C200" i="31"/>
  <c r="B202" i="32"/>
  <c r="G201" i="32"/>
  <c r="H201" i="32" s="1"/>
  <c r="C201" i="32"/>
  <c r="D201" i="32"/>
  <c r="B200" i="30"/>
  <c r="C199" i="30"/>
  <c r="G199" i="30"/>
  <c r="H199" i="30" s="1"/>
  <c r="D199" i="30"/>
  <c r="A146" i="20"/>
  <c r="E145" i="20"/>
  <c r="D145" i="20"/>
  <c r="C145" i="20"/>
  <c r="B145" i="20"/>
  <c r="B202" i="31" l="1"/>
  <c r="G201" i="31"/>
  <c r="H201" i="31" s="1"/>
  <c r="C201" i="31"/>
  <c r="D201" i="31"/>
  <c r="B203" i="32"/>
  <c r="C202" i="32"/>
  <c r="D202" i="32"/>
  <c r="G202" i="32"/>
  <c r="H202" i="32" s="1"/>
  <c r="B201" i="30"/>
  <c r="D200" i="30"/>
  <c r="C200" i="30"/>
  <c r="G200" i="30"/>
  <c r="H200" i="30" s="1"/>
  <c r="A147" i="20"/>
  <c r="E146" i="20"/>
  <c r="C146" i="20"/>
  <c r="B146" i="20"/>
  <c r="D146" i="20"/>
  <c r="B203" i="31" l="1"/>
  <c r="G202" i="31"/>
  <c r="H202" i="31" s="1"/>
  <c r="C202" i="31"/>
  <c r="D202" i="31"/>
  <c r="B204" i="32"/>
  <c r="G203" i="32"/>
  <c r="H203" i="32" s="1"/>
  <c r="C203" i="32"/>
  <c r="D203" i="32"/>
  <c r="B202" i="30"/>
  <c r="D201" i="30"/>
  <c r="C201" i="30"/>
  <c r="G201" i="30"/>
  <c r="H201" i="30" s="1"/>
  <c r="A148" i="20"/>
  <c r="E147" i="20"/>
  <c r="D147" i="20"/>
  <c r="C147" i="20"/>
  <c r="B147" i="20"/>
  <c r="B204" i="31" l="1"/>
  <c r="D203" i="31"/>
  <c r="G203" i="31"/>
  <c r="H203" i="31" s="1"/>
  <c r="C203" i="31"/>
  <c r="B205" i="32"/>
  <c r="C204" i="32"/>
  <c r="D204" i="32"/>
  <c r="G204" i="32"/>
  <c r="H204" i="32" s="1"/>
  <c r="B203" i="30"/>
  <c r="C202" i="30"/>
  <c r="G202" i="30"/>
  <c r="H202" i="30" s="1"/>
  <c r="D202" i="30"/>
  <c r="A149" i="20"/>
  <c r="E148" i="20"/>
  <c r="B148" i="20"/>
  <c r="D148" i="20"/>
  <c r="C148" i="20"/>
  <c r="B205" i="31" l="1"/>
  <c r="G204" i="31"/>
  <c r="H204" i="31" s="1"/>
  <c r="C204" i="31"/>
  <c r="D204" i="31"/>
  <c r="B206" i="32"/>
  <c r="D205" i="32"/>
  <c r="G205" i="32"/>
  <c r="H205" i="32" s="1"/>
  <c r="C205" i="32"/>
  <c r="G203" i="30"/>
  <c r="H203" i="30" s="1"/>
  <c r="B204" i="30"/>
  <c r="C203" i="30"/>
  <c r="D203" i="30"/>
  <c r="A150" i="20"/>
  <c r="E149" i="20"/>
  <c r="D149" i="20"/>
  <c r="C149" i="20"/>
  <c r="B149" i="20"/>
  <c r="B206" i="31" l="1"/>
  <c r="D205" i="31"/>
  <c r="C205" i="31"/>
  <c r="G205" i="31"/>
  <c r="H205" i="31" s="1"/>
  <c r="B207" i="32"/>
  <c r="C206" i="32"/>
  <c r="D206" i="32"/>
  <c r="G206" i="32"/>
  <c r="H206" i="32" s="1"/>
  <c r="B205" i="30"/>
  <c r="C204" i="30"/>
  <c r="G204" i="30"/>
  <c r="H204" i="30" s="1"/>
  <c r="D204" i="30"/>
  <c r="A151" i="20"/>
  <c r="E150" i="20"/>
  <c r="D150" i="20"/>
  <c r="C150" i="20"/>
  <c r="B150" i="20"/>
  <c r="B207" i="31" l="1"/>
  <c r="G206" i="31"/>
  <c r="H206" i="31" s="1"/>
  <c r="C206" i="31"/>
  <c r="D206" i="31"/>
  <c r="B208" i="32"/>
  <c r="C207" i="32"/>
  <c r="D207" i="32"/>
  <c r="G207" i="32"/>
  <c r="H207" i="32" s="1"/>
  <c r="G205" i="30"/>
  <c r="H205" i="30" s="1"/>
  <c r="B206" i="30"/>
  <c r="D205" i="30"/>
  <c r="C205" i="30"/>
  <c r="A152" i="20"/>
  <c r="E151" i="20"/>
  <c r="D151" i="20"/>
  <c r="C151" i="20"/>
  <c r="B151" i="20"/>
  <c r="B208" i="31" l="1"/>
  <c r="G207" i="31"/>
  <c r="H207" i="31" s="1"/>
  <c r="C207" i="31"/>
  <c r="D207" i="31"/>
  <c r="B209" i="32"/>
  <c r="G208" i="32"/>
  <c r="H208" i="32" s="1"/>
  <c r="C208" i="32"/>
  <c r="D208" i="32"/>
  <c r="B207" i="30"/>
  <c r="C206" i="30"/>
  <c r="G206" i="30"/>
  <c r="H206" i="30" s="1"/>
  <c r="D206" i="30"/>
  <c r="A153" i="20"/>
  <c r="E152" i="20"/>
  <c r="D152" i="20"/>
  <c r="C152" i="20"/>
  <c r="B152" i="20"/>
  <c r="B209" i="31" l="1"/>
  <c r="G208" i="31"/>
  <c r="H208" i="31" s="1"/>
  <c r="D208" i="31"/>
  <c r="C208" i="31"/>
  <c r="B210" i="32"/>
  <c r="C209" i="32"/>
  <c r="D209" i="32"/>
  <c r="G209" i="32"/>
  <c r="H209" i="32" s="1"/>
  <c r="B208" i="30"/>
  <c r="D207" i="30"/>
  <c r="C207" i="30"/>
  <c r="G207" i="30"/>
  <c r="H207" i="30" s="1"/>
  <c r="A154" i="20"/>
  <c r="E153" i="20"/>
  <c r="D153" i="20"/>
  <c r="C153" i="20"/>
  <c r="B153" i="20"/>
  <c r="B210" i="31" l="1"/>
  <c r="D209" i="31"/>
  <c r="G209" i="31"/>
  <c r="H209" i="31" s="1"/>
  <c r="C209" i="31"/>
  <c r="B211" i="32"/>
  <c r="G210" i="32"/>
  <c r="H210" i="32" s="1"/>
  <c r="C210" i="32"/>
  <c r="D210" i="32"/>
  <c r="B209" i="30"/>
  <c r="C208" i="30"/>
  <c r="D208" i="30"/>
  <c r="G208" i="30"/>
  <c r="H208" i="30" s="1"/>
  <c r="A155" i="20"/>
  <c r="E154" i="20"/>
  <c r="D154" i="20"/>
  <c r="C154" i="20"/>
  <c r="B154" i="20"/>
  <c r="B211" i="31" l="1"/>
  <c r="G210" i="31"/>
  <c r="H210" i="31" s="1"/>
  <c r="C210" i="31"/>
  <c r="D210" i="31"/>
  <c r="B212" i="32"/>
  <c r="C211" i="32"/>
  <c r="D211" i="32"/>
  <c r="G211" i="32"/>
  <c r="H211" i="32" s="1"/>
  <c r="B210" i="30"/>
  <c r="D209" i="30"/>
  <c r="C209" i="30"/>
  <c r="G209" i="30"/>
  <c r="H209" i="30" s="1"/>
  <c r="A156" i="20"/>
  <c r="E155" i="20"/>
  <c r="D155" i="20"/>
  <c r="C155" i="20"/>
  <c r="B155" i="20"/>
  <c r="B212" i="31" l="1"/>
  <c r="D211" i="31"/>
  <c r="C211" i="31"/>
  <c r="G211" i="31"/>
  <c r="H211" i="31" s="1"/>
  <c r="B213" i="32"/>
  <c r="G212" i="32"/>
  <c r="H212" i="32" s="1"/>
  <c r="C212" i="32"/>
  <c r="D212" i="32"/>
  <c r="B211" i="30"/>
  <c r="D210" i="30"/>
  <c r="C210" i="30"/>
  <c r="G210" i="30"/>
  <c r="H210" i="30" s="1"/>
  <c r="A157" i="20"/>
  <c r="E156" i="20"/>
  <c r="D156" i="20"/>
  <c r="C156" i="20"/>
  <c r="B156" i="20"/>
  <c r="B213" i="31" l="1"/>
  <c r="D212" i="31"/>
  <c r="C212" i="31"/>
  <c r="G212" i="31"/>
  <c r="H212" i="31" s="1"/>
  <c r="B214" i="32"/>
  <c r="C213" i="32"/>
  <c r="D213" i="32"/>
  <c r="G213" i="32"/>
  <c r="H213" i="32" s="1"/>
  <c r="B212" i="30"/>
  <c r="G211" i="30"/>
  <c r="H211" i="30" s="1"/>
  <c r="C211" i="30"/>
  <c r="D211" i="30"/>
  <c r="A158" i="20"/>
  <c r="E157" i="20"/>
  <c r="D157" i="20"/>
  <c r="C157" i="20"/>
  <c r="B157" i="20"/>
  <c r="B214" i="31" l="1"/>
  <c r="D213" i="31"/>
  <c r="C213" i="31"/>
  <c r="G213" i="31"/>
  <c r="H213" i="31" s="1"/>
  <c r="B215" i="32"/>
  <c r="G214" i="32"/>
  <c r="H214" i="32" s="1"/>
  <c r="C214" i="32"/>
  <c r="D214" i="32"/>
  <c r="B213" i="30"/>
  <c r="G212" i="30"/>
  <c r="H212" i="30" s="1"/>
  <c r="C212" i="30"/>
  <c r="D212" i="30"/>
  <c r="A159" i="20"/>
  <c r="E158" i="20"/>
  <c r="D158" i="20"/>
  <c r="C158" i="20"/>
  <c r="B158" i="20"/>
  <c r="B215" i="31" l="1"/>
  <c r="D214" i="31"/>
  <c r="G214" i="31"/>
  <c r="H214" i="31" s="1"/>
  <c r="C214" i="31"/>
  <c r="B216" i="32"/>
  <c r="C215" i="32"/>
  <c r="D215" i="32"/>
  <c r="G215" i="32"/>
  <c r="H215" i="32" s="1"/>
  <c r="C213" i="30"/>
  <c r="G213" i="30"/>
  <c r="H213" i="30" s="1"/>
  <c r="B214" i="30"/>
  <c r="D213" i="30"/>
  <c r="A160" i="20"/>
  <c r="E159" i="20"/>
  <c r="D159" i="20"/>
  <c r="C159" i="20"/>
  <c r="B159" i="20"/>
  <c r="B216" i="31" l="1"/>
  <c r="C215" i="31"/>
  <c r="D215" i="31"/>
  <c r="G215" i="31"/>
  <c r="H215" i="31" s="1"/>
  <c r="B217" i="32"/>
  <c r="D216" i="32"/>
  <c r="G216" i="32"/>
  <c r="H216" i="32" s="1"/>
  <c r="C216" i="32"/>
  <c r="B215" i="30"/>
  <c r="C214" i="30"/>
  <c r="D214" i="30"/>
  <c r="G214" i="30"/>
  <c r="H214" i="30" s="1"/>
  <c r="A161" i="20"/>
  <c r="E160" i="20"/>
  <c r="D160" i="20"/>
  <c r="C160" i="20"/>
  <c r="B160" i="20"/>
  <c r="B217" i="31" l="1"/>
  <c r="D216" i="31"/>
  <c r="G216" i="31"/>
  <c r="H216" i="31" s="1"/>
  <c r="C216" i="31"/>
  <c r="B218" i="32"/>
  <c r="C217" i="32"/>
  <c r="D217" i="32"/>
  <c r="G217" i="32"/>
  <c r="H217" i="32" s="1"/>
  <c r="C215" i="30"/>
  <c r="B216" i="30"/>
  <c r="D215" i="30"/>
  <c r="G215" i="30"/>
  <c r="H215" i="30" s="1"/>
  <c r="A162" i="20"/>
  <c r="E161" i="20"/>
  <c r="D161" i="20"/>
  <c r="C161" i="20"/>
  <c r="B161" i="20"/>
  <c r="C217" i="31" l="1"/>
  <c r="G217" i="31"/>
  <c r="H217" i="31" s="1"/>
  <c r="B218" i="31"/>
  <c r="D217" i="31"/>
  <c r="B219" i="32"/>
  <c r="D218" i="32"/>
  <c r="G218" i="32"/>
  <c r="H218" i="32" s="1"/>
  <c r="C218" i="32"/>
  <c r="B217" i="30"/>
  <c r="D216" i="30"/>
  <c r="C216" i="30"/>
  <c r="G216" i="30"/>
  <c r="H216" i="30" s="1"/>
  <c r="A163" i="20"/>
  <c r="E162" i="20"/>
  <c r="D162" i="20"/>
  <c r="C162" i="20"/>
  <c r="B162" i="20"/>
  <c r="B219" i="31" l="1"/>
  <c r="C218" i="31"/>
  <c r="D218" i="31"/>
  <c r="G218" i="31"/>
  <c r="H218" i="31" s="1"/>
  <c r="B220" i="32"/>
  <c r="C219" i="32"/>
  <c r="G219" i="32"/>
  <c r="H219" i="32" s="1"/>
  <c r="D219" i="32"/>
  <c r="B218" i="30"/>
  <c r="G217" i="30"/>
  <c r="H217" i="30" s="1"/>
  <c r="D217" i="30"/>
  <c r="C217" i="30"/>
  <c r="A164" i="20"/>
  <c r="E163" i="20"/>
  <c r="D163" i="20"/>
  <c r="C163" i="20"/>
  <c r="B163" i="20"/>
  <c r="B220" i="31" l="1"/>
  <c r="C219" i="31"/>
  <c r="D219" i="31"/>
  <c r="G219" i="31"/>
  <c r="H219" i="31" s="1"/>
  <c r="B221" i="32"/>
  <c r="D220" i="32"/>
  <c r="G220" i="32"/>
  <c r="H220" i="32" s="1"/>
  <c r="C220" i="32"/>
  <c r="B219" i="30"/>
  <c r="G218" i="30"/>
  <c r="H218" i="30" s="1"/>
  <c r="D218" i="30"/>
  <c r="C218" i="30"/>
  <c r="A165" i="20"/>
  <c r="E164" i="20"/>
  <c r="D164" i="20"/>
  <c r="C164" i="20"/>
  <c r="B164" i="20"/>
  <c r="B221" i="31" l="1"/>
  <c r="C220" i="31"/>
  <c r="G220" i="31"/>
  <c r="H220" i="31" s="1"/>
  <c r="D220" i="31"/>
  <c r="B222" i="32"/>
  <c r="C221" i="32"/>
  <c r="D221" i="32"/>
  <c r="G221" i="32"/>
  <c r="H221" i="32" s="1"/>
  <c r="B220" i="30"/>
  <c r="C219" i="30"/>
  <c r="G219" i="30"/>
  <c r="H219" i="30" s="1"/>
  <c r="D219" i="30"/>
  <c r="A166" i="20"/>
  <c r="E165" i="20"/>
  <c r="D165" i="20"/>
  <c r="C165" i="20"/>
  <c r="B165" i="20"/>
  <c r="B222" i="31" l="1"/>
  <c r="C221" i="31"/>
  <c r="G221" i="31"/>
  <c r="H221" i="31" s="1"/>
  <c r="D221" i="31"/>
  <c r="B223" i="32"/>
  <c r="D222" i="32"/>
  <c r="G222" i="32"/>
  <c r="H222" i="32" s="1"/>
  <c r="C222" i="32"/>
  <c r="C220" i="30"/>
  <c r="D220" i="30"/>
  <c r="B221" i="30"/>
  <c r="G220" i="30"/>
  <c r="H220" i="30" s="1"/>
  <c r="A167" i="20"/>
  <c r="E166" i="20"/>
  <c r="D166" i="20"/>
  <c r="C166" i="20"/>
  <c r="B166" i="20"/>
  <c r="B223" i="31" l="1"/>
  <c r="D222" i="31"/>
  <c r="G222" i="31"/>
  <c r="H222" i="31" s="1"/>
  <c r="C222" i="31"/>
  <c r="B224" i="32"/>
  <c r="C223" i="32"/>
  <c r="D223" i="32"/>
  <c r="G223" i="32"/>
  <c r="H223" i="32" s="1"/>
  <c r="B222" i="30"/>
  <c r="G221" i="30"/>
  <c r="H221" i="30" s="1"/>
  <c r="D221" i="30"/>
  <c r="C221" i="30"/>
  <c r="A168" i="20"/>
  <c r="E167" i="20"/>
  <c r="D167" i="20"/>
  <c r="C167" i="20"/>
  <c r="B167" i="20"/>
  <c r="B224" i="31" l="1"/>
  <c r="C223" i="31"/>
  <c r="D223" i="31"/>
  <c r="G223" i="31"/>
  <c r="H223" i="31" s="1"/>
  <c r="B225" i="32"/>
  <c r="C224" i="32"/>
  <c r="D224" i="32"/>
  <c r="G224" i="32"/>
  <c r="H224" i="32" s="1"/>
  <c r="B223" i="30"/>
  <c r="C222" i="30"/>
  <c r="G222" i="30"/>
  <c r="H222" i="30" s="1"/>
  <c r="D222" i="30"/>
  <c r="A169" i="20"/>
  <c r="E168" i="20"/>
  <c r="D168" i="20"/>
  <c r="C168" i="20"/>
  <c r="B168" i="20"/>
  <c r="B225" i="31" l="1"/>
  <c r="C224" i="31"/>
  <c r="D224" i="31"/>
  <c r="G224" i="31"/>
  <c r="H224" i="31" s="1"/>
  <c r="B226" i="32"/>
  <c r="G225" i="32"/>
  <c r="H225" i="32" s="1"/>
  <c r="C225" i="32"/>
  <c r="D225" i="32"/>
  <c r="B224" i="30"/>
  <c r="D223" i="30"/>
  <c r="C223" i="30"/>
  <c r="G223" i="30"/>
  <c r="H223" i="30" s="1"/>
  <c r="A170" i="20"/>
  <c r="E169" i="20"/>
  <c r="D169" i="20"/>
  <c r="C169" i="20"/>
  <c r="B169" i="20"/>
  <c r="B226" i="31" l="1"/>
  <c r="C225" i="31"/>
  <c r="G225" i="31"/>
  <c r="H225" i="31" s="1"/>
  <c r="D225" i="31"/>
  <c r="B227" i="32"/>
  <c r="C226" i="32"/>
  <c r="G226" i="32"/>
  <c r="H226" i="32" s="1"/>
  <c r="D226" i="32"/>
  <c r="D224" i="30"/>
  <c r="C224" i="30"/>
  <c r="B225" i="30"/>
  <c r="G224" i="30"/>
  <c r="H224" i="30" s="1"/>
  <c r="A171" i="20"/>
  <c r="E170" i="20"/>
  <c r="D170" i="20"/>
  <c r="C170" i="20"/>
  <c r="B170" i="20"/>
  <c r="D226" i="31" l="1"/>
  <c r="B227" i="31"/>
  <c r="C226" i="31"/>
  <c r="G226" i="31"/>
  <c r="H226" i="31" s="1"/>
  <c r="B228" i="32"/>
  <c r="D227" i="32"/>
  <c r="G227" i="32"/>
  <c r="H227" i="32" s="1"/>
  <c r="C227" i="32"/>
  <c r="B226" i="30"/>
  <c r="D225" i="30"/>
  <c r="G225" i="30"/>
  <c r="H225" i="30" s="1"/>
  <c r="C225" i="30"/>
  <c r="A172" i="20"/>
  <c r="E171" i="20"/>
  <c r="D171" i="20"/>
  <c r="C171" i="20"/>
  <c r="B171" i="20"/>
  <c r="B228" i="31" l="1"/>
  <c r="C227" i="31"/>
  <c r="D227" i="31"/>
  <c r="G227" i="31"/>
  <c r="H227" i="31" s="1"/>
  <c r="D228" i="32"/>
  <c r="G228" i="32"/>
  <c r="H228" i="32" s="1"/>
  <c r="B229" i="32"/>
  <c r="C228" i="32"/>
  <c r="D226" i="30"/>
  <c r="G226" i="30"/>
  <c r="H226" i="30" s="1"/>
  <c r="B227" i="30"/>
  <c r="C226" i="30"/>
  <c r="A173" i="20"/>
  <c r="E172" i="20"/>
  <c r="D172" i="20"/>
  <c r="C172" i="20"/>
  <c r="B172" i="20"/>
  <c r="B229" i="31" l="1"/>
  <c r="D228" i="31"/>
  <c r="C228" i="31"/>
  <c r="G228" i="31"/>
  <c r="H228" i="31" s="1"/>
  <c r="B230" i="32"/>
  <c r="G229" i="32"/>
  <c r="H229" i="32" s="1"/>
  <c r="D229" i="32"/>
  <c r="C229" i="32"/>
  <c r="C227" i="30"/>
  <c r="G227" i="30"/>
  <c r="H227" i="30" s="1"/>
  <c r="B228" i="30"/>
  <c r="D227" i="30"/>
  <c r="A174" i="20"/>
  <c r="E173" i="20"/>
  <c r="D173" i="20"/>
  <c r="C173" i="20"/>
  <c r="B173" i="20"/>
  <c r="B230" i="31" l="1"/>
  <c r="C229" i="31"/>
  <c r="D229" i="31"/>
  <c r="G229" i="31"/>
  <c r="H229" i="31" s="1"/>
  <c r="B231" i="32"/>
  <c r="C230" i="32"/>
  <c r="D230" i="32"/>
  <c r="G230" i="32"/>
  <c r="H230" i="32" s="1"/>
  <c r="B229" i="30"/>
  <c r="C228" i="30"/>
  <c r="D228" i="30"/>
  <c r="G228" i="30"/>
  <c r="H228" i="30" s="1"/>
  <c r="A175" i="20"/>
  <c r="E174" i="20"/>
  <c r="D174" i="20"/>
  <c r="C174" i="20"/>
  <c r="B174" i="20"/>
  <c r="B231" i="31" l="1"/>
  <c r="C230" i="31"/>
  <c r="D230" i="31"/>
  <c r="G230" i="31"/>
  <c r="H230" i="31" s="1"/>
  <c r="B232" i="32"/>
  <c r="D231" i="32"/>
  <c r="C231" i="32"/>
  <c r="G231" i="32"/>
  <c r="H231" i="32" s="1"/>
  <c r="B230" i="30"/>
  <c r="C229" i="30"/>
  <c r="G229" i="30"/>
  <c r="H229" i="30" s="1"/>
  <c r="D229" i="30"/>
  <c r="A176" i="20"/>
  <c r="E175" i="20"/>
  <c r="D175" i="20"/>
  <c r="C175" i="20"/>
  <c r="B175" i="20"/>
  <c r="B232" i="31" l="1"/>
  <c r="C231" i="31"/>
  <c r="D231" i="31"/>
  <c r="G231" i="31"/>
  <c r="H231" i="31" s="1"/>
  <c r="B233" i="32"/>
  <c r="C232" i="32"/>
  <c r="D232" i="32"/>
  <c r="G232" i="32"/>
  <c r="H232" i="32" s="1"/>
  <c r="B231" i="30"/>
  <c r="C230" i="30"/>
  <c r="G230" i="30"/>
  <c r="H230" i="30" s="1"/>
  <c r="D230" i="30"/>
  <c r="A177" i="20"/>
  <c r="E176" i="20"/>
  <c r="D176" i="20"/>
  <c r="C176" i="20"/>
  <c r="B176" i="20"/>
  <c r="B233" i="31" l="1"/>
  <c r="G232" i="31"/>
  <c r="H232" i="31" s="1"/>
  <c r="C232" i="31"/>
  <c r="D232" i="31"/>
  <c r="B234" i="32"/>
  <c r="G233" i="32"/>
  <c r="H233" i="32" s="1"/>
  <c r="C233" i="32"/>
  <c r="D233" i="32"/>
  <c r="B232" i="30"/>
  <c r="D231" i="30"/>
  <c r="C231" i="30"/>
  <c r="G231" i="30"/>
  <c r="H231" i="30" s="1"/>
  <c r="A178" i="20"/>
  <c r="E177" i="20"/>
  <c r="D177" i="20"/>
  <c r="C177" i="20"/>
  <c r="B177" i="20"/>
  <c r="B234" i="31" l="1"/>
  <c r="C233" i="31"/>
  <c r="D233" i="31"/>
  <c r="G233" i="31"/>
  <c r="H233" i="31" s="1"/>
  <c r="B235" i="32"/>
  <c r="C234" i="32"/>
  <c r="D234" i="32"/>
  <c r="G234" i="32"/>
  <c r="H234" i="32" s="1"/>
  <c r="D232" i="30"/>
  <c r="B233" i="30"/>
  <c r="G232" i="30"/>
  <c r="H232" i="30" s="1"/>
  <c r="C232" i="30"/>
  <c r="A179" i="20"/>
  <c r="E178" i="20"/>
  <c r="D178" i="20"/>
  <c r="C178" i="20"/>
  <c r="B178" i="20"/>
  <c r="B235" i="31" l="1"/>
  <c r="D234" i="31"/>
  <c r="G234" i="31"/>
  <c r="H234" i="31" s="1"/>
  <c r="C234" i="31"/>
  <c r="B236" i="32"/>
  <c r="D235" i="32"/>
  <c r="G235" i="32"/>
  <c r="H235" i="32" s="1"/>
  <c r="C235" i="32"/>
  <c r="B234" i="30"/>
  <c r="D233" i="30"/>
  <c r="C233" i="30"/>
  <c r="G233" i="30"/>
  <c r="H233" i="30" s="1"/>
  <c r="A180" i="20"/>
  <c r="E179" i="20"/>
  <c r="D179" i="20"/>
  <c r="C179" i="20"/>
  <c r="B179" i="20"/>
  <c r="B236" i="31" l="1"/>
  <c r="C235" i="31"/>
  <c r="D235" i="31"/>
  <c r="G235" i="31"/>
  <c r="H235" i="31" s="1"/>
  <c r="B237" i="32"/>
  <c r="G236" i="32"/>
  <c r="H236" i="32" s="1"/>
  <c r="D236" i="32"/>
  <c r="C236" i="32"/>
  <c r="B235" i="30"/>
  <c r="C234" i="30"/>
  <c r="D234" i="30"/>
  <c r="G234" i="30"/>
  <c r="H234" i="30" s="1"/>
  <c r="A181" i="20"/>
  <c r="E180" i="20"/>
  <c r="D180" i="20"/>
  <c r="C180" i="20"/>
  <c r="B180" i="20"/>
  <c r="B237" i="31" l="1"/>
  <c r="C236" i="31"/>
  <c r="G236" i="31"/>
  <c r="H236" i="31" s="1"/>
  <c r="D236" i="31"/>
  <c r="B238" i="32"/>
  <c r="C237" i="32"/>
  <c r="D237" i="32"/>
  <c r="G237" i="32"/>
  <c r="H237" i="32" s="1"/>
  <c r="B236" i="30"/>
  <c r="G235" i="30"/>
  <c r="H235" i="30" s="1"/>
  <c r="C235" i="30"/>
  <c r="D235" i="30"/>
  <c r="A182" i="20"/>
  <c r="E181" i="20"/>
  <c r="D181" i="20"/>
  <c r="C181" i="20"/>
  <c r="B181" i="20"/>
  <c r="B238" i="31" l="1"/>
  <c r="G237" i="31"/>
  <c r="H237" i="31" s="1"/>
  <c r="C237" i="31"/>
  <c r="D237" i="31"/>
  <c r="B239" i="32"/>
  <c r="G238" i="32"/>
  <c r="H238" i="32" s="1"/>
  <c r="C238" i="32"/>
  <c r="D238" i="32"/>
  <c r="B237" i="30"/>
  <c r="C236" i="30"/>
  <c r="G236" i="30"/>
  <c r="H236" i="30" s="1"/>
  <c r="D236" i="30"/>
  <c r="D182" i="20"/>
  <c r="C182" i="20"/>
  <c r="A183" i="20"/>
  <c r="E182" i="20"/>
  <c r="B182" i="20"/>
  <c r="B239" i="31" l="1"/>
  <c r="G238" i="31"/>
  <c r="H238" i="31" s="1"/>
  <c r="D238" i="31"/>
  <c r="C238" i="31"/>
  <c r="B240" i="32"/>
  <c r="C239" i="32"/>
  <c r="D239" i="32"/>
  <c r="G239" i="32"/>
  <c r="H239" i="32" s="1"/>
  <c r="B238" i="30"/>
  <c r="C237" i="30"/>
  <c r="G237" i="30"/>
  <c r="H237" i="30" s="1"/>
  <c r="D237" i="30"/>
  <c r="B183" i="20"/>
  <c r="A184" i="20"/>
  <c r="E183" i="20"/>
  <c r="D183" i="20"/>
  <c r="C183" i="20"/>
  <c r="B240" i="31" l="1"/>
  <c r="G239" i="31"/>
  <c r="H239" i="31" s="1"/>
  <c r="C239" i="31"/>
  <c r="D239" i="31"/>
  <c r="B241" i="32"/>
  <c r="D240" i="32"/>
  <c r="G240" i="32"/>
  <c r="H240" i="32" s="1"/>
  <c r="C240" i="32"/>
  <c r="B239" i="30"/>
  <c r="C238" i="30"/>
  <c r="D238" i="30"/>
  <c r="G238" i="30"/>
  <c r="H238" i="30" s="1"/>
  <c r="D184" i="20"/>
  <c r="C184" i="20"/>
  <c r="A185" i="20"/>
  <c r="E184" i="20"/>
  <c r="B184" i="20"/>
  <c r="B241" i="31" l="1"/>
  <c r="G240" i="31"/>
  <c r="H240" i="31" s="1"/>
  <c r="C240" i="31"/>
  <c r="D240" i="31"/>
  <c r="B242" i="32"/>
  <c r="C241" i="32"/>
  <c r="D241" i="32"/>
  <c r="G241" i="32"/>
  <c r="H241" i="32" s="1"/>
  <c r="B240" i="30"/>
  <c r="D239" i="30"/>
  <c r="C239" i="30"/>
  <c r="G239" i="30"/>
  <c r="H239" i="30" s="1"/>
  <c r="B185" i="20"/>
  <c r="C185" i="20"/>
  <c r="A186" i="20"/>
  <c r="E185" i="20"/>
  <c r="D185" i="20"/>
  <c r="B242" i="31" l="1"/>
  <c r="G241" i="31"/>
  <c r="H241" i="31" s="1"/>
  <c r="D241" i="31"/>
  <c r="C241" i="31"/>
  <c r="B243" i="32"/>
  <c r="D242" i="32"/>
  <c r="G242" i="32"/>
  <c r="H242" i="32" s="1"/>
  <c r="C242" i="32"/>
  <c r="B241" i="30"/>
  <c r="D240" i="30"/>
  <c r="C240" i="30"/>
  <c r="G240" i="30"/>
  <c r="H240" i="30" s="1"/>
  <c r="D186" i="20"/>
  <c r="C186" i="20"/>
  <c r="A187" i="20"/>
  <c r="E186" i="20"/>
  <c r="B186" i="20"/>
  <c r="B243" i="31" l="1"/>
  <c r="D242" i="31"/>
  <c r="C242" i="31"/>
  <c r="G242" i="31"/>
  <c r="H242" i="31" s="1"/>
  <c r="B244" i="32"/>
  <c r="C243" i="32"/>
  <c r="D243" i="32"/>
  <c r="G243" i="32"/>
  <c r="H243" i="32" s="1"/>
  <c r="B242" i="30"/>
  <c r="D241" i="30"/>
  <c r="C241" i="30"/>
  <c r="G241" i="30"/>
  <c r="H241" i="30" s="1"/>
  <c r="B187" i="20"/>
  <c r="A188" i="20"/>
  <c r="E187" i="20"/>
  <c r="D187" i="20"/>
  <c r="C187" i="20"/>
  <c r="B244" i="31" l="1"/>
  <c r="D243" i="31"/>
  <c r="G243" i="31"/>
  <c r="H243" i="31" s="1"/>
  <c r="C243" i="31"/>
  <c r="B245" i="32"/>
  <c r="D244" i="32"/>
  <c r="G244" i="32"/>
  <c r="H244" i="32" s="1"/>
  <c r="C244" i="32"/>
  <c r="B243" i="30"/>
  <c r="G242" i="30"/>
  <c r="H242" i="30" s="1"/>
  <c r="C242" i="30"/>
  <c r="D242" i="30"/>
  <c r="D188" i="20"/>
  <c r="C188" i="20"/>
  <c r="B188" i="20"/>
  <c r="A189" i="20"/>
  <c r="E188" i="20"/>
  <c r="B245" i="31" l="1"/>
  <c r="C244" i="31"/>
  <c r="D244" i="31"/>
  <c r="G244" i="31"/>
  <c r="H244" i="31" s="1"/>
  <c r="B246" i="32"/>
  <c r="G245" i="32"/>
  <c r="H245" i="32" s="1"/>
  <c r="C245" i="32"/>
  <c r="D245" i="32"/>
  <c r="C243" i="30"/>
  <c r="D243" i="30"/>
  <c r="B244" i="30"/>
  <c r="G243" i="30"/>
  <c r="H243" i="30" s="1"/>
  <c r="B189" i="20"/>
  <c r="A190" i="20"/>
  <c r="E189" i="20"/>
  <c r="D189" i="20"/>
  <c r="C189" i="20"/>
  <c r="B246" i="31" l="1"/>
  <c r="C245" i="31"/>
  <c r="G245" i="31"/>
  <c r="H245" i="31" s="1"/>
  <c r="D245" i="31"/>
  <c r="B247" i="32"/>
  <c r="C246" i="32"/>
  <c r="D246" i="32"/>
  <c r="G246" i="32"/>
  <c r="H246" i="32" s="1"/>
  <c r="D244" i="30"/>
  <c r="C244" i="30"/>
  <c r="B245" i="30"/>
  <c r="G244" i="30"/>
  <c r="H244" i="30" s="1"/>
  <c r="D190" i="20"/>
  <c r="C190" i="20"/>
  <c r="A191" i="20"/>
  <c r="E190" i="20"/>
  <c r="B190" i="20"/>
  <c r="B247" i="31" l="1"/>
  <c r="C246" i="31"/>
  <c r="D246" i="31"/>
  <c r="G246" i="31"/>
  <c r="H246" i="31" s="1"/>
  <c r="B248" i="32"/>
  <c r="D247" i="32"/>
  <c r="C247" i="32"/>
  <c r="G247" i="32"/>
  <c r="H247" i="32" s="1"/>
  <c r="B246" i="30"/>
  <c r="C245" i="30"/>
  <c r="D245" i="30"/>
  <c r="G245" i="30"/>
  <c r="H245" i="30" s="1"/>
  <c r="B191" i="20"/>
  <c r="D191" i="20"/>
  <c r="C191" i="20"/>
  <c r="A192" i="20"/>
  <c r="E191" i="20"/>
  <c r="B248" i="31" l="1"/>
  <c r="G247" i="31"/>
  <c r="H247" i="31" s="1"/>
  <c r="C247" i="31"/>
  <c r="D247" i="31"/>
  <c r="B249" i="32"/>
  <c r="C248" i="32"/>
  <c r="D248" i="32"/>
  <c r="G248" i="32"/>
  <c r="H248" i="32" s="1"/>
  <c r="C246" i="30"/>
  <c r="D246" i="30"/>
  <c r="B247" i="30"/>
  <c r="G246" i="30"/>
  <c r="H246" i="30" s="1"/>
  <c r="D192" i="20"/>
  <c r="C192" i="20"/>
  <c r="A193" i="20"/>
  <c r="E192" i="20"/>
  <c r="B192" i="20"/>
  <c r="B249" i="31" l="1"/>
  <c r="C248" i="31"/>
  <c r="D248" i="31"/>
  <c r="G248" i="31"/>
  <c r="H248" i="31" s="1"/>
  <c r="B250" i="32"/>
  <c r="D249" i="32"/>
  <c r="G249" i="32"/>
  <c r="H249" i="32" s="1"/>
  <c r="C249" i="32"/>
  <c r="G247" i="30"/>
  <c r="H247" i="30" s="1"/>
  <c r="B248" i="30"/>
  <c r="D247" i="30"/>
  <c r="C247" i="30"/>
  <c r="B193" i="20"/>
  <c r="A194" i="20"/>
  <c r="E193" i="20"/>
  <c r="D193" i="20"/>
  <c r="C193" i="20"/>
  <c r="B250" i="31" l="1"/>
  <c r="G249" i="31"/>
  <c r="H249" i="31" s="1"/>
  <c r="D249" i="31"/>
  <c r="C249" i="31"/>
  <c r="B251" i="32"/>
  <c r="C250" i="32"/>
  <c r="D250" i="32"/>
  <c r="G250" i="32"/>
  <c r="H250" i="32" s="1"/>
  <c r="B249" i="30"/>
  <c r="D248" i="30"/>
  <c r="C248" i="30"/>
  <c r="G248" i="30"/>
  <c r="H248" i="30" s="1"/>
  <c r="A195" i="20"/>
  <c r="D194" i="20"/>
  <c r="C194" i="20"/>
  <c r="E194" i="20"/>
  <c r="B194" i="20"/>
  <c r="B251" i="31" l="1"/>
  <c r="C250" i="31"/>
  <c r="D250" i="31"/>
  <c r="G250" i="31"/>
  <c r="H250" i="31" s="1"/>
  <c r="B252" i="32"/>
  <c r="D251" i="32"/>
  <c r="G251" i="32"/>
  <c r="H251" i="32" s="1"/>
  <c r="C251" i="32"/>
  <c r="D249" i="30"/>
  <c r="C249" i="30"/>
  <c r="B250" i="30"/>
  <c r="G249" i="30"/>
  <c r="H249" i="30" s="1"/>
  <c r="B195" i="20"/>
  <c r="A196" i="20"/>
  <c r="E195" i="20"/>
  <c r="C195" i="20"/>
  <c r="D195" i="20"/>
  <c r="B252" i="31" l="1"/>
  <c r="G251" i="31"/>
  <c r="H251" i="31" s="1"/>
  <c r="C251" i="31"/>
  <c r="D251" i="31"/>
  <c r="B253" i="32"/>
  <c r="C252" i="32"/>
  <c r="G252" i="32"/>
  <c r="H252" i="32" s="1"/>
  <c r="D252" i="32"/>
  <c r="B251" i="30"/>
  <c r="D250" i="30"/>
  <c r="G250" i="30"/>
  <c r="H250" i="30" s="1"/>
  <c r="C250" i="30"/>
  <c r="A197" i="20"/>
  <c r="E196" i="20"/>
  <c r="C196" i="20"/>
  <c r="B196" i="20"/>
  <c r="D196" i="20"/>
  <c r="B253" i="31" l="1"/>
  <c r="G252" i="31"/>
  <c r="H252" i="31" s="1"/>
  <c r="C252" i="31"/>
  <c r="D252" i="31"/>
  <c r="B254" i="32"/>
  <c r="D253" i="32"/>
  <c r="G253" i="32"/>
  <c r="H253" i="32" s="1"/>
  <c r="C253" i="32"/>
  <c r="B252" i="30"/>
  <c r="C251" i="30"/>
  <c r="G251" i="30"/>
  <c r="H251" i="30" s="1"/>
  <c r="D251" i="30"/>
  <c r="A198" i="20"/>
  <c r="E197" i="20"/>
  <c r="D197" i="20"/>
  <c r="C197" i="20"/>
  <c r="B197" i="20"/>
  <c r="B254" i="31" l="1"/>
  <c r="G253" i="31"/>
  <c r="H253" i="31" s="1"/>
  <c r="C253" i="31"/>
  <c r="D253" i="31"/>
  <c r="B255" i="32"/>
  <c r="C254" i="32"/>
  <c r="G254" i="32"/>
  <c r="H254" i="32" s="1"/>
  <c r="D254" i="32"/>
  <c r="B253" i="30"/>
  <c r="C252" i="30"/>
  <c r="G252" i="30"/>
  <c r="H252" i="30" s="1"/>
  <c r="D252" i="30"/>
  <c r="A199" i="20"/>
  <c r="E198" i="20"/>
  <c r="C198" i="20"/>
  <c r="B198" i="20"/>
  <c r="D198" i="20"/>
  <c r="B255" i="31" l="1"/>
  <c r="D254" i="31"/>
  <c r="G254" i="31"/>
  <c r="H254" i="31" s="1"/>
  <c r="C254" i="31"/>
  <c r="B256" i="32"/>
  <c r="D255" i="32"/>
  <c r="G255" i="32"/>
  <c r="H255" i="32" s="1"/>
  <c r="C255" i="32"/>
  <c r="B254" i="30"/>
  <c r="G253" i="30"/>
  <c r="H253" i="30" s="1"/>
  <c r="D253" i="30"/>
  <c r="C253" i="30"/>
  <c r="B199" i="20"/>
  <c r="A200" i="20"/>
  <c r="E199" i="20"/>
  <c r="D199" i="20"/>
  <c r="C199" i="20"/>
  <c r="B256" i="31" l="1"/>
  <c r="D255" i="31"/>
  <c r="G255" i="31"/>
  <c r="H255" i="31" s="1"/>
  <c r="C255" i="31"/>
  <c r="B257" i="32"/>
  <c r="G256" i="32"/>
  <c r="H256" i="32" s="1"/>
  <c r="C256" i="32"/>
  <c r="D256" i="32"/>
  <c r="B255" i="30"/>
  <c r="C254" i="30"/>
  <c r="G254" i="30"/>
  <c r="H254" i="30" s="1"/>
  <c r="D254" i="30"/>
  <c r="A201" i="20"/>
  <c r="E200" i="20"/>
  <c r="C200" i="20"/>
  <c r="B200" i="20"/>
  <c r="D200" i="20"/>
  <c r="B257" i="31" l="1"/>
  <c r="G256" i="31"/>
  <c r="H256" i="31" s="1"/>
  <c r="C256" i="31"/>
  <c r="D256" i="31"/>
  <c r="B258" i="32"/>
  <c r="C257" i="32"/>
  <c r="D257" i="32"/>
  <c r="G257" i="32"/>
  <c r="H257" i="32" s="1"/>
  <c r="C255" i="30"/>
  <c r="D255" i="30"/>
  <c r="B256" i="30"/>
  <c r="G255" i="30"/>
  <c r="H255" i="30" s="1"/>
  <c r="A202" i="20"/>
  <c r="E201" i="20"/>
  <c r="D201" i="20"/>
  <c r="C201" i="20"/>
  <c r="B201" i="20"/>
  <c r="B258" i="31" l="1"/>
  <c r="C257" i="31"/>
  <c r="D257" i="31"/>
  <c r="G257" i="31"/>
  <c r="H257" i="31" s="1"/>
  <c r="B259" i="32"/>
  <c r="D258" i="32"/>
  <c r="C258" i="32"/>
  <c r="G258" i="32"/>
  <c r="H258" i="32" s="1"/>
  <c r="B257" i="30"/>
  <c r="C256" i="30"/>
  <c r="G256" i="30"/>
  <c r="H256" i="30" s="1"/>
  <c r="D256" i="30"/>
  <c r="E202" i="20"/>
  <c r="C202" i="20"/>
  <c r="B202" i="20"/>
  <c r="D202" i="20"/>
  <c r="A203" i="20"/>
  <c r="B259" i="31" l="1"/>
  <c r="C258" i="31"/>
  <c r="D258" i="31"/>
  <c r="G258" i="31"/>
  <c r="H258" i="31" s="1"/>
  <c r="B260" i="32"/>
  <c r="C259" i="32"/>
  <c r="D259" i="32"/>
  <c r="G259" i="32"/>
  <c r="H259" i="32" s="1"/>
  <c r="B258" i="30"/>
  <c r="D257" i="30"/>
  <c r="C257" i="30"/>
  <c r="G257" i="30"/>
  <c r="H257" i="30" s="1"/>
  <c r="A204" i="20"/>
  <c r="E203" i="20"/>
  <c r="D203" i="20"/>
  <c r="C203" i="20"/>
  <c r="B203" i="20"/>
  <c r="B260" i="31" l="1"/>
  <c r="C259" i="31"/>
  <c r="D259" i="31"/>
  <c r="G259" i="31"/>
  <c r="H259" i="31" s="1"/>
  <c r="B261" i="32"/>
  <c r="D260" i="32"/>
  <c r="G260" i="32"/>
  <c r="H260" i="32" s="1"/>
  <c r="C260" i="32"/>
  <c r="C258" i="30"/>
  <c r="B259" i="30"/>
  <c r="D258" i="30"/>
  <c r="G258" i="30"/>
  <c r="H258" i="30" s="1"/>
  <c r="C204" i="20"/>
  <c r="A205" i="20"/>
  <c r="E204" i="20"/>
  <c r="D204" i="20"/>
  <c r="B204" i="20"/>
  <c r="B261" i="31" l="1"/>
  <c r="C260" i="31"/>
  <c r="G260" i="31"/>
  <c r="H260" i="31" s="1"/>
  <c r="D260" i="31"/>
  <c r="B262" i="32"/>
  <c r="G261" i="32"/>
  <c r="H261" i="32" s="1"/>
  <c r="C261" i="32"/>
  <c r="D261" i="32"/>
  <c r="C259" i="30"/>
  <c r="G259" i="30"/>
  <c r="H259" i="30" s="1"/>
  <c r="B260" i="30"/>
  <c r="D259" i="30"/>
  <c r="A206" i="20"/>
  <c r="E205" i="20"/>
  <c r="D205" i="20"/>
  <c r="C205" i="20"/>
  <c r="B205" i="20"/>
  <c r="B262" i="31" l="1"/>
  <c r="D261" i="31"/>
  <c r="C261" i="31"/>
  <c r="G261" i="31"/>
  <c r="H261" i="31" s="1"/>
  <c r="B263" i="32"/>
  <c r="C262" i="32"/>
  <c r="D262" i="32"/>
  <c r="G262" i="32"/>
  <c r="H262" i="32" s="1"/>
  <c r="G260" i="30"/>
  <c r="H260" i="30" s="1"/>
  <c r="B261" i="30"/>
  <c r="C260" i="30"/>
  <c r="D260" i="30"/>
  <c r="C206" i="20"/>
  <c r="B206" i="20"/>
  <c r="A207" i="20"/>
  <c r="E206" i="20"/>
  <c r="D206" i="20"/>
  <c r="B263" i="31" l="1"/>
  <c r="G262" i="31"/>
  <c r="H262" i="31" s="1"/>
  <c r="D262" i="31"/>
  <c r="C262" i="31"/>
  <c r="B264" i="32"/>
  <c r="G263" i="32"/>
  <c r="H263" i="32" s="1"/>
  <c r="C263" i="32"/>
  <c r="D263" i="32"/>
  <c r="D261" i="30"/>
  <c r="C261" i="30"/>
  <c r="B262" i="30"/>
  <c r="G261" i="30"/>
  <c r="H261" i="30" s="1"/>
  <c r="A208" i="20"/>
  <c r="E207" i="20"/>
  <c r="D207" i="20"/>
  <c r="C207" i="20"/>
  <c r="B207" i="20"/>
  <c r="D263" i="31" l="1"/>
  <c r="B264" i="31"/>
  <c r="G263" i="31"/>
  <c r="H263" i="31" s="1"/>
  <c r="C263" i="31"/>
  <c r="B265" i="32"/>
  <c r="C264" i="32"/>
  <c r="D264" i="32"/>
  <c r="G264" i="32"/>
  <c r="H264" i="32" s="1"/>
  <c r="B263" i="30"/>
  <c r="G262" i="30"/>
  <c r="H262" i="30" s="1"/>
  <c r="D262" i="30"/>
  <c r="C262" i="30"/>
  <c r="C208" i="20"/>
  <c r="B208" i="20"/>
  <c r="A209" i="20"/>
  <c r="E208" i="20"/>
  <c r="D208" i="20"/>
  <c r="B265" i="31" l="1"/>
  <c r="G264" i="31"/>
  <c r="H264" i="31" s="1"/>
  <c r="C264" i="31"/>
  <c r="D264" i="31"/>
  <c r="B266" i="32"/>
  <c r="D265" i="32"/>
  <c r="C265" i="32"/>
  <c r="G265" i="32"/>
  <c r="H265" i="32" s="1"/>
  <c r="D263" i="30"/>
  <c r="B264" i="30"/>
  <c r="G263" i="30"/>
  <c r="H263" i="30" s="1"/>
  <c r="C263" i="30"/>
  <c r="A210" i="20"/>
  <c r="E209" i="20"/>
  <c r="D209" i="20"/>
  <c r="C209" i="20"/>
  <c r="B209" i="20"/>
  <c r="B266" i="31" l="1"/>
  <c r="C265" i="31"/>
  <c r="G265" i="31"/>
  <c r="H265" i="31" s="1"/>
  <c r="D265" i="31"/>
  <c r="B267" i="32"/>
  <c r="C266" i="32"/>
  <c r="D266" i="32"/>
  <c r="G266" i="32"/>
  <c r="H266" i="32" s="1"/>
  <c r="B265" i="30"/>
  <c r="D264" i="30"/>
  <c r="C264" i="30"/>
  <c r="G264" i="30"/>
  <c r="H264" i="30" s="1"/>
  <c r="C210" i="20"/>
  <c r="B210" i="20"/>
  <c r="A211" i="20"/>
  <c r="E210" i="20"/>
  <c r="D210" i="20"/>
  <c r="B267" i="31" l="1"/>
  <c r="C266" i="31"/>
  <c r="D266" i="31"/>
  <c r="G266" i="31"/>
  <c r="H266" i="31" s="1"/>
  <c r="B268" i="32"/>
  <c r="G267" i="32"/>
  <c r="H267" i="32" s="1"/>
  <c r="C267" i="32"/>
  <c r="D267" i="32"/>
  <c r="D265" i="30"/>
  <c r="B266" i="30"/>
  <c r="G265" i="30"/>
  <c r="H265" i="30" s="1"/>
  <c r="C265" i="30"/>
  <c r="A212" i="20"/>
  <c r="E211" i="20"/>
  <c r="D211" i="20"/>
  <c r="B211" i="20"/>
  <c r="C211" i="20"/>
  <c r="B268" i="31" l="1"/>
  <c r="C267" i="31"/>
  <c r="D267" i="31"/>
  <c r="G267" i="31"/>
  <c r="H267" i="31" s="1"/>
  <c r="B269" i="32"/>
  <c r="C268" i="32"/>
  <c r="D268" i="32"/>
  <c r="G268" i="32"/>
  <c r="H268" i="32" s="1"/>
  <c r="C266" i="30"/>
  <c r="B267" i="30"/>
  <c r="D266" i="30"/>
  <c r="G266" i="30"/>
  <c r="H266" i="30" s="1"/>
  <c r="C212" i="20"/>
  <c r="B212" i="20"/>
  <c r="A213" i="20"/>
  <c r="E212" i="20"/>
  <c r="D212" i="20"/>
  <c r="B269" i="31" l="1"/>
  <c r="G268" i="31"/>
  <c r="H268" i="31" s="1"/>
  <c r="D268" i="31"/>
  <c r="C268" i="31"/>
  <c r="B270" i="32"/>
  <c r="C269" i="32"/>
  <c r="D269" i="32"/>
  <c r="G269" i="32"/>
  <c r="H269" i="32" s="1"/>
  <c r="B268" i="30"/>
  <c r="C267" i="30"/>
  <c r="G267" i="30"/>
  <c r="H267" i="30" s="1"/>
  <c r="D267" i="30"/>
  <c r="A214" i="20"/>
  <c r="E213" i="20"/>
  <c r="D213" i="20"/>
  <c r="C213" i="20"/>
  <c r="B213" i="20"/>
  <c r="B270" i="31" l="1"/>
  <c r="C269" i="31"/>
  <c r="D269" i="31"/>
  <c r="G269" i="31"/>
  <c r="H269" i="31" s="1"/>
  <c r="B271" i="32"/>
  <c r="D270" i="32"/>
  <c r="C270" i="32"/>
  <c r="G270" i="32"/>
  <c r="H270" i="32" s="1"/>
  <c r="B269" i="30"/>
  <c r="C268" i="30"/>
  <c r="G268" i="30"/>
  <c r="H268" i="30" s="1"/>
  <c r="D268" i="30"/>
  <c r="C214" i="20"/>
  <c r="B214" i="20"/>
  <c r="A215" i="20"/>
  <c r="E214" i="20"/>
  <c r="D214" i="20"/>
  <c r="B271" i="31" l="1"/>
  <c r="C270" i="31"/>
  <c r="D270" i="31"/>
  <c r="G270" i="31"/>
  <c r="H270" i="31" s="1"/>
  <c r="B272" i="32"/>
  <c r="C271" i="32"/>
  <c r="D271" i="32"/>
  <c r="G271" i="32"/>
  <c r="H271" i="32" s="1"/>
  <c r="C269" i="30"/>
  <c r="G269" i="30"/>
  <c r="H269" i="30" s="1"/>
  <c r="B270" i="30"/>
  <c r="D269" i="30"/>
  <c r="A216" i="20"/>
  <c r="E215" i="20"/>
  <c r="D215" i="20"/>
  <c r="C215" i="20"/>
  <c r="B215" i="20"/>
  <c r="B272" i="31" l="1"/>
  <c r="D271" i="31"/>
  <c r="C271" i="31"/>
  <c r="G271" i="31"/>
  <c r="H271" i="31" s="1"/>
  <c r="B273" i="32"/>
  <c r="G272" i="32"/>
  <c r="H272" i="32" s="1"/>
  <c r="C272" i="32"/>
  <c r="D272" i="32"/>
  <c r="B271" i="30"/>
  <c r="C270" i="30"/>
  <c r="G270" i="30"/>
  <c r="H270" i="30" s="1"/>
  <c r="D270" i="30"/>
  <c r="C216" i="20"/>
  <c r="B216" i="20"/>
  <c r="D216" i="20"/>
  <c r="A217" i="20"/>
  <c r="E216" i="20"/>
  <c r="B273" i="31" l="1"/>
  <c r="C272" i="31"/>
  <c r="G272" i="31"/>
  <c r="H272" i="31" s="1"/>
  <c r="D272" i="31"/>
  <c r="B274" i="32"/>
  <c r="C273" i="32"/>
  <c r="D273" i="32"/>
  <c r="G273" i="32"/>
  <c r="H273" i="32" s="1"/>
  <c r="B272" i="30"/>
  <c r="C271" i="30"/>
  <c r="G271" i="30"/>
  <c r="H271" i="30" s="1"/>
  <c r="D271" i="30"/>
  <c r="A218" i="20"/>
  <c r="E217" i="20"/>
  <c r="D217" i="20"/>
  <c r="C217" i="20"/>
  <c r="B217" i="20"/>
  <c r="B274" i="31" l="1"/>
  <c r="C273" i="31"/>
  <c r="D273" i="31"/>
  <c r="G273" i="31"/>
  <c r="H273" i="31" s="1"/>
  <c r="B275" i="32"/>
  <c r="G274" i="32"/>
  <c r="H274" i="32" s="1"/>
  <c r="C274" i="32"/>
  <c r="D274" i="32"/>
  <c r="B273" i="30"/>
  <c r="D272" i="30"/>
  <c r="C272" i="30"/>
  <c r="G272" i="30"/>
  <c r="H272" i="30" s="1"/>
  <c r="C218" i="20"/>
  <c r="B218" i="20"/>
  <c r="A219" i="20"/>
  <c r="E218" i="20"/>
  <c r="D218" i="20"/>
  <c r="B275" i="31" l="1"/>
  <c r="D274" i="31"/>
  <c r="G274" i="31"/>
  <c r="H274" i="31" s="1"/>
  <c r="C274" i="31"/>
  <c r="B276" i="32"/>
  <c r="C275" i="32"/>
  <c r="D275" i="32"/>
  <c r="G275" i="32"/>
  <c r="H275" i="32" s="1"/>
  <c r="B274" i="30"/>
  <c r="D273" i="30"/>
  <c r="C273" i="30"/>
  <c r="G273" i="30"/>
  <c r="H273" i="30" s="1"/>
  <c r="A220" i="20"/>
  <c r="E219" i="20"/>
  <c r="D219" i="20"/>
  <c r="C219" i="20"/>
  <c r="B219" i="20"/>
  <c r="B276" i="31" l="1"/>
  <c r="G275" i="31"/>
  <c r="H275" i="31" s="1"/>
  <c r="C275" i="31"/>
  <c r="D275" i="31"/>
  <c r="B277" i="32"/>
  <c r="G276" i="32"/>
  <c r="H276" i="32" s="1"/>
  <c r="C276" i="32"/>
  <c r="D276" i="32"/>
  <c r="B275" i="30"/>
  <c r="D274" i="30"/>
  <c r="C274" i="30"/>
  <c r="G274" i="30"/>
  <c r="H274" i="30" s="1"/>
  <c r="C220" i="20"/>
  <c r="B220" i="20"/>
  <c r="A221" i="20"/>
  <c r="E220" i="20"/>
  <c r="D220" i="20"/>
  <c r="B277" i="31" l="1"/>
  <c r="G276" i="31"/>
  <c r="H276" i="31" s="1"/>
  <c r="C276" i="31"/>
  <c r="D276" i="31"/>
  <c r="B278" i="32"/>
  <c r="C277" i="32"/>
  <c r="G277" i="32"/>
  <c r="H277" i="32" s="1"/>
  <c r="D277" i="32"/>
  <c r="B276" i="30"/>
  <c r="C275" i="30"/>
  <c r="G275" i="30"/>
  <c r="H275" i="30" s="1"/>
  <c r="D275" i="30"/>
  <c r="A222" i="20"/>
  <c r="E221" i="20"/>
  <c r="D221" i="20"/>
  <c r="B221" i="20"/>
  <c r="C221" i="20"/>
  <c r="C277" i="31" l="1"/>
  <c r="D277" i="31"/>
  <c r="G277" i="31"/>
  <c r="H277" i="31" s="1"/>
  <c r="B278" i="31"/>
  <c r="B279" i="32"/>
  <c r="C278" i="32"/>
  <c r="D278" i="32"/>
  <c r="G278" i="32"/>
  <c r="H278" i="32" s="1"/>
  <c r="B277" i="30"/>
  <c r="C276" i="30"/>
  <c r="G276" i="30"/>
  <c r="H276" i="30" s="1"/>
  <c r="D276" i="30"/>
  <c r="C222" i="20"/>
  <c r="B222" i="20"/>
  <c r="A223" i="20"/>
  <c r="E222" i="20"/>
  <c r="D222" i="20"/>
  <c r="G278" i="31" l="1"/>
  <c r="H278" i="31" s="1"/>
  <c r="C278" i="31"/>
  <c r="B279" i="31"/>
  <c r="D278" i="31"/>
  <c r="B280" i="32"/>
  <c r="G279" i="32"/>
  <c r="H279" i="32" s="1"/>
  <c r="D279" i="32"/>
  <c r="C279" i="32"/>
  <c r="B278" i="30"/>
  <c r="C277" i="30"/>
  <c r="G277" i="30"/>
  <c r="H277" i="30" s="1"/>
  <c r="D277" i="30"/>
  <c r="A224" i="20"/>
  <c r="E223" i="20"/>
  <c r="D223" i="20"/>
  <c r="C223" i="20"/>
  <c r="B223" i="20"/>
  <c r="B280" i="31" l="1"/>
  <c r="C279" i="31"/>
  <c r="D279" i="31"/>
  <c r="G279" i="31"/>
  <c r="H279" i="31" s="1"/>
  <c r="B281" i="32"/>
  <c r="C280" i="32"/>
  <c r="D280" i="32"/>
  <c r="G280" i="32"/>
  <c r="H280" i="32" s="1"/>
  <c r="B279" i="30"/>
  <c r="G278" i="30"/>
  <c r="H278" i="30" s="1"/>
  <c r="D278" i="30"/>
  <c r="C278" i="30"/>
  <c r="C224" i="20"/>
  <c r="B224" i="20"/>
  <c r="A225" i="20"/>
  <c r="E224" i="20"/>
  <c r="D224" i="20"/>
  <c r="B281" i="31" l="1"/>
  <c r="D280" i="31"/>
  <c r="C280" i="31"/>
  <c r="G280" i="31"/>
  <c r="H280" i="31" s="1"/>
  <c r="B282" i="32"/>
  <c r="G281" i="32"/>
  <c r="H281" i="32" s="1"/>
  <c r="D281" i="32"/>
  <c r="C281" i="32"/>
  <c r="D279" i="30"/>
  <c r="B280" i="30"/>
  <c r="C279" i="30"/>
  <c r="G279" i="30"/>
  <c r="H279" i="30" s="1"/>
  <c r="A226" i="20"/>
  <c r="E225" i="20"/>
  <c r="D225" i="20"/>
  <c r="C225" i="20"/>
  <c r="B225" i="20"/>
  <c r="B282" i="31" l="1"/>
  <c r="C281" i="31"/>
  <c r="D281" i="31"/>
  <c r="G281" i="31"/>
  <c r="H281" i="31" s="1"/>
  <c r="B283" i="32"/>
  <c r="C282" i="32"/>
  <c r="D282" i="32"/>
  <c r="G282" i="32"/>
  <c r="H282" i="32" s="1"/>
  <c r="B281" i="30"/>
  <c r="D280" i="30"/>
  <c r="C280" i="30"/>
  <c r="G280" i="30"/>
  <c r="H280" i="30" s="1"/>
  <c r="C226" i="20"/>
  <c r="B226" i="20"/>
  <c r="A227" i="20"/>
  <c r="E226" i="20"/>
  <c r="D226" i="20"/>
  <c r="B283" i="31" l="1"/>
  <c r="C282" i="31"/>
  <c r="D282" i="31"/>
  <c r="G282" i="31"/>
  <c r="H282" i="31" s="1"/>
  <c r="B284" i="32"/>
  <c r="G283" i="32"/>
  <c r="H283" i="32" s="1"/>
  <c r="C283" i="32"/>
  <c r="D283" i="32"/>
  <c r="D281" i="30"/>
  <c r="B282" i="30"/>
  <c r="C281" i="30"/>
  <c r="G281" i="30"/>
  <c r="H281" i="30" s="1"/>
  <c r="A228" i="20"/>
  <c r="E227" i="20"/>
  <c r="D227" i="20"/>
  <c r="C227" i="20"/>
  <c r="B227" i="20"/>
  <c r="B284" i="31" l="1"/>
  <c r="G283" i="31"/>
  <c r="H283" i="31" s="1"/>
  <c r="C283" i="31"/>
  <c r="D283" i="31"/>
  <c r="B285" i="32"/>
  <c r="C284" i="32"/>
  <c r="D284" i="32"/>
  <c r="G284" i="32"/>
  <c r="H284" i="32" s="1"/>
  <c r="G282" i="30"/>
  <c r="H282" i="30" s="1"/>
  <c r="B283" i="30"/>
  <c r="D282" i="30"/>
  <c r="C282" i="30"/>
  <c r="C228" i="20"/>
  <c r="B228" i="20"/>
  <c r="D228" i="20"/>
  <c r="A229" i="20"/>
  <c r="E228" i="20"/>
  <c r="B285" i="31" l="1"/>
  <c r="C284" i="31"/>
  <c r="D284" i="31"/>
  <c r="G284" i="31"/>
  <c r="H284" i="31" s="1"/>
  <c r="B286" i="32"/>
  <c r="G285" i="32"/>
  <c r="H285" i="32" s="1"/>
  <c r="C285" i="32"/>
  <c r="D285" i="32"/>
  <c r="B284" i="30"/>
  <c r="C283" i="30"/>
  <c r="G283" i="30"/>
  <c r="H283" i="30" s="1"/>
  <c r="D283" i="30"/>
  <c r="A230" i="20"/>
  <c r="E229" i="20"/>
  <c r="D229" i="20"/>
  <c r="C229" i="20"/>
  <c r="B229" i="20"/>
  <c r="B286" i="31" l="1"/>
  <c r="D285" i="31"/>
  <c r="C285" i="31"/>
  <c r="G285" i="31"/>
  <c r="H285" i="31" s="1"/>
  <c r="B287" i="32"/>
  <c r="C286" i="32"/>
  <c r="D286" i="32"/>
  <c r="G286" i="32"/>
  <c r="H286" i="32" s="1"/>
  <c r="B285" i="30"/>
  <c r="C284" i="30"/>
  <c r="G284" i="30"/>
  <c r="H284" i="30" s="1"/>
  <c r="D284" i="30"/>
  <c r="C230" i="20"/>
  <c r="B230" i="20"/>
  <c r="A231" i="20"/>
  <c r="E230" i="20"/>
  <c r="D230" i="20"/>
  <c r="B287" i="31" l="1"/>
  <c r="C286" i="31"/>
  <c r="G286" i="31"/>
  <c r="H286" i="31" s="1"/>
  <c r="D286" i="31"/>
  <c r="B288" i="32"/>
  <c r="G287" i="32"/>
  <c r="H287" i="32" s="1"/>
  <c r="C287" i="32"/>
  <c r="D287" i="32"/>
  <c r="C285" i="30"/>
  <c r="B286" i="30"/>
  <c r="G285" i="30"/>
  <c r="H285" i="30" s="1"/>
  <c r="D285" i="30"/>
  <c r="A232" i="20"/>
  <c r="E231" i="20"/>
  <c r="D231" i="20"/>
  <c r="C231" i="20"/>
  <c r="B231" i="20"/>
  <c r="B288" i="31" l="1"/>
  <c r="G287" i="31"/>
  <c r="H287" i="31" s="1"/>
  <c r="C287" i="31"/>
  <c r="D287" i="31"/>
  <c r="B289" i="32"/>
  <c r="C288" i="32"/>
  <c r="G288" i="32"/>
  <c r="H288" i="32" s="1"/>
  <c r="D288" i="32"/>
  <c r="B287" i="30"/>
  <c r="C286" i="30"/>
  <c r="G286" i="30"/>
  <c r="H286" i="30" s="1"/>
  <c r="D286" i="30"/>
  <c r="C232" i="20"/>
  <c r="B232" i="20"/>
  <c r="A233" i="20"/>
  <c r="E232" i="20"/>
  <c r="D232" i="20"/>
  <c r="B289" i="31" l="1"/>
  <c r="C288" i="31"/>
  <c r="D288" i="31"/>
  <c r="G288" i="31"/>
  <c r="H288" i="31" s="1"/>
  <c r="B290" i="32"/>
  <c r="D289" i="32"/>
  <c r="G289" i="32"/>
  <c r="H289" i="32" s="1"/>
  <c r="C289" i="32"/>
  <c r="C287" i="30"/>
  <c r="B288" i="30"/>
  <c r="D287" i="30"/>
  <c r="G287" i="30"/>
  <c r="H287" i="30" s="1"/>
  <c r="A234" i="20"/>
  <c r="E233" i="20"/>
  <c r="D233" i="20"/>
  <c r="C233" i="20"/>
  <c r="B233" i="20"/>
  <c r="B290" i="31" l="1"/>
  <c r="G289" i="31"/>
  <c r="H289" i="31" s="1"/>
  <c r="C289" i="31"/>
  <c r="D289" i="31"/>
  <c r="B291" i="32"/>
  <c r="G290" i="32"/>
  <c r="H290" i="32" s="1"/>
  <c r="C290" i="32"/>
  <c r="D290" i="32"/>
  <c r="D288" i="30"/>
  <c r="G288" i="30"/>
  <c r="H288" i="30" s="1"/>
  <c r="B289" i="30"/>
  <c r="C288" i="30"/>
  <c r="C234" i="20"/>
  <c r="B234" i="20"/>
  <c r="A235" i="20"/>
  <c r="E234" i="20"/>
  <c r="D234" i="20"/>
  <c r="B291" i="31" l="1"/>
  <c r="D290" i="31"/>
  <c r="C290" i="31"/>
  <c r="G290" i="31"/>
  <c r="H290" i="31" s="1"/>
  <c r="B292" i="32"/>
  <c r="C291" i="32"/>
  <c r="D291" i="32"/>
  <c r="G291" i="32"/>
  <c r="H291" i="32" s="1"/>
  <c r="G289" i="30"/>
  <c r="H289" i="30" s="1"/>
  <c r="B290" i="30"/>
  <c r="D289" i="30"/>
  <c r="C289" i="30"/>
  <c r="A236" i="20"/>
  <c r="E235" i="20"/>
  <c r="D235" i="20"/>
  <c r="C235" i="20"/>
  <c r="B235" i="20"/>
  <c r="B292" i="31" l="1"/>
  <c r="G291" i="31"/>
  <c r="H291" i="31" s="1"/>
  <c r="C291" i="31"/>
  <c r="D291" i="31"/>
  <c r="B293" i="32"/>
  <c r="G292" i="32"/>
  <c r="H292" i="32" s="1"/>
  <c r="C292" i="32"/>
  <c r="D292" i="32"/>
  <c r="B291" i="30"/>
  <c r="G290" i="30"/>
  <c r="H290" i="30" s="1"/>
  <c r="C290" i="30"/>
  <c r="D290" i="30"/>
  <c r="C236" i="20"/>
  <c r="B236" i="20"/>
  <c r="D236" i="20"/>
  <c r="A237" i="20"/>
  <c r="E236" i="20"/>
  <c r="B293" i="31" l="1"/>
  <c r="D292" i="31"/>
  <c r="C292" i="31"/>
  <c r="G292" i="31"/>
  <c r="H292" i="31" s="1"/>
  <c r="B294" i="32"/>
  <c r="C293" i="32"/>
  <c r="D293" i="32"/>
  <c r="G293" i="32"/>
  <c r="H293" i="32" s="1"/>
  <c r="C291" i="30"/>
  <c r="D291" i="30"/>
  <c r="B292" i="30"/>
  <c r="G291" i="30"/>
  <c r="H291" i="30" s="1"/>
  <c r="A238" i="20"/>
  <c r="E237" i="20"/>
  <c r="D237" i="20"/>
  <c r="C237" i="20"/>
  <c r="B237" i="20"/>
  <c r="B294" i="31" l="1"/>
  <c r="D293" i="31"/>
  <c r="G293" i="31"/>
  <c r="H293" i="31" s="1"/>
  <c r="C293" i="31"/>
  <c r="B295" i="32"/>
  <c r="D294" i="32"/>
  <c r="G294" i="32"/>
  <c r="H294" i="32" s="1"/>
  <c r="C294" i="32"/>
  <c r="B293" i="30"/>
  <c r="C292" i="30"/>
  <c r="G292" i="30"/>
  <c r="H292" i="30" s="1"/>
  <c r="D292" i="30"/>
  <c r="C238" i="20"/>
  <c r="B238" i="20"/>
  <c r="A239" i="20"/>
  <c r="E238" i="20"/>
  <c r="D238" i="20"/>
  <c r="B295" i="31" l="1"/>
  <c r="C294" i="31"/>
  <c r="D294" i="31"/>
  <c r="G294" i="31"/>
  <c r="H294" i="31" s="1"/>
  <c r="B296" i="32"/>
  <c r="C295" i="32"/>
  <c r="D295" i="32"/>
  <c r="G295" i="32"/>
  <c r="H295" i="32" s="1"/>
  <c r="D293" i="30"/>
  <c r="B294" i="30"/>
  <c r="G293" i="30"/>
  <c r="H293" i="30" s="1"/>
  <c r="C293" i="30"/>
  <c r="A240" i="20"/>
  <c r="E239" i="20"/>
  <c r="D239" i="20"/>
  <c r="C239" i="20"/>
  <c r="B239" i="20"/>
  <c r="B296" i="31" l="1"/>
  <c r="D295" i="31"/>
  <c r="G295" i="31"/>
  <c r="H295" i="31" s="1"/>
  <c r="C295" i="31"/>
  <c r="B297" i="32"/>
  <c r="C296" i="32"/>
  <c r="D296" i="32"/>
  <c r="G296" i="32"/>
  <c r="H296" i="32" s="1"/>
  <c r="G294" i="30"/>
  <c r="H294" i="30" s="1"/>
  <c r="B295" i="30"/>
  <c r="D294" i="30"/>
  <c r="C294" i="30"/>
  <c r="A241" i="20"/>
  <c r="E240" i="20"/>
  <c r="C240" i="20"/>
  <c r="B240" i="20"/>
  <c r="D240" i="20"/>
  <c r="B297" i="31" l="1"/>
  <c r="C296" i="31"/>
  <c r="D296" i="31"/>
  <c r="G296" i="31"/>
  <c r="H296" i="31" s="1"/>
  <c r="B298" i="32"/>
  <c r="G297" i="32"/>
  <c r="H297" i="32" s="1"/>
  <c r="C297" i="32"/>
  <c r="D297" i="32"/>
  <c r="D295" i="30"/>
  <c r="G295" i="30"/>
  <c r="H295" i="30" s="1"/>
  <c r="B296" i="30"/>
  <c r="C295" i="30"/>
  <c r="B241" i="20"/>
  <c r="A242" i="20"/>
  <c r="E241" i="20"/>
  <c r="D241" i="20"/>
  <c r="C241" i="20"/>
  <c r="B298" i="31" l="1"/>
  <c r="C297" i="31"/>
  <c r="D297" i="31"/>
  <c r="G297" i="31"/>
  <c r="H297" i="31" s="1"/>
  <c r="B299" i="32"/>
  <c r="C298" i="32"/>
  <c r="D298" i="32"/>
  <c r="G298" i="32"/>
  <c r="H298" i="32" s="1"/>
  <c r="B297" i="30"/>
  <c r="D296" i="30"/>
  <c r="C296" i="30"/>
  <c r="G296" i="30"/>
  <c r="H296" i="30" s="1"/>
  <c r="A243" i="20"/>
  <c r="E242" i="20"/>
  <c r="D242" i="20"/>
  <c r="B242" i="20"/>
  <c r="C242" i="20"/>
  <c r="B299" i="31" l="1"/>
  <c r="C298" i="31"/>
  <c r="D298" i="31"/>
  <c r="G298" i="31"/>
  <c r="H298" i="31" s="1"/>
  <c r="B300" i="32"/>
  <c r="D299" i="32"/>
  <c r="C299" i="32"/>
  <c r="G299" i="32"/>
  <c r="H299" i="32" s="1"/>
  <c r="B298" i="30"/>
  <c r="C297" i="30"/>
  <c r="G297" i="30"/>
  <c r="H297" i="30" s="1"/>
  <c r="D297" i="30"/>
  <c r="B243" i="20"/>
  <c r="A244" i="20"/>
  <c r="E243" i="20"/>
  <c r="D243" i="20"/>
  <c r="C243" i="20"/>
  <c r="B300" i="31" l="1"/>
  <c r="C299" i="31"/>
  <c r="D299" i="31"/>
  <c r="G299" i="31"/>
  <c r="H299" i="31" s="1"/>
  <c r="B301" i="32"/>
  <c r="C300" i="32"/>
  <c r="D300" i="32"/>
  <c r="G300" i="32"/>
  <c r="H300" i="32" s="1"/>
  <c r="B299" i="30"/>
  <c r="D298" i="30"/>
  <c r="C298" i="30"/>
  <c r="G298" i="30"/>
  <c r="H298" i="30" s="1"/>
  <c r="A245" i="20"/>
  <c r="E244" i="20"/>
  <c r="D244" i="20"/>
  <c r="B244" i="20"/>
  <c r="C244" i="20"/>
  <c r="B301" i="31" l="1"/>
  <c r="G300" i="31"/>
  <c r="H300" i="31" s="1"/>
  <c r="C300" i="31"/>
  <c r="D300" i="31"/>
  <c r="B302" i="32"/>
  <c r="D301" i="32"/>
  <c r="G301" i="32"/>
  <c r="H301" i="32" s="1"/>
  <c r="C301" i="32"/>
  <c r="C299" i="30"/>
  <c r="B300" i="30"/>
  <c r="G299" i="30"/>
  <c r="H299" i="30" s="1"/>
  <c r="D299" i="30"/>
  <c r="B245" i="20"/>
  <c r="D245" i="20"/>
  <c r="C245" i="20"/>
  <c r="A246" i="20"/>
  <c r="E245" i="20"/>
  <c r="B302" i="31" l="1"/>
  <c r="C301" i="31"/>
  <c r="D301" i="31"/>
  <c r="G301" i="31"/>
  <c r="H301" i="31" s="1"/>
  <c r="B303" i="32"/>
  <c r="G302" i="32"/>
  <c r="H302" i="32" s="1"/>
  <c r="C302" i="32"/>
  <c r="D302" i="32"/>
  <c r="B301" i="30"/>
  <c r="G300" i="30"/>
  <c r="H300" i="30" s="1"/>
  <c r="D300" i="30"/>
  <c r="C300" i="30"/>
  <c r="A247" i="20"/>
  <c r="E246" i="20"/>
  <c r="D246" i="20"/>
  <c r="B246" i="20"/>
  <c r="C246" i="20"/>
  <c r="B303" i="31" l="1"/>
  <c r="D302" i="31"/>
  <c r="G302" i="31"/>
  <c r="H302" i="31" s="1"/>
  <c r="C302" i="31"/>
  <c r="B304" i="32"/>
  <c r="C303" i="32"/>
  <c r="D303" i="32"/>
  <c r="G303" i="32"/>
  <c r="H303" i="32" s="1"/>
  <c r="B302" i="30"/>
  <c r="C301" i="30"/>
  <c r="D301" i="30"/>
  <c r="G301" i="30"/>
  <c r="H301" i="30" s="1"/>
  <c r="B247" i="20"/>
  <c r="A248" i="20"/>
  <c r="E247" i="20"/>
  <c r="D247" i="20"/>
  <c r="C247" i="20"/>
  <c r="B304" i="31" l="1"/>
  <c r="C303" i="31"/>
  <c r="G303" i="31"/>
  <c r="H303" i="31" s="1"/>
  <c r="D303" i="31"/>
  <c r="B305" i="32"/>
  <c r="D304" i="32"/>
  <c r="C304" i="32"/>
  <c r="G304" i="32"/>
  <c r="H304" i="32" s="1"/>
  <c r="B303" i="30"/>
  <c r="G302" i="30"/>
  <c r="H302" i="30" s="1"/>
  <c r="D302" i="30"/>
  <c r="C302" i="30"/>
  <c r="A249" i="20"/>
  <c r="E248" i="20"/>
  <c r="D248" i="20"/>
  <c r="B248" i="20"/>
  <c r="C248" i="20"/>
  <c r="B305" i="31" l="1"/>
  <c r="G304" i="31"/>
  <c r="H304" i="31" s="1"/>
  <c r="C304" i="31"/>
  <c r="D304" i="31"/>
  <c r="B306" i="32"/>
  <c r="C305" i="32"/>
  <c r="D305" i="32"/>
  <c r="G305" i="32"/>
  <c r="H305" i="32" s="1"/>
  <c r="B304" i="30"/>
  <c r="D303" i="30"/>
  <c r="C303" i="30"/>
  <c r="G303" i="30"/>
  <c r="H303" i="30" s="1"/>
  <c r="B249" i="20"/>
  <c r="A250" i="20"/>
  <c r="E249" i="20"/>
  <c r="D249" i="20"/>
  <c r="C249" i="20"/>
  <c r="C305" i="31" l="1"/>
  <c r="D305" i="31"/>
  <c r="G305" i="31"/>
  <c r="H305" i="31" s="1"/>
  <c r="B307" i="32"/>
  <c r="D306" i="32"/>
  <c r="C306" i="32"/>
  <c r="G306" i="32"/>
  <c r="H306" i="32" s="1"/>
  <c r="B305" i="30"/>
  <c r="D304" i="30"/>
  <c r="C304" i="30"/>
  <c r="G304" i="30"/>
  <c r="H304" i="30" s="1"/>
  <c r="A251" i="20"/>
  <c r="E250" i="20"/>
  <c r="D250" i="20"/>
  <c r="C250" i="20"/>
  <c r="B250" i="20"/>
  <c r="B308" i="32" l="1"/>
  <c r="C307" i="32"/>
  <c r="D307" i="32"/>
  <c r="G307" i="32"/>
  <c r="H307" i="32" s="1"/>
  <c r="D305" i="30"/>
  <c r="B306" i="30"/>
  <c r="G305" i="30"/>
  <c r="H305" i="30" s="1"/>
  <c r="C305" i="30"/>
  <c r="B251" i="20"/>
  <c r="D251" i="20"/>
  <c r="C251" i="20"/>
  <c r="A252" i="20"/>
  <c r="E251" i="20"/>
  <c r="B309" i="32" l="1"/>
  <c r="D308" i="32"/>
  <c r="C308" i="32"/>
  <c r="G308" i="32"/>
  <c r="H308" i="32" s="1"/>
  <c r="D306" i="30"/>
  <c r="C306" i="30"/>
  <c r="B307" i="30"/>
  <c r="G306" i="30"/>
  <c r="H306" i="30" s="1"/>
  <c r="A253" i="20"/>
  <c r="E252" i="20"/>
  <c r="D252" i="20"/>
  <c r="C252" i="20"/>
  <c r="B252" i="20"/>
  <c r="B310" i="32" l="1"/>
  <c r="C309" i="32"/>
  <c r="D309" i="32"/>
  <c r="G309" i="32"/>
  <c r="H309" i="32" s="1"/>
  <c r="C307" i="30"/>
  <c r="B308" i="30"/>
  <c r="G307" i="30"/>
  <c r="H307" i="30" s="1"/>
  <c r="D307" i="30"/>
  <c r="B253" i="20"/>
  <c r="A254" i="20"/>
  <c r="E253" i="20"/>
  <c r="D253" i="20"/>
  <c r="C253" i="20"/>
  <c r="B311" i="32" l="1"/>
  <c r="D310" i="32"/>
  <c r="G310" i="32"/>
  <c r="H310" i="32" s="1"/>
  <c r="C310" i="32"/>
  <c r="B309" i="30"/>
  <c r="G308" i="30"/>
  <c r="H308" i="30" s="1"/>
  <c r="D308" i="30"/>
  <c r="C308" i="30"/>
  <c r="A255" i="20"/>
  <c r="E254" i="20"/>
  <c r="D254" i="20"/>
  <c r="C254" i="20"/>
  <c r="B254" i="20"/>
  <c r="B312" i="32" l="1"/>
  <c r="C311" i="32"/>
  <c r="D311" i="32"/>
  <c r="G311" i="32"/>
  <c r="H311" i="32" s="1"/>
  <c r="B310" i="30"/>
  <c r="C309" i="30"/>
  <c r="G309" i="30"/>
  <c r="H309" i="30" s="1"/>
  <c r="D309" i="30"/>
  <c r="B255" i="20"/>
  <c r="A256" i="20"/>
  <c r="E255" i="20"/>
  <c r="D255" i="20"/>
  <c r="C255" i="20"/>
  <c r="B313" i="32" l="1"/>
  <c r="D312" i="32"/>
  <c r="G312" i="32"/>
  <c r="H312" i="32" s="1"/>
  <c r="C312" i="32"/>
  <c r="B311" i="30"/>
  <c r="D310" i="30"/>
  <c r="C310" i="30"/>
  <c r="G310" i="30"/>
  <c r="H310" i="30" s="1"/>
  <c r="A257" i="20"/>
  <c r="E256" i="20"/>
  <c r="D256" i="20"/>
  <c r="C256" i="20"/>
  <c r="B256" i="20"/>
  <c r="B314" i="32" l="1"/>
  <c r="C313" i="32"/>
  <c r="D313" i="32"/>
  <c r="G313" i="32"/>
  <c r="H313" i="32" s="1"/>
  <c r="D311" i="30"/>
  <c r="G311" i="30"/>
  <c r="H311" i="30" s="1"/>
  <c r="B312" i="30"/>
  <c r="C311" i="30"/>
  <c r="B257" i="20"/>
  <c r="A258" i="20"/>
  <c r="E257" i="20"/>
  <c r="D257" i="20"/>
  <c r="C257" i="20"/>
  <c r="B315" i="32" l="1"/>
  <c r="C314" i="32"/>
  <c r="D314" i="32"/>
  <c r="G314" i="32"/>
  <c r="H314" i="32" s="1"/>
  <c r="D312" i="30"/>
  <c r="G312" i="30"/>
  <c r="H312" i="30" s="1"/>
  <c r="B313" i="30"/>
  <c r="C312" i="30"/>
  <c r="A259" i="20"/>
  <c r="E258" i="20"/>
  <c r="D258" i="20"/>
  <c r="C258" i="20"/>
  <c r="B258" i="20"/>
  <c r="B316" i="32" l="1"/>
  <c r="D315" i="32"/>
  <c r="G315" i="32"/>
  <c r="H315" i="32" s="1"/>
  <c r="C315" i="32"/>
  <c r="B314" i="30"/>
  <c r="G313" i="30"/>
  <c r="H313" i="30" s="1"/>
  <c r="C313" i="30"/>
  <c r="D313" i="30"/>
  <c r="B259" i="20"/>
  <c r="D259" i="20"/>
  <c r="C259" i="20"/>
  <c r="A260" i="20"/>
  <c r="E259" i="20"/>
  <c r="B317" i="32" l="1"/>
  <c r="C316" i="32"/>
  <c r="D316" i="32"/>
  <c r="G316" i="32"/>
  <c r="H316" i="32" s="1"/>
  <c r="D314" i="30"/>
  <c r="C314" i="30"/>
  <c r="B315" i="30"/>
  <c r="G314" i="30"/>
  <c r="H314" i="30" s="1"/>
  <c r="A261" i="20"/>
  <c r="E260" i="20"/>
  <c r="D260" i="20"/>
  <c r="C260" i="20"/>
  <c r="B260" i="20"/>
  <c r="B318" i="32" l="1"/>
  <c r="D317" i="32"/>
  <c r="C317" i="32"/>
  <c r="G317" i="32"/>
  <c r="H317" i="32" s="1"/>
  <c r="B316" i="30"/>
  <c r="C315" i="30"/>
  <c r="D315" i="30"/>
  <c r="G315" i="30"/>
  <c r="H315" i="30" s="1"/>
  <c r="B261" i="20"/>
  <c r="A262" i="20"/>
  <c r="E261" i="20"/>
  <c r="D261" i="20"/>
  <c r="C261" i="20"/>
  <c r="B319" i="32" l="1"/>
  <c r="C318" i="32"/>
  <c r="D318" i="32"/>
  <c r="G318" i="32"/>
  <c r="H318" i="32" s="1"/>
  <c r="B317" i="30"/>
  <c r="C316" i="30"/>
  <c r="D316" i="30"/>
  <c r="G316" i="30"/>
  <c r="H316" i="30" s="1"/>
  <c r="A263" i="20"/>
  <c r="E262" i="20"/>
  <c r="D262" i="20"/>
  <c r="C262" i="20"/>
  <c r="B262" i="20"/>
  <c r="B320" i="32" l="1"/>
  <c r="D319" i="32"/>
  <c r="G319" i="32"/>
  <c r="H319" i="32" s="1"/>
  <c r="C319" i="32"/>
  <c r="C317" i="30"/>
  <c r="D317" i="30"/>
  <c r="B318" i="30"/>
  <c r="G317" i="30"/>
  <c r="H317" i="30" s="1"/>
  <c r="B263" i="20"/>
  <c r="A264" i="20"/>
  <c r="E263" i="20"/>
  <c r="D263" i="20"/>
  <c r="C263" i="20"/>
  <c r="B321" i="32" l="1"/>
  <c r="C320" i="32"/>
  <c r="D320" i="32"/>
  <c r="G320" i="32"/>
  <c r="H320" i="32" s="1"/>
  <c r="D318" i="30"/>
  <c r="B319" i="30"/>
  <c r="G318" i="30"/>
  <c r="H318" i="30" s="1"/>
  <c r="C318" i="30"/>
  <c r="A265" i="20"/>
  <c r="E264" i="20"/>
  <c r="D264" i="20"/>
  <c r="C264" i="20"/>
  <c r="B264" i="20"/>
  <c r="B322" i="32" l="1"/>
  <c r="G321" i="32"/>
  <c r="H321" i="32" s="1"/>
  <c r="C321" i="32"/>
  <c r="D321" i="32"/>
  <c r="C319" i="30"/>
  <c r="B320" i="30"/>
  <c r="D319" i="30"/>
  <c r="G319" i="30"/>
  <c r="H319" i="30" s="1"/>
  <c r="A266" i="20"/>
  <c r="E265" i="20"/>
  <c r="D265" i="20"/>
  <c r="C265" i="20"/>
  <c r="B265" i="20"/>
  <c r="B323" i="32" l="1"/>
  <c r="C322" i="32"/>
  <c r="D322" i="32"/>
  <c r="G322" i="32"/>
  <c r="H322" i="32" s="1"/>
  <c r="B321" i="30"/>
  <c r="D320" i="30"/>
  <c r="C320" i="30"/>
  <c r="G320" i="30"/>
  <c r="H320" i="30" s="1"/>
  <c r="A267" i="20"/>
  <c r="E266" i="20"/>
  <c r="D266" i="20"/>
  <c r="C266" i="20"/>
  <c r="B266" i="20"/>
  <c r="B324" i="32" l="1"/>
  <c r="C323" i="32"/>
  <c r="D323" i="32"/>
  <c r="G323" i="32"/>
  <c r="H323" i="32" s="1"/>
  <c r="B322" i="30"/>
  <c r="G321" i="30"/>
  <c r="H321" i="30" s="1"/>
  <c r="C321" i="30"/>
  <c r="D321" i="30"/>
  <c r="A268" i="20"/>
  <c r="E267" i="20"/>
  <c r="D267" i="20"/>
  <c r="C267" i="20"/>
  <c r="B267" i="20"/>
  <c r="B325" i="32" l="1"/>
  <c r="D324" i="32"/>
  <c r="C324" i="32"/>
  <c r="G324" i="32"/>
  <c r="H324" i="32" s="1"/>
  <c r="D322" i="30"/>
  <c r="C322" i="30"/>
  <c r="B323" i="30"/>
  <c r="G322" i="30"/>
  <c r="H322" i="30" s="1"/>
  <c r="A269" i="20"/>
  <c r="E268" i="20"/>
  <c r="D268" i="20"/>
  <c r="C268" i="20"/>
  <c r="B268" i="20"/>
  <c r="B326" i="32" l="1"/>
  <c r="C325" i="32"/>
  <c r="D325" i="32"/>
  <c r="G325" i="32"/>
  <c r="H325" i="32" s="1"/>
  <c r="B324" i="30"/>
  <c r="G323" i="30"/>
  <c r="H323" i="30" s="1"/>
  <c r="D323" i="30"/>
  <c r="C323" i="30"/>
  <c r="A270" i="20"/>
  <c r="E269" i="20"/>
  <c r="C269" i="20"/>
  <c r="B269" i="20"/>
  <c r="D269" i="20"/>
  <c r="B327" i="32" l="1"/>
  <c r="G326" i="32"/>
  <c r="H326" i="32" s="1"/>
  <c r="C326" i="32"/>
  <c r="D326" i="32"/>
  <c r="B325" i="30"/>
  <c r="C324" i="30"/>
  <c r="D324" i="30"/>
  <c r="G324" i="30"/>
  <c r="H324" i="30" s="1"/>
  <c r="E270" i="20"/>
  <c r="D270" i="20"/>
  <c r="C270" i="20"/>
  <c r="B270" i="20"/>
  <c r="A271" i="20"/>
  <c r="B328" i="32" l="1"/>
  <c r="C327" i="32"/>
  <c r="D327" i="32"/>
  <c r="G327" i="32"/>
  <c r="H327" i="32" s="1"/>
  <c r="B326" i="30"/>
  <c r="C325" i="30"/>
  <c r="G325" i="30"/>
  <c r="H325" i="30" s="1"/>
  <c r="D325" i="30"/>
  <c r="A272" i="20"/>
  <c r="E271" i="20"/>
  <c r="D271" i="20"/>
  <c r="C271" i="20"/>
  <c r="B271" i="20"/>
  <c r="D328" i="32" l="1"/>
  <c r="G328" i="32"/>
  <c r="H328" i="32" s="1"/>
  <c r="B329" i="32"/>
  <c r="C328" i="32"/>
  <c r="C326" i="30"/>
  <c r="B327" i="30"/>
  <c r="G326" i="30"/>
  <c r="H326" i="30" s="1"/>
  <c r="D326" i="30"/>
  <c r="D272" i="20"/>
  <c r="C272" i="20"/>
  <c r="B272" i="20"/>
  <c r="A273" i="20"/>
  <c r="E272" i="20"/>
  <c r="B330" i="32" l="1"/>
  <c r="D329" i="32"/>
  <c r="G329" i="32"/>
  <c r="H329" i="32" s="1"/>
  <c r="C329" i="32"/>
  <c r="B328" i="30"/>
  <c r="D327" i="30"/>
  <c r="C327" i="30"/>
  <c r="G327" i="30"/>
  <c r="H327" i="30" s="1"/>
  <c r="A274" i="20"/>
  <c r="E273" i="20"/>
  <c r="D273" i="20"/>
  <c r="C273" i="20"/>
  <c r="B273" i="20"/>
  <c r="B331" i="32" l="1"/>
  <c r="C330" i="32"/>
  <c r="D330" i="32"/>
  <c r="G330" i="32"/>
  <c r="H330" i="32" s="1"/>
  <c r="B329" i="30"/>
  <c r="D328" i="30"/>
  <c r="G328" i="30"/>
  <c r="H328" i="30" s="1"/>
  <c r="C328" i="30"/>
  <c r="D274" i="20"/>
  <c r="C274" i="20"/>
  <c r="B274" i="20"/>
  <c r="A275" i="20"/>
  <c r="E274" i="20"/>
  <c r="B332" i="32" l="1"/>
  <c r="D331" i="32"/>
  <c r="G331" i="32"/>
  <c r="H331" i="32" s="1"/>
  <c r="C331" i="32"/>
  <c r="D329" i="30"/>
  <c r="C329" i="30"/>
  <c r="B330" i="30"/>
  <c r="G329" i="30"/>
  <c r="H329" i="30" s="1"/>
  <c r="A276" i="20"/>
  <c r="E275" i="20"/>
  <c r="D275" i="20"/>
  <c r="C275" i="20"/>
  <c r="B275" i="20"/>
  <c r="B333" i="32" l="1"/>
  <c r="C332" i="32"/>
  <c r="D332" i="32"/>
  <c r="G332" i="32"/>
  <c r="H332" i="32" s="1"/>
  <c r="B331" i="30"/>
  <c r="D330" i="30"/>
  <c r="G330" i="30"/>
  <c r="H330" i="30" s="1"/>
  <c r="C330" i="30"/>
  <c r="D276" i="20"/>
  <c r="C276" i="20"/>
  <c r="B276" i="20"/>
  <c r="A277" i="20"/>
  <c r="E276" i="20"/>
  <c r="B334" i="32" l="1"/>
  <c r="C333" i="32"/>
  <c r="D333" i="32"/>
  <c r="G333" i="32"/>
  <c r="H333" i="32" s="1"/>
  <c r="B332" i="30"/>
  <c r="G331" i="30"/>
  <c r="H331" i="30" s="1"/>
  <c r="D331" i="30"/>
  <c r="C331" i="30"/>
  <c r="A278" i="20"/>
  <c r="E277" i="20"/>
  <c r="D277" i="20"/>
  <c r="C277" i="20"/>
  <c r="B277" i="20"/>
  <c r="B335" i="32" l="1"/>
  <c r="D334" i="32"/>
  <c r="G334" i="32"/>
  <c r="H334" i="32" s="1"/>
  <c r="C334" i="32"/>
  <c r="B333" i="30"/>
  <c r="G332" i="30"/>
  <c r="H332" i="30" s="1"/>
  <c r="C332" i="30"/>
  <c r="D332" i="30"/>
  <c r="D278" i="20"/>
  <c r="C278" i="20"/>
  <c r="B278" i="20"/>
  <c r="A279" i="20"/>
  <c r="E278" i="20"/>
  <c r="B336" i="32" l="1"/>
  <c r="C335" i="32"/>
  <c r="D335" i="32"/>
  <c r="G335" i="32"/>
  <c r="H335" i="32" s="1"/>
  <c r="B334" i="30"/>
  <c r="B335" i="30" s="1"/>
  <c r="G333" i="30"/>
  <c r="H333" i="30" s="1"/>
  <c r="C333" i="30"/>
  <c r="D333" i="30"/>
  <c r="A280" i="20"/>
  <c r="E279" i="20"/>
  <c r="D279" i="20"/>
  <c r="C279" i="20"/>
  <c r="B279" i="20"/>
  <c r="B336" i="30" l="1"/>
  <c r="C335" i="30"/>
  <c r="D335" i="30"/>
  <c r="G335" i="30"/>
  <c r="H335" i="30" s="1"/>
  <c r="B337" i="32"/>
  <c r="D336" i="32"/>
  <c r="C336" i="32"/>
  <c r="G336" i="32"/>
  <c r="H336" i="32" s="1"/>
  <c r="C334" i="30"/>
  <c r="G334" i="30"/>
  <c r="H334" i="30" s="1"/>
  <c r="D334" i="30"/>
  <c r="D280" i="20"/>
  <c r="C280" i="20"/>
  <c r="B280" i="20"/>
  <c r="A281" i="20"/>
  <c r="E280" i="20"/>
  <c r="B337" i="30" l="1"/>
  <c r="C336" i="30"/>
  <c r="D336" i="30"/>
  <c r="G336" i="30"/>
  <c r="H336" i="30" s="1"/>
  <c r="B338" i="32"/>
  <c r="C337" i="32"/>
  <c r="D337" i="32"/>
  <c r="G337" i="32"/>
  <c r="H337" i="32" s="1"/>
  <c r="A282" i="20"/>
  <c r="E281" i="20"/>
  <c r="D281" i="20"/>
  <c r="C281" i="20"/>
  <c r="B281" i="20"/>
  <c r="V2" i="24" l="1"/>
  <c r="V3" i="24"/>
  <c r="X3" i="38"/>
  <c r="X5" i="38"/>
  <c r="X4" i="38"/>
  <c r="X2" i="38"/>
  <c r="I102" i="38"/>
  <c r="I345" i="38"/>
  <c r="I9" i="38"/>
  <c r="I76" i="38"/>
  <c r="I125" i="38"/>
  <c r="I19" i="38"/>
  <c r="I303" i="38"/>
  <c r="I88" i="38"/>
  <c r="F2" i="38"/>
  <c r="I65" i="38"/>
  <c r="I354" i="38"/>
  <c r="V20" i="24"/>
  <c r="N4" i="38"/>
  <c r="I321" i="38"/>
  <c r="I210" i="38"/>
  <c r="I231" i="38"/>
  <c r="I300" i="38"/>
  <c r="I104" i="38"/>
  <c r="I24" i="38"/>
  <c r="I282" i="38"/>
  <c r="I127" i="38"/>
  <c r="I257" i="38"/>
  <c r="I42" i="38"/>
  <c r="V29" i="24"/>
  <c r="I331" i="38"/>
  <c r="I148" i="38"/>
  <c r="N2" i="38"/>
  <c r="I155" i="38"/>
  <c r="I291" i="38"/>
  <c r="N5" i="38"/>
  <c r="I198" i="38"/>
  <c r="I27" i="38"/>
  <c r="I48" i="38"/>
  <c r="I60" i="38"/>
  <c r="I327" i="38"/>
  <c r="I313" i="38"/>
  <c r="I222" i="38"/>
  <c r="I57" i="38"/>
  <c r="I329" i="38"/>
  <c r="V24" i="24"/>
  <c r="I221" i="38"/>
  <c r="I144" i="38"/>
  <c r="V3" i="38"/>
  <c r="V26" i="24"/>
  <c r="I55" i="38"/>
  <c r="I150" i="38"/>
  <c r="I183" i="38"/>
  <c r="I115" i="38"/>
  <c r="I101" i="38"/>
  <c r="G2" i="38"/>
  <c r="I186" i="38"/>
  <c r="I228" i="38"/>
  <c r="I108" i="38"/>
  <c r="M2" i="38"/>
  <c r="I124" i="38"/>
  <c r="I324" i="38"/>
  <c r="I294" i="38"/>
  <c r="I164" i="38"/>
  <c r="I21" i="38"/>
  <c r="I316" i="38"/>
  <c r="I247" i="38"/>
  <c r="I165" i="38"/>
  <c r="I16" i="38"/>
  <c r="I147" i="38"/>
  <c r="I295" i="38"/>
  <c r="I306" i="38"/>
  <c r="V28" i="24"/>
  <c r="I36" i="38"/>
  <c r="I229" i="38"/>
  <c r="I126" i="38"/>
  <c r="I149" i="38"/>
  <c r="I284" i="38"/>
  <c r="I204" i="38"/>
  <c r="L4" i="38"/>
  <c r="I40" i="38"/>
  <c r="I315" i="38"/>
  <c r="I151" i="38"/>
  <c r="I360" i="38"/>
  <c r="I11" i="38"/>
  <c r="I213" i="38"/>
  <c r="I317" i="38"/>
  <c r="I172" i="38"/>
  <c r="I41" i="38"/>
  <c r="V15" i="24"/>
  <c r="I189" i="38"/>
  <c r="I152" i="38"/>
  <c r="I243" i="38"/>
  <c r="I226" i="38"/>
  <c r="I259" i="38"/>
  <c r="I319" i="38"/>
  <c r="I207" i="38"/>
  <c r="I232" i="38"/>
  <c r="I342" i="38"/>
  <c r="I312" i="38"/>
  <c r="V4" i="38"/>
  <c r="I276" i="38"/>
  <c r="I271" i="38"/>
  <c r="I199" i="38"/>
  <c r="AB4" i="38"/>
  <c r="AS4" i="38" s="1"/>
  <c r="I111" i="38"/>
  <c r="I368" i="38"/>
  <c r="I63" i="38"/>
  <c r="I133" i="38"/>
  <c r="I187" i="38"/>
  <c r="I193" i="38"/>
  <c r="I80" i="38"/>
  <c r="I159" i="38"/>
  <c r="I307" i="38"/>
  <c r="I292" i="38"/>
  <c r="I174" i="38"/>
  <c r="I163" i="38"/>
  <c r="I78" i="38"/>
  <c r="I353" i="38"/>
  <c r="I143" i="38"/>
  <c r="I364" i="38"/>
  <c r="I112" i="38"/>
  <c r="I6" i="38"/>
  <c r="K5" i="38"/>
  <c r="I25" i="38"/>
  <c r="I132" i="38"/>
  <c r="I169" i="38"/>
  <c r="I145" i="38"/>
  <c r="I181" i="38"/>
  <c r="I92" i="38"/>
  <c r="I211" i="38"/>
  <c r="I140" i="38"/>
  <c r="V31" i="24"/>
  <c r="I113" i="38"/>
  <c r="I244" i="38"/>
  <c r="L2" i="38"/>
  <c r="I94" i="38"/>
  <c r="I234" i="38"/>
  <c r="I215" i="38"/>
  <c r="I267" i="38"/>
  <c r="I355" i="38"/>
  <c r="I30" i="38"/>
  <c r="I49" i="38"/>
  <c r="V27" i="24"/>
  <c r="I85" i="38"/>
  <c r="I192" i="38"/>
  <c r="I348" i="38"/>
  <c r="I202" i="38"/>
  <c r="I43" i="38"/>
  <c r="I167" i="38"/>
  <c r="I64" i="38"/>
  <c r="I263" i="38"/>
  <c r="I106" i="38"/>
  <c r="I67" i="38"/>
  <c r="I236" i="38"/>
  <c r="I84" i="38"/>
  <c r="I277" i="38"/>
  <c r="I252" i="38"/>
  <c r="I308" i="38"/>
  <c r="I320" i="38"/>
  <c r="I264" i="38"/>
  <c r="I61" i="38"/>
  <c r="I358" i="38"/>
  <c r="I12" i="38"/>
  <c r="L3" i="38"/>
  <c r="I135" i="38"/>
  <c r="K3" i="38"/>
  <c r="I73" i="38"/>
  <c r="I137" i="38"/>
  <c r="I279" i="38"/>
  <c r="I99" i="38"/>
  <c r="I223" i="38"/>
  <c r="V5" i="38"/>
  <c r="I28" i="38"/>
  <c r="I212" i="38"/>
  <c r="I185" i="38"/>
  <c r="I31" i="38"/>
  <c r="I100" i="38"/>
  <c r="I7" i="38"/>
  <c r="I8" i="38"/>
  <c r="I175" i="38"/>
  <c r="I240" i="38"/>
  <c r="I296" i="38"/>
  <c r="AB2" i="38"/>
  <c r="V9" i="24"/>
  <c r="I220" i="38"/>
  <c r="I265" i="38"/>
  <c r="I260" i="38"/>
  <c r="I29" i="38"/>
  <c r="I58" i="38"/>
  <c r="I258" i="38"/>
  <c r="I357" i="38"/>
  <c r="I224" i="38"/>
  <c r="I196" i="38"/>
  <c r="I255" i="38"/>
  <c r="I363" i="38"/>
  <c r="I283" i="38"/>
  <c r="I161" i="38"/>
  <c r="I328" i="38"/>
  <c r="I118" i="38"/>
  <c r="I90" i="38"/>
  <c r="I87" i="38"/>
  <c r="V14" i="24"/>
  <c r="I157" i="38"/>
  <c r="I18" i="38"/>
  <c r="I217" i="38"/>
  <c r="I299" i="38"/>
  <c r="I333" i="38"/>
  <c r="I184" i="38"/>
  <c r="I214" i="38"/>
  <c r="I341" i="38"/>
  <c r="I109" i="38"/>
  <c r="I121" i="38"/>
  <c r="I54" i="38"/>
  <c r="I171" i="38"/>
  <c r="I281" i="38"/>
  <c r="I15" i="38"/>
  <c r="I269" i="38"/>
  <c r="I361" i="38"/>
  <c r="I37" i="38"/>
  <c r="I301" i="38"/>
  <c r="I45" i="38"/>
  <c r="I344" i="38"/>
  <c r="I138" i="38"/>
  <c r="I208" i="38"/>
  <c r="I72" i="38"/>
  <c r="I256" i="38"/>
  <c r="I349" i="38"/>
  <c r="I245" i="38"/>
  <c r="I176" i="38"/>
  <c r="I39" i="38"/>
  <c r="I131" i="38"/>
  <c r="I325" i="38"/>
  <c r="I97" i="38"/>
  <c r="I168" i="38"/>
  <c r="I351" i="38"/>
  <c r="I197" i="38"/>
  <c r="I13" i="38"/>
  <c r="I343" i="38"/>
  <c r="I253" i="38"/>
  <c r="I120" i="38"/>
  <c r="I337" i="38"/>
  <c r="I96" i="38"/>
  <c r="I68" i="38"/>
  <c r="I248" i="38"/>
  <c r="I205" i="38"/>
  <c r="I103" i="38"/>
  <c r="I116" i="38"/>
  <c r="I20" i="38"/>
  <c r="M4" i="38"/>
  <c r="F5" i="38"/>
  <c r="I233" i="38"/>
  <c r="I200" i="38"/>
  <c r="I89" i="38"/>
  <c r="I3" i="38"/>
  <c r="V2" i="38"/>
  <c r="I268" i="38"/>
  <c r="I180" i="38"/>
  <c r="I318" i="38"/>
  <c r="L5" i="38"/>
  <c r="I56" i="38"/>
  <c r="I22" i="38"/>
  <c r="I270" i="38"/>
  <c r="I77" i="38"/>
  <c r="I330" i="38"/>
  <c r="I162" i="38"/>
  <c r="I336" i="38"/>
  <c r="M5" i="38"/>
  <c r="I288" i="38"/>
  <c r="I156" i="38"/>
  <c r="I216" i="38"/>
  <c r="I293" i="38"/>
  <c r="I286" i="38"/>
  <c r="V5" i="24"/>
  <c r="AB5" i="38"/>
  <c r="AS5" i="38" s="1"/>
  <c r="I69" i="38"/>
  <c r="I190" i="38"/>
  <c r="I128" i="38"/>
  <c r="I35" i="38"/>
  <c r="I107" i="38"/>
  <c r="I188" i="38"/>
  <c r="I95" i="38"/>
  <c r="I130" i="38"/>
  <c r="G3" i="38"/>
  <c r="I177" i="38"/>
  <c r="I46" i="38"/>
  <c r="I323" i="38"/>
  <c r="I153" i="38"/>
  <c r="I203" i="38"/>
  <c r="N3" i="38"/>
  <c r="I275" i="38"/>
  <c r="I241" i="38"/>
  <c r="F3" i="38"/>
  <c r="I285" i="38"/>
  <c r="I287" i="38"/>
  <c r="V22" i="24"/>
  <c r="V8" i="24"/>
  <c r="I359" i="38"/>
  <c r="I250" i="38"/>
  <c r="I141" i="38"/>
  <c r="V21" i="24"/>
  <c r="I34" i="38"/>
  <c r="M3" i="38"/>
  <c r="I369" i="38"/>
  <c r="I273" i="38"/>
  <c r="I297" i="38"/>
  <c r="I160" i="38"/>
  <c r="I309" i="38"/>
  <c r="I59" i="38"/>
  <c r="I365" i="38"/>
  <c r="I298" i="38"/>
  <c r="I356" i="38"/>
  <c r="I2" i="38"/>
  <c r="I335" i="38"/>
  <c r="I47" i="38"/>
  <c r="I201" i="38"/>
  <c r="F4" i="38"/>
  <c r="V16" i="24"/>
  <c r="I249" i="38"/>
  <c r="I81" i="38"/>
  <c r="I191" i="38"/>
  <c r="V7" i="24"/>
  <c r="I246" i="38"/>
  <c r="V23" i="24"/>
  <c r="AB3" i="38"/>
  <c r="AS3" i="38" s="1"/>
  <c r="I44" i="38"/>
  <c r="V10" i="24"/>
  <c r="I71" i="38"/>
  <c r="I237" i="38"/>
  <c r="I352" i="38"/>
  <c r="I238" i="38"/>
  <c r="I117" i="38"/>
  <c r="I93" i="38"/>
  <c r="V4" i="24"/>
  <c r="I52" i="38"/>
  <c r="G4" i="38"/>
  <c r="I261" i="38"/>
  <c r="I332" i="38"/>
  <c r="I235" i="38"/>
  <c r="I334" i="38"/>
  <c r="I322" i="38"/>
  <c r="I311" i="38"/>
  <c r="I346" i="38"/>
  <c r="I225" i="38"/>
  <c r="I23" i="38"/>
  <c r="I340" i="38"/>
  <c r="I289" i="38"/>
  <c r="I366" i="38"/>
  <c r="I142" i="38"/>
  <c r="I154" i="38"/>
  <c r="I179" i="38"/>
  <c r="I114" i="38"/>
  <c r="I139" i="38"/>
  <c r="I262" i="38"/>
  <c r="I239" i="38"/>
  <c r="I304" i="38"/>
  <c r="I66" i="38"/>
  <c r="I105" i="38"/>
  <c r="I310" i="38"/>
  <c r="I274" i="38"/>
  <c r="V18" i="24"/>
  <c r="I5" i="38"/>
  <c r="I166" i="38"/>
  <c r="I129" i="38"/>
  <c r="I83" i="38"/>
  <c r="I251" i="38"/>
  <c r="I91" i="38"/>
  <c r="I178" i="38"/>
  <c r="I10" i="38"/>
  <c r="V33" i="24"/>
  <c r="I347" i="38"/>
  <c r="I227" i="38"/>
  <c r="I272" i="38"/>
  <c r="I33" i="38"/>
  <c r="I209" i="38"/>
  <c r="I123" i="38"/>
  <c r="I254" i="38"/>
  <c r="V11" i="24"/>
  <c r="G5" i="38"/>
  <c r="I206" i="38"/>
  <c r="I4" i="38"/>
  <c r="I314" i="38"/>
  <c r="I86" i="38"/>
  <c r="I50" i="38"/>
  <c r="I339" i="38"/>
  <c r="I242" i="38"/>
  <c r="I326" i="38"/>
  <c r="V13" i="24"/>
  <c r="I182" i="38"/>
  <c r="I173" i="38"/>
  <c r="I70" i="38"/>
  <c r="I119" i="38"/>
  <c r="I79" i="38"/>
  <c r="V30" i="24"/>
  <c r="I75" i="38"/>
  <c r="I305" i="38"/>
  <c r="I367" i="38"/>
  <c r="V12" i="24"/>
  <c r="I338" i="38"/>
  <c r="I362" i="38"/>
  <c r="I302" i="38"/>
  <c r="I230" i="38"/>
  <c r="I146" i="38"/>
  <c r="I158" i="38"/>
  <c r="I136" i="38"/>
  <c r="I110" i="38"/>
  <c r="I82" i="38"/>
  <c r="I32" i="38"/>
  <c r="I53" i="38"/>
  <c r="I122" i="38"/>
  <c r="I290" i="38"/>
  <c r="I219" i="38"/>
  <c r="V25" i="24"/>
  <c r="I38" i="38"/>
  <c r="V6" i="24"/>
  <c r="I98" i="38"/>
  <c r="V17" i="24"/>
  <c r="I74" i="38"/>
  <c r="I17" i="38"/>
  <c r="I14" i="38"/>
  <c r="I278" i="38"/>
  <c r="V19" i="24"/>
  <c r="K4" i="38"/>
  <c r="I218" i="38"/>
  <c r="I266" i="38"/>
  <c r="I134" i="38"/>
  <c r="I280" i="38"/>
  <c r="Y5" i="38"/>
  <c r="I26" i="38"/>
  <c r="V32" i="24"/>
  <c r="I62" i="38"/>
  <c r="I194" i="38"/>
  <c r="I195" i="38"/>
  <c r="I170" i="38"/>
  <c r="I51" i="38"/>
  <c r="K2" i="38"/>
  <c r="I350" i="38"/>
  <c r="AA2" i="38"/>
  <c r="AA4" i="38"/>
  <c r="Y2" i="38"/>
  <c r="AA3" i="38"/>
  <c r="Y4" i="38"/>
  <c r="Y3" i="38"/>
  <c r="AA5" i="38"/>
  <c r="F51" i="38"/>
  <c r="V9" i="38"/>
  <c r="V7" i="38"/>
  <c r="Y7" i="38"/>
  <c r="Y6" i="38"/>
  <c r="V6" i="38"/>
  <c r="X9" i="38"/>
  <c r="X6" i="38"/>
  <c r="AA6" i="38"/>
  <c r="X10" i="38"/>
  <c r="AA7" i="38"/>
  <c r="X7" i="38"/>
  <c r="X8" i="38"/>
  <c r="V8" i="38"/>
  <c r="Y212" i="38"/>
  <c r="K233" i="38"/>
  <c r="G216" i="38"/>
  <c r="V32" i="38"/>
  <c r="X342" i="38"/>
  <c r="M299" i="38"/>
  <c r="V87" i="38"/>
  <c r="F73" i="38"/>
  <c r="N351" i="38"/>
  <c r="F142" i="38"/>
  <c r="F123" i="38"/>
  <c r="M320" i="38"/>
  <c r="M346" i="38"/>
  <c r="M144" i="38"/>
  <c r="K185" i="38"/>
  <c r="G324" i="38"/>
  <c r="N251" i="38"/>
  <c r="L146" i="38"/>
  <c r="L6" i="38"/>
  <c r="N238" i="38"/>
  <c r="F212" i="38"/>
  <c r="M267" i="38"/>
  <c r="N315" i="38"/>
  <c r="N214" i="38"/>
  <c r="L171" i="38"/>
  <c r="L270" i="38"/>
  <c r="G238" i="38"/>
  <c r="G181" i="38"/>
  <c r="V200" i="38"/>
  <c r="V189" i="38"/>
  <c r="M335" i="38"/>
  <c r="M251" i="38"/>
  <c r="L20" i="38"/>
  <c r="K156" i="38"/>
  <c r="K325" i="38"/>
  <c r="X266" i="38"/>
  <c r="V214" i="38"/>
  <c r="M210" i="38"/>
  <c r="M359" i="38"/>
  <c r="K31" i="38"/>
  <c r="M332" i="38"/>
  <c r="M149" i="38"/>
  <c r="X275" i="38"/>
  <c r="K15" i="38"/>
  <c r="L193" i="38"/>
  <c r="G109" i="38"/>
  <c r="M350" i="38"/>
  <c r="X274" i="38"/>
  <c r="M272" i="38"/>
  <c r="AB285" i="38"/>
  <c r="AS285" i="38" s="1"/>
  <c r="L231" i="38"/>
  <c r="V318" i="38"/>
  <c r="N32" i="38"/>
  <c r="L105" i="38"/>
  <c r="M89" i="38"/>
  <c r="M151" i="38"/>
  <c r="K75" i="38"/>
  <c r="Y42" i="38"/>
  <c r="V135" i="38"/>
  <c r="K331" i="38"/>
  <c r="N277" i="38"/>
  <c r="M28" i="38"/>
  <c r="L342" i="38"/>
  <c r="V262" i="38"/>
  <c r="M36" i="38"/>
  <c r="X262" i="38"/>
  <c r="G162" i="38"/>
  <c r="L190" i="38"/>
  <c r="L92" i="38"/>
  <c r="G253" i="38"/>
  <c r="X74" i="38"/>
  <c r="AA249" i="38"/>
  <c r="AB117" i="38"/>
  <c r="AS117" i="38" s="1"/>
  <c r="X19" i="38"/>
  <c r="V43" i="38"/>
  <c r="N45" i="38"/>
  <c r="Y73" i="38"/>
  <c r="Y342" i="38"/>
  <c r="K284" i="38"/>
  <c r="V285" i="38"/>
  <c r="Y188" i="38"/>
  <c r="V281" i="38"/>
  <c r="V197" i="38"/>
  <c r="N358" i="38"/>
  <c r="L123" i="38"/>
  <c r="K40" i="38"/>
  <c r="F87" i="38"/>
  <c r="N41" i="38"/>
  <c r="M274" i="38"/>
  <c r="L203" i="38"/>
  <c r="M44" i="38"/>
  <c r="K89" i="38"/>
  <c r="V280" i="38"/>
  <c r="Y115" i="38"/>
  <c r="X222" i="38"/>
  <c r="X121" i="38"/>
  <c r="V152" i="38"/>
  <c r="F261" i="38"/>
  <c r="AB309" i="38"/>
  <c r="AS309" i="38" s="1"/>
  <c r="N198" i="38"/>
  <c r="L155" i="38"/>
  <c r="M122" i="38"/>
  <c r="G245" i="38"/>
  <c r="K22" i="38"/>
  <c r="N7" i="38"/>
  <c r="AB95" i="38"/>
  <c r="AS95" i="38" s="1"/>
  <c r="Y366" i="38"/>
  <c r="X276" i="38"/>
  <c r="V85" i="38"/>
  <c r="X314" i="38"/>
  <c r="AB366" i="38"/>
  <c r="AS366" i="38" s="1"/>
  <c r="AA100" i="38"/>
  <c r="AA83" i="38"/>
  <c r="F246" i="38"/>
  <c r="X356" i="38"/>
  <c r="X46" i="38"/>
  <c r="F119" i="38"/>
  <c r="AB281" i="38"/>
  <c r="AS281" i="38" s="1"/>
  <c r="X250" i="38"/>
  <c r="AA79" i="38"/>
  <c r="Y256" i="38"/>
  <c r="N48" i="38"/>
  <c r="V237" i="38"/>
  <c r="N20" i="38"/>
  <c r="AB187" i="38"/>
  <c r="AS187" i="38" s="1"/>
  <c r="AB222" i="38"/>
  <c r="AS222" i="38" s="1"/>
  <c r="AB128" i="38"/>
  <c r="AS128" i="38" s="1"/>
  <c r="AA159" i="38"/>
  <c r="X11" i="38"/>
  <c r="G268" i="38"/>
  <c r="AB358" i="38"/>
  <c r="AS358" i="38" s="1"/>
  <c r="X210" i="38"/>
  <c r="K272" i="38"/>
  <c r="AA246" i="38"/>
  <c r="AB339" i="38"/>
  <c r="AB77" i="38"/>
  <c r="AS77" i="38" s="1"/>
  <c r="F263" i="38"/>
  <c r="G211" i="38"/>
  <c r="X189" i="38"/>
  <c r="F316" i="38"/>
  <c r="AA312" i="38"/>
  <c r="AA50" i="38"/>
  <c r="AB126" i="38"/>
  <c r="AS126" i="38" s="1"/>
  <c r="Y310" i="38"/>
  <c r="K106" i="38"/>
  <c r="X336" i="38"/>
  <c r="K28" i="38"/>
  <c r="L94" i="38"/>
  <c r="M156" i="38"/>
  <c r="M118" i="38"/>
  <c r="N121" i="38"/>
  <c r="M72" i="38"/>
  <c r="K237" i="38"/>
  <c r="M82" i="38"/>
  <c r="L175" i="38"/>
  <c r="K157" i="38"/>
  <c r="K36" i="38"/>
  <c r="G139" i="38"/>
  <c r="G142" i="38"/>
  <c r="G88" i="38"/>
  <c r="M281" i="38"/>
  <c r="X151" i="38"/>
  <c r="K264" i="38"/>
  <c r="G90" i="38"/>
  <c r="K181" i="38"/>
  <c r="M139" i="38"/>
  <c r="N131" i="38"/>
  <c r="K90" i="38"/>
  <c r="L261" i="38"/>
  <c r="L191" i="38"/>
  <c r="K20" i="38"/>
  <c r="K23" i="38"/>
  <c r="N312" i="38"/>
  <c r="K51" i="38"/>
  <c r="N345" i="38"/>
  <c r="V133" i="38"/>
  <c r="L217" i="38"/>
  <c r="M309" i="38"/>
  <c r="K231" i="38"/>
  <c r="K314" i="38"/>
  <c r="K39" i="38"/>
  <c r="N216" i="38"/>
  <c r="N107" i="38"/>
  <c r="N327" i="38"/>
  <c r="K275" i="38"/>
  <c r="L295" i="38"/>
  <c r="L273" i="38"/>
  <c r="L235" i="38"/>
  <c r="L21" i="38"/>
  <c r="F156" i="38"/>
  <c r="F219" i="38"/>
  <c r="AB362" i="38"/>
  <c r="AS362" i="38" s="1"/>
  <c r="L170" i="38"/>
  <c r="M147" i="38"/>
  <c r="L198" i="38"/>
  <c r="M43" i="38"/>
  <c r="N146" i="38"/>
  <c r="N130" i="38"/>
  <c r="V304" i="38"/>
  <c r="X349" i="38"/>
  <c r="K222" i="38"/>
  <c r="M141" i="38"/>
  <c r="K202" i="38"/>
  <c r="L327" i="38"/>
  <c r="V106" i="38"/>
  <c r="M244" i="38"/>
  <c r="K179" i="38"/>
  <c r="M365" i="38"/>
  <c r="AB35" i="38"/>
  <c r="N334" i="38"/>
  <c r="N362" i="38"/>
  <c r="M239" i="38"/>
  <c r="N204" i="38"/>
  <c r="K175" i="38"/>
  <c r="N260" i="38"/>
  <c r="M261" i="38"/>
  <c r="M18" i="38"/>
  <c r="L329" i="38"/>
  <c r="F256" i="38"/>
  <c r="F136" i="38"/>
  <c r="AB45" i="38"/>
  <c r="AS45" i="38" s="1"/>
  <c r="X304" i="38"/>
  <c r="AA355" i="38"/>
  <c r="Y324" i="38"/>
  <c r="V72" i="38"/>
  <c r="V163" i="38"/>
  <c r="V97" i="38"/>
  <c r="F355" i="38"/>
  <c r="Y90" i="38"/>
  <c r="AB352" i="38"/>
  <c r="AS352" i="38" s="1"/>
  <c r="X122" i="38"/>
  <c r="AA89" i="38"/>
  <c r="Y30" i="38"/>
  <c r="Y361" i="38"/>
  <c r="L249" i="38"/>
  <c r="X321" i="38"/>
  <c r="X37" i="38"/>
  <c r="V61" i="38"/>
  <c r="L222" i="38"/>
  <c r="N120" i="38"/>
  <c r="N331" i="38"/>
  <c r="N288" i="38"/>
  <c r="G329" i="38"/>
  <c r="K287" i="38"/>
  <c r="F339" i="38"/>
  <c r="AA54" i="38"/>
  <c r="X352" i="38"/>
  <c r="V90" i="38"/>
  <c r="V205" i="38"/>
  <c r="Y215" i="38"/>
  <c r="AB150" i="38"/>
  <c r="AS150" i="38" s="1"/>
  <c r="V147" i="38"/>
  <c r="N111" i="38"/>
  <c r="N69" i="38"/>
  <c r="K164" i="38"/>
  <c r="G191" i="38"/>
  <c r="V137" i="38"/>
  <c r="Y336" i="38"/>
  <c r="AB261" i="38"/>
  <c r="AS261" i="38" s="1"/>
  <c r="G277" i="38"/>
  <c r="AA125" i="38"/>
  <c r="N205" i="38"/>
  <c r="AA80" i="38"/>
  <c r="AA103" i="38"/>
  <c r="AA33" i="38"/>
  <c r="AB34" i="38"/>
  <c r="AS34" i="38" s="1"/>
  <c r="F293" i="38"/>
  <c r="V249" i="38"/>
  <c r="X296" i="38"/>
  <c r="F251" i="38"/>
  <c r="G54" i="38"/>
  <c r="Y81" i="38"/>
  <c r="X68" i="38"/>
  <c r="Y359" i="38"/>
  <c r="AB70" i="38"/>
  <c r="AS70" i="38" s="1"/>
  <c r="Y165" i="38"/>
  <c r="N220" i="38"/>
  <c r="V355" i="38"/>
  <c r="N150" i="38"/>
  <c r="AB305" i="38"/>
  <c r="AS305" i="38" s="1"/>
  <c r="AB239" i="38"/>
  <c r="AS239" i="38" s="1"/>
  <c r="F113" i="38"/>
  <c r="F30" i="38"/>
  <c r="N65" i="38"/>
  <c r="X104" i="38"/>
  <c r="AA124" i="38"/>
  <c r="N129" i="38"/>
  <c r="AB97" i="38"/>
  <c r="AS97" i="38" s="1"/>
  <c r="AA250" i="38"/>
  <c r="AB171" i="38"/>
  <c r="AS171" i="38" s="1"/>
  <c r="M278" i="38"/>
  <c r="G57" i="38"/>
  <c r="G302" i="38"/>
  <c r="N347" i="38"/>
  <c r="L322" i="38"/>
  <c r="M107" i="38"/>
  <c r="F363" i="38"/>
  <c r="G98" i="38"/>
  <c r="N332" i="38"/>
  <c r="G283" i="38"/>
  <c r="M186" i="38"/>
  <c r="F42" i="38"/>
  <c r="F176" i="38"/>
  <c r="L22" i="38"/>
  <c r="L85" i="38"/>
  <c r="V113" i="38"/>
  <c r="X89" i="38"/>
  <c r="X192" i="38"/>
  <c r="M175" i="38"/>
  <c r="N211" i="38"/>
  <c r="V192" i="38"/>
  <c r="K102" i="38"/>
  <c r="V124" i="38"/>
  <c r="L47" i="38"/>
  <c r="V328" i="38"/>
  <c r="L131" i="38"/>
  <c r="X204" i="38"/>
  <c r="V219" i="38"/>
  <c r="N188" i="38"/>
  <c r="N203" i="38"/>
  <c r="L135" i="38"/>
  <c r="L186" i="38"/>
  <c r="N340" i="38"/>
  <c r="X324" i="38"/>
  <c r="G272" i="38"/>
  <c r="L51" i="38"/>
  <c r="M179" i="38"/>
  <c r="K170" i="38"/>
  <c r="N95" i="38"/>
  <c r="V196" i="38"/>
  <c r="M352" i="38"/>
  <c r="M213" i="38"/>
  <c r="G155" i="38"/>
  <c r="M32" i="38"/>
  <c r="L344" i="38"/>
  <c r="M226" i="38"/>
  <c r="K212" i="38"/>
  <c r="G122" i="38"/>
  <c r="M12" i="38"/>
  <c r="V352" i="38"/>
  <c r="K351" i="38"/>
  <c r="L83" i="38"/>
  <c r="M201" i="38"/>
  <c r="L200" i="38"/>
  <c r="X40" i="38"/>
  <c r="M78" i="38"/>
  <c r="L356" i="38"/>
  <c r="X127" i="38"/>
  <c r="M101" i="38"/>
  <c r="M127" i="38"/>
  <c r="L148" i="38"/>
  <c r="L195" i="38"/>
  <c r="L264" i="38"/>
  <c r="X103" i="38"/>
  <c r="N320" i="38"/>
  <c r="N191" i="38"/>
  <c r="N118" i="38"/>
  <c r="L160" i="38"/>
  <c r="L103" i="38"/>
  <c r="F117" i="38"/>
  <c r="K136" i="38"/>
  <c r="F312" i="38"/>
  <c r="F264" i="38"/>
  <c r="Y240" i="38"/>
  <c r="N57" i="38"/>
  <c r="M146" i="38"/>
  <c r="AB330" i="38"/>
  <c r="AS330" i="38" s="1"/>
  <c r="AB135" i="38"/>
  <c r="AS135" i="38" s="1"/>
  <c r="AB318" i="38"/>
  <c r="AS318" i="38" s="1"/>
  <c r="V322" i="38"/>
  <c r="V167" i="38"/>
  <c r="AB17" i="38"/>
  <c r="AS17" i="38" s="1"/>
  <c r="Y244" i="38"/>
  <c r="X323" i="38"/>
  <c r="AB88" i="38"/>
  <c r="AS88" i="38" s="1"/>
  <c r="AA63" i="38"/>
  <c r="AB85" i="38"/>
  <c r="AS85" i="38" s="1"/>
  <c r="N55" i="38"/>
  <c r="F236" i="38"/>
  <c r="K343" i="38"/>
  <c r="K224" i="38"/>
  <c r="M34" i="38"/>
  <c r="F72" i="38"/>
  <c r="N18" i="38"/>
  <c r="L305" i="38"/>
  <c r="G203" i="38"/>
  <c r="F106" i="38"/>
  <c r="Y302" i="38"/>
  <c r="AB276" i="38"/>
  <c r="AS276" i="38" s="1"/>
  <c r="AA99" i="38"/>
  <c r="V274" i="38"/>
  <c r="V92" i="38"/>
  <c r="Y304" i="38"/>
  <c r="AB167" i="38"/>
  <c r="AS167" i="38" s="1"/>
  <c r="V289" i="38"/>
  <c r="N325" i="38"/>
  <c r="G333" i="38"/>
  <c r="AA243" i="38"/>
  <c r="V254" i="38"/>
  <c r="AB344" i="38"/>
  <c r="AS344" i="38" s="1"/>
  <c r="Y112" i="38"/>
  <c r="N10" i="38"/>
  <c r="V25" i="38"/>
  <c r="AB74" i="38"/>
  <c r="AS74" i="38" s="1"/>
  <c r="AA222" i="38"/>
  <c r="AA180" i="38"/>
  <c r="AA139" i="38"/>
  <c r="Y315" i="38"/>
  <c r="AA266" i="38"/>
  <c r="AB163" i="38"/>
  <c r="AS163" i="38" s="1"/>
  <c r="G185" i="38"/>
  <c r="Y204" i="38"/>
  <c r="V175" i="38"/>
  <c r="X138" i="38"/>
  <c r="G243" i="38"/>
  <c r="AB202" i="38"/>
  <c r="AS202" i="38" s="1"/>
  <c r="N24" i="38"/>
  <c r="Y339" i="38"/>
  <c r="Y176" i="38"/>
  <c r="AA78" i="38"/>
  <c r="X162" i="38"/>
  <c r="X359" i="38"/>
  <c r="G343" i="38"/>
  <c r="K299" i="38"/>
  <c r="X282" i="38"/>
  <c r="Y58" i="38"/>
  <c r="AA230" i="38"/>
  <c r="F210" i="38"/>
  <c r="F39" i="38"/>
  <c r="G331" i="38"/>
  <c r="M354" i="38"/>
  <c r="N155" i="38"/>
  <c r="M132" i="38"/>
  <c r="K246" i="38"/>
  <c r="F188" i="38"/>
  <c r="K13" i="38"/>
  <c r="K322" i="38"/>
  <c r="M37" i="38"/>
  <c r="F47" i="38"/>
  <c r="G348" i="38"/>
  <c r="K140" i="38"/>
  <c r="K143" i="38"/>
  <c r="N227" i="38"/>
  <c r="F287" i="38"/>
  <c r="X118" i="38"/>
  <c r="K99" i="38"/>
  <c r="L138" i="38"/>
  <c r="M85" i="38"/>
  <c r="M8" i="38"/>
  <c r="N184" i="38"/>
  <c r="L304" i="38"/>
  <c r="V112" i="38"/>
  <c r="K277" i="38"/>
  <c r="N368" i="38"/>
  <c r="Y152" i="38"/>
  <c r="L355" i="38"/>
  <c r="M363" i="38"/>
  <c r="X243" i="38"/>
  <c r="K194" i="38"/>
  <c r="M160" i="38"/>
  <c r="M116" i="38"/>
  <c r="V174" i="38"/>
  <c r="G369" i="38"/>
  <c r="K297" i="38"/>
  <c r="K362" i="38"/>
  <c r="G87" i="38"/>
  <c r="F286" i="38"/>
  <c r="M366" i="38"/>
  <c r="M328" i="38"/>
  <c r="G141" i="38"/>
  <c r="M280" i="38"/>
  <c r="M250" i="38"/>
  <c r="F218" i="38"/>
  <c r="K189" i="38"/>
  <c r="G320" i="38"/>
  <c r="M191" i="38"/>
  <c r="V232" i="38"/>
  <c r="M266" i="38"/>
  <c r="K78" i="38"/>
  <c r="V57" i="38"/>
  <c r="M106" i="38"/>
  <c r="G91" i="38"/>
  <c r="M306" i="38"/>
  <c r="G294" i="38"/>
  <c r="G368" i="38"/>
  <c r="M158" i="38"/>
  <c r="M66" i="38"/>
  <c r="N297" i="38"/>
  <c r="K35" i="38"/>
  <c r="K323" i="38"/>
  <c r="M314" i="38"/>
  <c r="N328" i="38"/>
  <c r="L236" i="38"/>
  <c r="F143" i="38"/>
  <c r="K211" i="38"/>
  <c r="F361" i="38"/>
  <c r="M341" i="38"/>
  <c r="V266" i="38"/>
  <c r="L366" i="38"/>
  <c r="Y166" i="38"/>
  <c r="N169" i="38"/>
  <c r="N134" i="38"/>
  <c r="X16" i="38"/>
  <c r="Y183" i="38"/>
  <c r="AA46" i="38"/>
  <c r="X308" i="38"/>
  <c r="V272" i="38"/>
  <c r="L71" i="38"/>
  <c r="G188" i="38"/>
  <c r="AB297" i="38"/>
  <c r="AS297" i="38" s="1"/>
  <c r="AA114" i="38"/>
  <c r="Y172" i="38"/>
  <c r="F59" i="38"/>
  <c r="G192" i="38"/>
  <c r="K309" i="38"/>
  <c r="K288" i="38"/>
  <c r="F44" i="38"/>
  <c r="K334" i="38"/>
  <c r="N183" i="38"/>
  <c r="G69" i="38"/>
  <c r="AB275" i="38"/>
  <c r="AS275" i="38" s="1"/>
  <c r="X344" i="38"/>
  <c r="Y245" i="38"/>
  <c r="AA73" i="38"/>
  <c r="AA253" i="38"/>
  <c r="AA68" i="38"/>
  <c r="X278" i="38"/>
  <c r="AA322" i="38"/>
  <c r="Y286" i="38"/>
  <c r="AA214" i="38"/>
  <c r="V359" i="38"/>
  <c r="L248" i="38"/>
  <c r="F341" i="38"/>
  <c r="AA217" i="38"/>
  <c r="V53" i="38"/>
  <c r="F247" i="38"/>
  <c r="AA105" i="38"/>
  <c r="X269" i="38"/>
  <c r="Y363" i="38"/>
  <c r="V206" i="38"/>
  <c r="X170" i="38"/>
  <c r="G159" i="38"/>
  <c r="AB182" i="38"/>
  <c r="AS182" i="38" s="1"/>
  <c r="F269" i="38"/>
  <c r="Y261" i="38"/>
  <c r="K137" i="38"/>
  <c r="G37" i="38"/>
  <c r="G342" i="38"/>
  <c r="AB360" i="38"/>
  <c r="AS360" i="38" s="1"/>
  <c r="X257" i="38"/>
  <c r="V305" i="38"/>
  <c r="N73" i="38"/>
  <c r="V58" i="38"/>
  <c r="AA248" i="38"/>
  <c r="AA365" i="38"/>
  <c r="AB134" i="38"/>
  <c r="AS134" i="38" s="1"/>
  <c r="V62" i="38"/>
  <c r="X26" i="38"/>
  <c r="Y362" i="38"/>
  <c r="V366" i="38"/>
  <c r="K85" i="38"/>
  <c r="G303" i="38"/>
  <c r="N78" i="38"/>
  <c r="Y205" i="38"/>
  <c r="AA348" i="38"/>
  <c r="AB193" i="38"/>
  <c r="AS193" i="38" s="1"/>
  <c r="X83" i="38"/>
  <c r="X158" i="38"/>
  <c r="G206" i="38"/>
  <c r="K151" i="38"/>
  <c r="X29" i="38"/>
  <c r="Y280" i="38"/>
  <c r="V307" i="38"/>
  <c r="X256" i="38"/>
  <c r="N138" i="38"/>
  <c r="F55" i="38"/>
  <c r="AA305" i="38"/>
  <c r="X332" i="38"/>
  <c r="M221" i="38"/>
  <c r="M153" i="38"/>
  <c r="M351" i="38"/>
  <c r="N343" i="38"/>
  <c r="K98" i="38"/>
  <c r="G286" i="38"/>
  <c r="K216" i="38"/>
  <c r="L166" i="38"/>
  <c r="G258" i="38"/>
  <c r="K301" i="38"/>
  <c r="G55" i="38"/>
  <c r="Y294" i="38"/>
  <c r="Y347" i="38"/>
  <c r="AA101" i="38"/>
  <c r="K26" i="38"/>
  <c r="K6" i="38"/>
  <c r="L358" i="38"/>
  <c r="N226" i="38"/>
  <c r="M173" i="38"/>
  <c r="F75" i="38"/>
  <c r="F25" i="38"/>
  <c r="F285" i="38"/>
  <c r="F32" i="38"/>
  <c r="K152" i="38"/>
  <c r="L127" i="38"/>
  <c r="K44" i="38"/>
  <c r="L259" i="38"/>
  <c r="M11" i="38"/>
  <c r="F333" i="38"/>
  <c r="G254" i="38"/>
  <c r="N369" i="38"/>
  <c r="K32" i="38"/>
  <c r="M169" i="38"/>
  <c r="X99" i="38"/>
  <c r="L196" i="38"/>
  <c r="L365" i="38"/>
  <c r="G360" i="38"/>
  <c r="L184" i="38"/>
  <c r="V356" i="38"/>
  <c r="G15" i="38"/>
  <c r="M240" i="38"/>
  <c r="Y230" i="38"/>
  <c r="N30" i="38"/>
  <c r="L216" i="38"/>
  <c r="K319" i="38"/>
  <c r="X48" i="38"/>
  <c r="V101" i="38"/>
  <c r="X338" i="38"/>
  <c r="G169" i="38"/>
  <c r="V100" i="38"/>
  <c r="G65" i="38"/>
  <c r="F74" i="38"/>
  <c r="N344" i="38"/>
  <c r="F187" i="38"/>
  <c r="L312" i="38"/>
  <c r="M46" i="38"/>
  <c r="G79" i="38"/>
  <c r="L122" i="38"/>
  <c r="F179" i="38"/>
  <c r="M229" i="38"/>
  <c r="G76" i="38"/>
  <c r="N79" i="38"/>
  <c r="M294" i="38"/>
  <c r="V257" i="38"/>
  <c r="L167" i="38"/>
  <c r="M337" i="38"/>
  <c r="M248" i="38"/>
  <c r="L343" i="38"/>
  <c r="AA368" i="38"/>
  <c r="AB357" i="38"/>
  <c r="AS357" i="38" s="1"/>
  <c r="V17" i="38"/>
  <c r="X59" i="38"/>
  <c r="L214" i="38"/>
  <c r="AA195" i="38"/>
  <c r="AB44" i="38"/>
  <c r="AS44" i="38" s="1"/>
  <c r="V19" i="38"/>
  <c r="V246" i="38"/>
  <c r="X92" i="38"/>
  <c r="V337" i="38"/>
  <c r="G178" i="38"/>
  <c r="Y206" i="38"/>
  <c r="Y151" i="38"/>
  <c r="K24" i="38"/>
  <c r="M312" i="38"/>
  <c r="L205" i="38"/>
  <c r="L79" i="38"/>
  <c r="F33" i="38"/>
  <c r="G100" i="38"/>
  <c r="K236" i="38"/>
  <c r="K259" i="38"/>
  <c r="Y35" i="38"/>
  <c r="X17" i="38"/>
  <c r="AB136" i="38"/>
  <c r="AS136" i="38" s="1"/>
  <c r="AA11" i="38"/>
  <c r="AA191" i="38"/>
  <c r="AA345" i="38"/>
  <c r="X357" i="38"/>
  <c r="F348" i="38"/>
  <c r="AB91" i="38"/>
  <c r="AS91" i="38" s="1"/>
  <c r="AB259" i="38"/>
  <c r="AS259" i="38" s="1"/>
  <c r="AA332" i="38"/>
  <c r="G44" i="38"/>
  <c r="F130" i="38"/>
  <c r="AB250" i="38"/>
  <c r="AS250" i="38" s="1"/>
  <c r="AB194" i="38"/>
  <c r="AS194" i="38" s="1"/>
  <c r="V334" i="38"/>
  <c r="X160" i="38"/>
  <c r="AB294" i="38"/>
  <c r="AS294" i="38" s="1"/>
  <c r="X98" i="38"/>
  <c r="N61" i="38"/>
  <c r="X312" i="38"/>
  <c r="Y24" i="38"/>
  <c r="X18" i="38"/>
  <c r="K365" i="38"/>
  <c r="L238" i="38"/>
  <c r="X340" i="38"/>
  <c r="AA288" i="38"/>
  <c r="AA293" i="38"/>
  <c r="AA77" i="38"/>
  <c r="Y284" i="38"/>
  <c r="X331" i="38"/>
  <c r="F305" i="38"/>
  <c r="Y197" i="38"/>
  <c r="AA93" i="38"/>
  <c r="X240" i="38"/>
  <c r="V276" i="38"/>
  <c r="N9" i="38"/>
  <c r="V269" i="38"/>
  <c r="F206" i="38"/>
  <c r="F185" i="38"/>
  <c r="Y224" i="38"/>
  <c r="F172" i="38"/>
  <c r="Y234" i="38"/>
  <c r="Y97" i="38"/>
  <c r="F66" i="38"/>
  <c r="N90" i="38"/>
  <c r="X85" i="38"/>
  <c r="L84" i="38"/>
  <c r="AB57" i="38"/>
  <c r="AS57" i="38" s="1"/>
  <c r="Y299" i="38"/>
  <c r="N309" i="38"/>
  <c r="V74" i="38"/>
  <c r="AA172" i="38"/>
  <c r="Y189" i="38"/>
  <c r="V27" i="38"/>
  <c r="X328" i="38"/>
  <c r="M236" i="38"/>
  <c r="K173" i="38"/>
  <c r="G36" i="38"/>
  <c r="V335" i="38"/>
  <c r="G166" i="38"/>
  <c r="L211" i="38"/>
  <c r="L300" i="38"/>
  <c r="K310" i="38"/>
  <c r="L251" i="38"/>
  <c r="M99" i="38"/>
  <c r="L290" i="38"/>
  <c r="L129" i="38"/>
  <c r="M68" i="38"/>
  <c r="M120" i="38"/>
  <c r="K219" i="38"/>
  <c r="F181" i="38"/>
  <c r="L72" i="38"/>
  <c r="F313" i="38"/>
  <c r="K239" i="38"/>
  <c r="K108" i="38"/>
  <c r="M305" i="38"/>
  <c r="G204" i="38"/>
  <c r="G261" i="38"/>
  <c r="V268" i="38"/>
  <c r="M317" i="38"/>
  <c r="M69" i="38"/>
  <c r="L279" i="38"/>
  <c r="F61" i="38"/>
  <c r="M22" i="38"/>
  <c r="K321" i="38"/>
  <c r="K55" i="38"/>
  <c r="V279" i="38"/>
  <c r="M322" i="38"/>
  <c r="L68" i="38"/>
  <c r="F321" i="38"/>
  <c r="V121" i="38"/>
  <c r="K29" i="38"/>
  <c r="M253" i="38"/>
  <c r="M339" i="38"/>
  <c r="K221" i="38"/>
  <c r="M174" i="38"/>
  <c r="M159" i="38"/>
  <c r="V360" i="38"/>
  <c r="M71" i="38"/>
  <c r="L363" i="38"/>
  <c r="L229" i="38"/>
  <c r="M271" i="38"/>
  <c r="M10" i="38"/>
  <c r="G282" i="38"/>
  <c r="G296" i="38"/>
  <c r="M286" i="38"/>
  <c r="N106" i="38"/>
  <c r="K172" i="38"/>
  <c r="M360" i="38"/>
  <c r="G43" i="38"/>
  <c r="F279" i="38"/>
  <c r="X348" i="38"/>
  <c r="M13" i="38"/>
  <c r="K53" i="38"/>
  <c r="G138" i="38"/>
  <c r="F80" i="38"/>
  <c r="N326" i="38"/>
  <c r="F242" i="38"/>
  <c r="F111" i="38"/>
  <c r="G46" i="38"/>
  <c r="K63" i="38"/>
  <c r="X363" i="38"/>
  <c r="AA27" i="38"/>
  <c r="L111" i="38"/>
  <c r="G93" i="38"/>
  <c r="Y364" i="38"/>
  <c r="AA32" i="38"/>
  <c r="AA94" i="38"/>
  <c r="V142" i="38"/>
  <c r="Y275" i="38"/>
  <c r="Y242" i="38"/>
  <c r="AB165" i="38"/>
  <c r="AS165" i="38" s="1"/>
  <c r="AA55" i="38"/>
  <c r="V149" i="38"/>
  <c r="X347" i="38"/>
  <c r="V80" i="38"/>
  <c r="AB48" i="38"/>
  <c r="AS48" i="38" s="1"/>
  <c r="G305" i="38"/>
  <c r="AB79" i="38"/>
  <c r="AS79" i="38" s="1"/>
  <c r="K96" i="38"/>
  <c r="M225" i="38"/>
  <c r="N350" i="38"/>
  <c r="K352" i="38"/>
  <c r="M104" i="38"/>
  <c r="G58" i="38"/>
  <c r="L316" i="38"/>
  <c r="K92" i="38"/>
  <c r="Y130" i="38"/>
  <c r="G160" i="38"/>
  <c r="F358" i="38"/>
  <c r="AB225" i="38"/>
  <c r="AS225" i="38" s="1"/>
  <c r="AA141" i="38"/>
  <c r="AA336" i="38"/>
  <c r="AB175" i="38"/>
  <c r="AS175" i="38" s="1"/>
  <c r="X311" i="38"/>
  <c r="Y33" i="38"/>
  <c r="AA25" i="38"/>
  <c r="AA294" i="38"/>
  <c r="L257" i="38"/>
  <c r="F304" i="38"/>
  <c r="Y198" i="38"/>
  <c r="V170" i="38"/>
  <c r="V207" i="38"/>
  <c r="X273" i="38"/>
  <c r="Y266" i="38"/>
  <c r="AA343" i="38"/>
  <c r="V95" i="38"/>
  <c r="V178" i="38"/>
  <c r="V89" i="38"/>
  <c r="N122" i="38"/>
  <c r="V222" i="38"/>
  <c r="G299" i="38"/>
  <c r="K65" i="38"/>
  <c r="AB152" i="38"/>
  <c r="AS152" i="38" s="1"/>
  <c r="Y369" i="38"/>
  <c r="AA140" i="38"/>
  <c r="Y28" i="38"/>
  <c r="Y54" i="38"/>
  <c r="N13" i="38"/>
  <c r="V156" i="38"/>
  <c r="Y39" i="38"/>
  <c r="AA122" i="38"/>
  <c r="X310" i="38"/>
  <c r="AB46" i="38"/>
  <c r="AS46" i="38" s="1"/>
  <c r="AB269" i="38"/>
  <c r="AS269" i="38" s="1"/>
  <c r="G357" i="38"/>
  <c r="AA231" i="38"/>
  <c r="N282" i="38"/>
  <c r="G221" i="38"/>
  <c r="Y167" i="38"/>
  <c r="AA171" i="38"/>
  <c r="G189" i="38"/>
  <c r="G312" i="38"/>
  <c r="L232" i="38"/>
  <c r="F204" i="38"/>
  <c r="M301" i="38"/>
  <c r="M154" i="38"/>
  <c r="M336" i="38"/>
  <c r="K110" i="38"/>
  <c r="L250" i="38"/>
  <c r="L293" i="38"/>
  <c r="F36" i="38"/>
  <c r="L86" i="38"/>
  <c r="F144" i="38"/>
  <c r="M311" i="38"/>
  <c r="M114" i="38"/>
  <c r="M129" i="38"/>
  <c r="M165" i="38"/>
  <c r="K73" i="38"/>
  <c r="L46" i="38"/>
  <c r="N261" i="38"/>
  <c r="N142" i="38"/>
  <c r="X215" i="38"/>
  <c r="K305" i="38"/>
  <c r="M38" i="38"/>
  <c r="V327" i="38"/>
  <c r="K171" i="38"/>
  <c r="G140" i="38"/>
  <c r="N28" i="38"/>
  <c r="N192" i="38"/>
  <c r="V261" i="38"/>
  <c r="F68" i="38"/>
  <c r="L144" i="38"/>
  <c r="AB345" i="38"/>
  <c r="AS345" i="38" s="1"/>
  <c r="G346" i="38"/>
  <c r="M321" i="38"/>
  <c r="X148" i="38"/>
  <c r="V204" i="38"/>
  <c r="L306" i="38"/>
  <c r="M57" i="38"/>
  <c r="L345" i="38"/>
  <c r="AB86" i="38"/>
  <c r="AS86" i="38" s="1"/>
  <c r="M219" i="38"/>
  <c r="V111" i="38"/>
  <c r="L339" i="38"/>
  <c r="M17" i="38"/>
  <c r="K198" i="38"/>
  <c r="V94" i="38"/>
  <c r="M96" i="38"/>
  <c r="L285" i="38"/>
  <c r="M130" i="38"/>
  <c r="F229" i="38"/>
  <c r="L274" i="38"/>
  <c r="K131" i="38"/>
  <c r="V45" i="38"/>
  <c r="K162" i="38"/>
  <c r="L88" i="38"/>
  <c r="N104" i="38"/>
  <c r="N307" i="38"/>
  <c r="K214" i="38"/>
  <c r="N93" i="38"/>
  <c r="K265" i="38"/>
  <c r="G51" i="38"/>
  <c r="K227" i="38"/>
  <c r="V30" i="38"/>
  <c r="V138" i="38"/>
  <c r="K276" i="38"/>
  <c r="N195" i="38"/>
  <c r="X115" i="38"/>
  <c r="F60" i="38"/>
  <c r="F92" i="38"/>
  <c r="X30" i="38"/>
  <c r="M297" i="38"/>
  <c r="M15" i="38"/>
  <c r="M211" i="38"/>
  <c r="AA325" i="38"/>
  <c r="K339" i="38"/>
  <c r="F109" i="38"/>
  <c r="K93" i="38"/>
  <c r="V55" i="38"/>
  <c r="AA138" i="38"/>
  <c r="AA174" i="38"/>
  <c r="AA123" i="38"/>
  <c r="N289" i="38"/>
  <c r="L294" i="38"/>
  <c r="AB158" i="38"/>
  <c r="AB278" i="38"/>
  <c r="AS278" i="38" s="1"/>
  <c r="Y79" i="38"/>
  <c r="M62" i="38"/>
  <c r="AA187" i="38"/>
  <c r="AA307" i="38"/>
  <c r="X299" i="38"/>
  <c r="N318" i="38"/>
  <c r="M345" i="38"/>
  <c r="N221" i="38"/>
  <c r="L227" i="38"/>
  <c r="L121" i="38"/>
  <c r="K58" i="38"/>
  <c r="X206" i="38"/>
  <c r="M138" i="38"/>
  <c r="F145" i="38"/>
  <c r="N179" i="38"/>
  <c r="M290" i="38"/>
  <c r="Y27" i="38"/>
  <c r="X79" i="38"/>
  <c r="N164" i="38"/>
  <c r="AA224" i="38"/>
  <c r="AB212" i="38"/>
  <c r="AS212" i="38" s="1"/>
  <c r="AA71" i="38"/>
  <c r="AB293" i="38"/>
  <c r="AS293" i="38" s="1"/>
  <c r="K133" i="38"/>
  <c r="Y9" i="38"/>
  <c r="AB327" i="38"/>
  <c r="AS327" i="38" s="1"/>
  <c r="F268" i="38"/>
  <c r="G220" i="38"/>
  <c r="AB33" i="38"/>
  <c r="AB47" i="38"/>
  <c r="AS47" i="38" s="1"/>
  <c r="X102" i="38"/>
  <c r="Y301" i="38"/>
  <c r="F53" i="38"/>
  <c r="AB20" i="38"/>
  <c r="AS20" i="38" s="1"/>
  <c r="Y63" i="38"/>
  <c r="X164" i="38"/>
  <c r="V128" i="38"/>
  <c r="V228" i="38"/>
  <c r="AB192" i="38"/>
  <c r="AS192" i="38" s="1"/>
  <c r="V136" i="38"/>
  <c r="G367" i="38"/>
  <c r="AB246" i="38"/>
  <c r="AS246" i="38" s="1"/>
  <c r="F354" i="38"/>
  <c r="AA181" i="38"/>
  <c r="AA205" i="38"/>
  <c r="Y146" i="38"/>
  <c r="AB312" i="38"/>
  <c r="AS312" i="38" s="1"/>
  <c r="X237" i="38"/>
  <c r="X13" i="38"/>
  <c r="AB138" i="38"/>
  <c r="AS138" i="38" s="1"/>
  <c r="AA219" i="38"/>
  <c r="Y169" i="38"/>
  <c r="Y108" i="38"/>
  <c r="AB260" i="38"/>
  <c r="AS260" i="38" s="1"/>
  <c r="F83" i="38"/>
  <c r="G335" i="38"/>
  <c r="Y57" i="38"/>
  <c r="M98" i="38"/>
  <c r="Y355" i="38"/>
  <c r="AB200" i="38"/>
  <c r="AS200" i="38" s="1"/>
  <c r="F107" i="38"/>
  <c r="G173" i="38"/>
  <c r="L202" i="38"/>
  <c r="AA362" i="38"/>
  <c r="Y323" i="38"/>
  <c r="AA84" i="38"/>
  <c r="Y225" i="38"/>
  <c r="AA121" i="38"/>
  <c r="M67" i="38"/>
  <c r="L188" i="38"/>
  <c r="K201" i="38"/>
  <c r="G174" i="38"/>
  <c r="V168" i="38"/>
  <c r="N360" i="38"/>
  <c r="L8" i="38"/>
  <c r="L32" i="38"/>
  <c r="K295" i="38"/>
  <c r="K114" i="38"/>
  <c r="K203" i="38"/>
  <c r="F347" i="38"/>
  <c r="F314" i="38"/>
  <c r="M126" i="38"/>
  <c r="K56" i="38"/>
  <c r="N296" i="38"/>
  <c r="N39" i="38"/>
  <c r="M93" i="38"/>
  <c r="L38" i="38"/>
  <c r="N262" i="38"/>
  <c r="X147" i="38"/>
  <c r="AB230" i="38"/>
  <c r="AS230" i="38" s="1"/>
  <c r="F296" i="38"/>
  <c r="M97" i="38"/>
  <c r="V191" i="38"/>
  <c r="M47" i="38"/>
  <c r="N348" i="38"/>
  <c r="L114" i="38"/>
  <c r="K361" i="38"/>
  <c r="G125" i="38"/>
  <c r="G11" i="38"/>
  <c r="M259" i="38"/>
  <c r="L30" i="38"/>
  <c r="X183" i="38"/>
  <c r="F165" i="38"/>
  <c r="N310" i="38"/>
  <c r="G115" i="38"/>
  <c r="K230" i="38"/>
  <c r="K257" i="38"/>
  <c r="K50" i="38"/>
  <c r="L213" i="38"/>
  <c r="M235" i="38"/>
  <c r="F324" i="38"/>
  <c r="L136" i="38"/>
  <c r="M202" i="38"/>
  <c r="L174" i="38"/>
  <c r="K208" i="38"/>
  <c r="X107" i="38"/>
  <c r="AB254" i="38"/>
  <c r="AS254" i="38" s="1"/>
  <c r="L26" i="38"/>
  <c r="M177" i="38"/>
  <c r="Y248" i="38"/>
  <c r="M258" i="38"/>
  <c r="M260" i="38"/>
  <c r="K47" i="38"/>
  <c r="L176" i="38"/>
  <c r="V193" i="38"/>
  <c r="V208" i="38"/>
  <c r="X159" i="38"/>
  <c r="K282" i="38"/>
  <c r="K289" i="38"/>
  <c r="V24" i="38"/>
  <c r="X177" i="38"/>
  <c r="M324" i="38"/>
  <c r="L139" i="38"/>
  <c r="V256" i="38"/>
  <c r="M368" i="38"/>
  <c r="F11" i="38"/>
  <c r="L351" i="38"/>
  <c r="AB14" i="38"/>
  <c r="AS14" i="38" s="1"/>
  <c r="N110" i="38"/>
  <c r="AB315" i="38"/>
  <c r="AS315" i="38" s="1"/>
  <c r="AA76" i="38"/>
  <c r="AA256" i="38"/>
  <c r="Y132" i="38"/>
  <c r="X161" i="38"/>
  <c r="AA337" i="38"/>
  <c r="AB209" i="38"/>
  <c r="AS209" i="38" s="1"/>
  <c r="AA229" i="38"/>
  <c r="Y185" i="38"/>
  <c r="AA189" i="38"/>
  <c r="AA173" i="38"/>
  <c r="AA43" i="38"/>
  <c r="G231" i="38"/>
  <c r="M333" i="38"/>
  <c r="G163" i="38"/>
  <c r="N303" i="38"/>
  <c r="F193" i="38"/>
  <c r="G8" i="38"/>
  <c r="M53" i="38"/>
  <c r="K69" i="38"/>
  <c r="N175" i="38"/>
  <c r="AB340" i="38"/>
  <c r="AS340" i="38" s="1"/>
  <c r="K353" i="38"/>
  <c r="X346" i="38"/>
  <c r="Y345" i="38"/>
  <c r="M277" i="38"/>
  <c r="AA38" i="38"/>
  <c r="AB325" i="38"/>
  <c r="AS325" i="38" s="1"/>
  <c r="Y156" i="38"/>
  <c r="F183" i="38"/>
  <c r="F292" i="38"/>
  <c r="AB8" i="38"/>
  <c r="AS8" i="38" s="1"/>
  <c r="X197" i="38"/>
  <c r="Y110" i="38"/>
  <c r="AB139" i="38"/>
  <c r="AS139" i="38" s="1"/>
  <c r="AB213" i="38"/>
  <c r="AS213" i="38" s="1"/>
  <c r="M338" i="38"/>
  <c r="V12" i="38"/>
  <c r="AA19" i="38"/>
  <c r="Y160" i="38"/>
  <c r="AB174" i="38"/>
  <c r="AS174" i="38" s="1"/>
  <c r="X234" i="38"/>
  <c r="AB361" i="38"/>
  <c r="AS361" i="38" s="1"/>
  <c r="AB296" i="38"/>
  <c r="AS296" i="38" s="1"/>
  <c r="AA168" i="38"/>
  <c r="V303" i="38"/>
  <c r="AB211" i="38"/>
  <c r="AS211" i="38" s="1"/>
  <c r="Y259" i="38"/>
  <c r="Y228" i="38"/>
  <c r="AB286" i="38"/>
  <c r="AS286" i="38" s="1"/>
  <c r="V14" i="38"/>
  <c r="X187" i="38"/>
  <c r="G102" i="38"/>
  <c r="Y71" i="38"/>
  <c r="AA320" i="38"/>
  <c r="Y34" i="38"/>
  <c r="AB354" i="38"/>
  <c r="AS354" i="38" s="1"/>
  <c r="G295" i="38"/>
  <c r="G131" i="38"/>
  <c r="Y86" i="38"/>
  <c r="N231" i="38"/>
  <c r="V50" i="38"/>
  <c r="X236" i="38"/>
  <c r="N67" i="38"/>
  <c r="K204" i="38"/>
  <c r="L337" i="38"/>
  <c r="Y270" i="38"/>
  <c r="V252" i="38"/>
  <c r="G40" i="38"/>
  <c r="AB141" i="38"/>
  <c r="AS141" i="38" s="1"/>
  <c r="AB21" i="38"/>
  <c r="AS21" i="38" s="1"/>
  <c r="AA241" i="38"/>
  <c r="X246" i="38"/>
  <c r="V284" i="38"/>
  <c r="V180" i="38"/>
  <c r="Y119" i="38"/>
  <c r="AB311" i="38"/>
  <c r="F99" i="38"/>
  <c r="M131" i="38"/>
  <c r="X341" i="38"/>
  <c r="V345" i="38"/>
  <c r="K193" i="38"/>
  <c r="N314" i="38"/>
  <c r="L177" i="38"/>
  <c r="M33" i="38"/>
  <c r="K150" i="38"/>
  <c r="M75" i="38"/>
  <c r="K188" i="38"/>
  <c r="V164" i="38"/>
  <c r="L126" i="38"/>
  <c r="L58" i="38"/>
  <c r="M49" i="38"/>
  <c r="K126" i="38"/>
  <c r="N149" i="38"/>
  <c r="L289" i="38"/>
  <c r="G82" i="38"/>
  <c r="M184" i="38"/>
  <c r="G358" i="38"/>
  <c r="M307" i="38"/>
  <c r="G25" i="38"/>
  <c r="V76" i="38"/>
  <c r="M227" i="38"/>
  <c r="M91" i="38"/>
  <c r="L163" i="38"/>
  <c r="N316" i="38"/>
  <c r="K113" i="38"/>
  <c r="L296" i="38"/>
  <c r="F186" i="38"/>
  <c r="F350" i="38"/>
  <c r="M296" i="38"/>
  <c r="M90" i="38"/>
  <c r="M188" i="38"/>
  <c r="G13" i="38"/>
  <c r="K347" i="38"/>
  <c r="G30" i="38"/>
  <c r="L53" i="38"/>
  <c r="L159" i="38"/>
  <c r="G359" i="38"/>
  <c r="F167" i="38"/>
  <c r="M316" i="38"/>
  <c r="L369" i="38"/>
  <c r="G7" i="38"/>
  <c r="M262" i="38"/>
  <c r="V160" i="38"/>
  <c r="K315" i="38"/>
  <c r="L23" i="38"/>
  <c r="K273" i="38"/>
  <c r="N259" i="38"/>
  <c r="G227" i="38"/>
  <c r="G38" i="38"/>
  <c r="V250" i="38"/>
  <c r="V184" i="38"/>
  <c r="M31" i="38"/>
  <c r="L333" i="38"/>
  <c r="G45" i="38"/>
  <c r="K195" i="38"/>
  <c r="M64" i="38"/>
  <c r="K367" i="38"/>
  <c r="L367" i="38"/>
  <c r="M222" i="38"/>
  <c r="N329" i="38"/>
  <c r="N269" i="38"/>
  <c r="L77" i="38"/>
  <c r="N286" i="38"/>
  <c r="M94" i="38"/>
  <c r="F217" i="38"/>
  <c r="L204" i="38"/>
  <c r="K369" i="38"/>
  <c r="AA12" i="38"/>
  <c r="X69" i="38"/>
  <c r="G364" i="38"/>
  <c r="Y221" i="38"/>
  <c r="AA182" i="38"/>
  <c r="Y291" i="38"/>
  <c r="V290" i="38"/>
  <c r="AA169" i="38"/>
  <c r="AB262" i="38"/>
  <c r="AS262" i="38" s="1"/>
  <c r="AA347" i="38"/>
  <c r="AA324" i="38"/>
  <c r="AB66" i="38"/>
  <c r="AB313" i="38"/>
  <c r="AS313" i="38" s="1"/>
  <c r="F213" i="38"/>
  <c r="Y227" i="38"/>
  <c r="K218" i="38"/>
  <c r="N280" i="38"/>
  <c r="X169" i="38"/>
  <c r="K368" i="38"/>
  <c r="X211" i="38"/>
  <c r="G351" i="38"/>
  <c r="X22" i="38"/>
  <c r="AB326" i="38"/>
  <c r="AS326" i="38" s="1"/>
  <c r="Y203" i="38"/>
  <c r="Y274" i="38"/>
  <c r="Y309" i="38"/>
  <c r="V353" i="38"/>
  <c r="Y231" i="38"/>
  <c r="AA271" i="38"/>
  <c r="AA74" i="38"/>
  <c r="K358" i="38"/>
  <c r="F318" i="38"/>
  <c r="G23" i="38"/>
  <c r="Y140" i="38"/>
  <c r="X134" i="38"/>
  <c r="AB216" i="38"/>
  <c r="AS216" i="38" s="1"/>
  <c r="AB221" i="38"/>
  <c r="AS221" i="38" s="1"/>
  <c r="AB257" i="38"/>
  <c r="AS257" i="38" s="1"/>
  <c r="AA331" i="38"/>
  <c r="X305" i="38"/>
  <c r="K196" i="38"/>
  <c r="AB64" i="38"/>
  <c r="Y237" i="38"/>
  <c r="AB268" i="38"/>
  <c r="AS268" i="38" s="1"/>
  <c r="AB231" i="38"/>
  <c r="AS231" i="38" s="1"/>
  <c r="AA194" i="38"/>
  <c r="F248" i="38"/>
  <c r="G81" i="38"/>
  <c r="Y157" i="38"/>
  <c r="G116" i="38"/>
  <c r="Y37" i="38"/>
  <c r="Y48" i="38"/>
  <c r="AB236" i="38"/>
  <c r="AS236" i="38" s="1"/>
  <c r="AB123" i="38"/>
  <c r="AS123" i="38" s="1"/>
  <c r="V342" i="38"/>
  <c r="N34" i="38"/>
  <c r="Y351" i="38"/>
  <c r="AA311" i="38"/>
  <c r="AB303" i="38"/>
  <c r="AS303" i="38" s="1"/>
  <c r="N230" i="38"/>
  <c r="AA104" i="38"/>
  <c r="AB324" i="38"/>
  <c r="AS324" i="38" s="1"/>
  <c r="X84" i="38"/>
  <c r="V264" i="38"/>
  <c r="X124" i="38"/>
  <c r="M361" i="38"/>
  <c r="G355" i="38"/>
  <c r="K77" i="38"/>
  <c r="Y247" i="38"/>
  <c r="X286" i="38"/>
  <c r="X109" i="38"/>
  <c r="AA128" i="38"/>
  <c r="AB96" i="38"/>
  <c r="AA323" i="38"/>
  <c r="N330" i="38"/>
  <c r="N181" i="38"/>
  <c r="V258" i="38"/>
  <c r="G21" i="38"/>
  <c r="L357" i="38"/>
  <c r="M348" i="38"/>
  <c r="M152" i="38"/>
  <c r="M150" i="38"/>
  <c r="M356" i="38"/>
  <c r="L283" i="38"/>
  <c r="L219" i="38"/>
  <c r="K313" i="38"/>
  <c r="F228" i="38"/>
  <c r="X194" i="38"/>
  <c r="N178" i="38"/>
  <c r="K243" i="38"/>
  <c r="V18" i="38"/>
  <c r="G177" i="38"/>
  <c r="F336" i="38"/>
  <c r="K155" i="38"/>
  <c r="K267" i="38"/>
  <c r="M228" i="38"/>
  <c r="M313" i="38"/>
  <c r="N40" i="38"/>
  <c r="G111" i="38"/>
  <c r="F127" i="38"/>
  <c r="M355" i="38"/>
  <c r="L67" i="38"/>
  <c r="M208" i="38"/>
  <c r="L15" i="38"/>
  <c r="K232" i="38"/>
  <c r="K139" i="38"/>
  <c r="G137" i="38"/>
  <c r="L56" i="38"/>
  <c r="K100" i="38"/>
  <c r="F223" i="38"/>
  <c r="M63" i="38"/>
  <c r="N263" i="38"/>
  <c r="L17" i="38"/>
  <c r="K268" i="38"/>
  <c r="F290" i="38"/>
  <c r="L130" i="38"/>
  <c r="F164" i="38"/>
  <c r="K333" i="38"/>
  <c r="N209" i="38"/>
  <c r="Y59" i="38"/>
  <c r="K286" i="38"/>
  <c r="M170" i="38"/>
  <c r="F129" i="38"/>
  <c r="N292" i="38"/>
  <c r="V267" i="38"/>
  <c r="L288" i="38"/>
  <c r="G99" i="38"/>
  <c r="K300" i="38"/>
  <c r="G250" i="38"/>
  <c r="L210" i="38"/>
  <c r="L128" i="38"/>
  <c r="M246" i="38"/>
  <c r="M268" i="38"/>
  <c r="M369" i="38"/>
  <c r="Y346" i="38"/>
  <c r="L80" i="38"/>
  <c r="L98" i="38"/>
  <c r="X116" i="38"/>
  <c r="L81" i="38"/>
  <c r="X51" i="38"/>
  <c r="X123" i="38"/>
  <c r="M58" i="38"/>
  <c r="K366" i="38"/>
  <c r="F298" i="38"/>
  <c r="G180" i="38"/>
  <c r="K21" i="38"/>
  <c r="M195" i="38"/>
  <c r="G186" i="38"/>
  <c r="F116" i="38"/>
  <c r="X53" i="38"/>
  <c r="F207" i="38"/>
  <c r="AB82" i="38"/>
  <c r="AS82" i="38" s="1"/>
  <c r="AB121" i="38"/>
  <c r="AS121" i="38" s="1"/>
  <c r="AA227" i="38"/>
  <c r="M50" i="38"/>
  <c r="AB343" i="38"/>
  <c r="AS343" i="38" s="1"/>
  <c r="Y365" i="38"/>
  <c r="AA297" i="38"/>
  <c r="Y50" i="38"/>
  <c r="G95" i="38"/>
  <c r="AB328" i="38"/>
  <c r="AS328" i="38" s="1"/>
  <c r="L350" i="38"/>
  <c r="F157" i="38"/>
  <c r="L325" i="38"/>
  <c r="G128" i="38"/>
  <c r="M65" i="38"/>
  <c r="G284" i="38"/>
  <c r="K235" i="38"/>
  <c r="AA238" i="38"/>
  <c r="Y78" i="38"/>
  <c r="N98" i="38"/>
  <c r="N80" i="38"/>
  <c r="Y303" i="38"/>
  <c r="G242" i="38"/>
  <c r="AB68" i="38"/>
  <c r="AS68" i="38" s="1"/>
  <c r="AA48" i="38"/>
  <c r="AB37" i="38"/>
  <c r="AS37" i="38" s="1"/>
  <c r="X71" i="38"/>
  <c r="Y222" i="38"/>
  <c r="K209" i="38"/>
  <c r="AB42" i="38"/>
  <c r="AS42" i="38" s="1"/>
  <c r="AB41" i="38"/>
  <c r="AS41" i="38" s="1"/>
  <c r="AB351" i="38"/>
  <c r="AS351" i="38" s="1"/>
  <c r="AA321" i="38"/>
  <c r="X64" i="38"/>
  <c r="X43" i="38"/>
  <c r="AA39" i="38"/>
  <c r="Y216" i="38"/>
  <c r="AB288" i="38"/>
  <c r="AS288" i="38" s="1"/>
  <c r="AB277" i="38"/>
  <c r="AS277" i="38" s="1"/>
  <c r="Y290" i="38"/>
  <c r="G104" i="38"/>
  <c r="L161" i="38"/>
  <c r="N229" i="38"/>
  <c r="AA295" i="38"/>
  <c r="AA120" i="38"/>
  <c r="F357" i="38"/>
  <c r="G352" i="38"/>
  <c r="AB331" i="38"/>
  <c r="AS331" i="38" s="1"/>
  <c r="Y281" i="38"/>
  <c r="AB176" i="38"/>
  <c r="AS176" i="38" s="1"/>
  <c r="Y312" i="38"/>
  <c r="F15" i="38"/>
  <c r="Y271" i="38"/>
  <c r="F306" i="38"/>
  <c r="Y260" i="38"/>
  <c r="F77" i="38"/>
  <c r="AB162" i="38"/>
  <c r="AS162" i="38" s="1"/>
  <c r="M157" i="38"/>
  <c r="AB302" i="38"/>
  <c r="AS302" i="38" s="1"/>
  <c r="Y26" i="38"/>
  <c r="X154" i="38"/>
  <c r="N165" i="38"/>
  <c r="G213" i="38"/>
  <c r="G281" i="38"/>
  <c r="AA109" i="38"/>
  <c r="N273" i="38"/>
  <c r="AB329" i="38"/>
  <c r="AS329" i="38" s="1"/>
  <c r="AA143" i="38"/>
  <c r="AB300" i="38"/>
  <c r="AS300" i="38" s="1"/>
  <c r="AA65" i="38"/>
  <c r="X232" i="38"/>
  <c r="X355" i="38"/>
  <c r="V40" i="38"/>
  <c r="M121" i="38"/>
  <c r="F311" i="38"/>
  <c r="N336" i="38"/>
  <c r="N256" i="38"/>
  <c r="G97" i="38"/>
  <c r="M231" i="38"/>
  <c r="M214" i="38"/>
  <c r="M112" i="38"/>
  <c r="X205" i="38"/>
  <c r="M135" i="38"/>
  <c r="M77" i="38"/>
  <c r="K11" i="38"/>
  <c r="N365" i="38"/>
  <c r="X49" i="38"/>
  <c r="F169" i="38"/>
  <c r="N53" i="38"/>
  <c r="M302" i="38"/>
  <c r="G306" i="38"/>
  <c r="F225" i="38"/>
  <c r="N174" i="38"/>
  <c r="M288" i="38"/>
  <c r="M256" i="38"/>
  <c r="K49" i="38"/>
  <c r="V172" i="38"/>
  <c r="G336" i="38"/>
  <c r="M303" i="38"/>
  <c r="N352" i="38"/>
  <c r="X62" i="38"/>
  <c r="M205" i="38"/>
  <c r="N308" i="38"/>
  <c r="X25" i="38"/>
  <c r="N50" i="38"/>
  <c r="G31" i="38"/>
  <c r="N276" i="38"/>
  <c r="K269" i="38"/>
  <c r="K293" i="38"/>
  <c r="L258" i="38"/>
  <c r="M137" i="38"/>
  <c r="M183" i="38"/>
  <c r="G126" i="38"/>
  <c r="M308" i="38"/>
  <c r="N355" i="38"/>
  <c r="M199" i="38"/>
  <c r="L224" i="38"/>
  <c r="N83" i="38"/>
  <c r="N322" i="38"/>
  <c r="G262" i="38"/>
  <c r="L254" i="38"/>
  <c r="V265" i="38"/>
  <c r="N137" i="38"/>
  <c r="M87" i="38"/>
  <c r="F21" i="38"/>
  <c r="K146" i="38"/>
  <c r="X263" i="38"/>
  <c r="L278" i="38"/>
  <c r="L168" i="38"/>
  <c r="M180" i="38"/>
  <c r="L352" i="38"/>
  <c r="G14" i="38"/>
  <c r="V109" i="38"/>
  <c r="L107" i="38"/>
  <c r="M92" i="38"/>
  <c r="K95" i="38"/>
  <c r="F122" i="38"/>
  <c r="M21" i="38"/>
  <c r="M29" i="38"/>
  <c r="K234" i="38"/>
  <c r="N43" i="38"/>
  <c r="AB25" i="38"/>
  <c r="AS25" i="38" s="1"/>
  <c r="V131" i="38"/>
  <c r="V299" i="38"/>
  <c r="F353" i="38"/>
  <c r="AA350" i="38"/>
  <c r="AA357" i="38"/>
  <c r="F149" i="38"/>
  <c r="Y180" i="38"/>
  <c r="V103" i="38"/>
  <c r="N213" i="38"/>
  <c r="AA263" i="38"/>
  <c r="X87" i="38"/>
  <c r="L61" i="38"/>
  <c r="L346" i="38"/>
  <c r="F325" i="38"/>
  <c r="G313" i="38"/>
  <c r="M102" i="38"/>
  <c r="L221" i="38"/>
  <c r="K332" i="38"/>
  <c r="G256" i="38"/>
  <c r="F140" i="38"/>
  <c r="AA318" i="38"/>
  <c r="V365" i="38"/>
  <c r="AA17" i="38"/>
  <c r="X217" i="38"/>
  <c r="AA209" i="38"/>
  <c r="V79" i="38"/>
  <c r="AB109" i="38"/>
  <c r="AS109" i="38" s="1"/>
  <c r="AA154" i="38"/>
  <c r="V343" i="38"/>
  <c r="G365" i="38"/>
  <c r="Y13" i="38"/>
  <c r="G34" i="38"/>
  <c r="F281" i="38"/>
  <c r="AA328" i="38"/>
  <c r="AA247" i="38"/>
  <c r="AA81" i="38"/>
  <c r="M194" i="38"/>
  <c r="K43" i="38"/>
  <c r="AB228" i="38"/>
  <c r="AS228" i="38" s="1"/>
  <c r="Y257" i="38"/>
  <c r="AB348" i="38"/>
  <c r="AS348" i="38" s="1"/>
  <c r="F276" i="38"/>
  <c r="V310" i="38"/>
  <c r="Y85" i="38"/>
  <c r="AB350" i="38"/>
  <c r="AS350" i="38" s="1"/>
  <c r="V297" i="38"/>
  <c r="N294" i="38"/>
  <c r="Y255" i="38"/>
  <c r="AB142" i="38"/>
  <c r="AS142" i="38" s="1"/>
  <c r="AB24" i="38"/>
  <c r="AS24" i="38" s="1"/>
  <c r="V54" i="38"/>
  <c r="Y88" i="38"/>
  <c r="X146" i="38"/>
  <c r="V338" i="38"/>
  <c r="G326" i="38"/>
  <c r="Y356" i="38"/>
  <c r="AA22" i="38"/>
  <c r="AB271" i="38"/>
  <c r="AS271" i="38" s="1"/>
  <c r="Y144" i="38"/>
  <c r="Y208" i="38"/>
  <c r="F338" i="38"/>
  <c r="L324" i="38"/>
  <c r="K165" i="38"/>
  <c r="F135" i="38"/>
  <c r="K357" i="38"/>
  <c r="G157" i="38"/>
  <c r="F58" i="38"/>
  <c r="G325" i="38"/>
  <c r="M292" i="38"/>
  <c r="N265" i="38"/>
  <c r="M215" i="38"/>
  <c r="L153" i="38"/>
  <c r="M218" i="38"/>
  <c r="F189" i="38"/>
  <c r="G301" i="38"/>
  <c r="K316" i="38"/>
  <c r="L19" i="38"/>
  <c r="N166" i="38"/>
  <c r="F40" i="38"/>
  <c r="F310" i="38"/>
  <c r="V259" i="38"/>
  <c r="K105" i="38"/>
  <c r="M233" i="38"/>
  <c r="F216" i="38"/>
  <c r="M109" i="38"/>
  <c r="L313" i="38"/>
  <c r="M6" i="38"/>
  <c r="F70" i="38"/>
  <c r="X259" i="38"/>
  <c r="K122" i="38"/>
  <c r="AA67" i="38"/>
  <c r="F69" i="38"/>
  <c r="G274" i="38"/>
  <c r="L331" i="38"/>
  <c r="L311" i="38"/>
  <c r="L267" i="38"/>
  <c r="F56" i="38"/>
  <c r="F82" i="38"/>
  <c r="V36" i="38"/>
  <c r="X279" i="38"/>
  <c r="L189" i="38"/>
  <c r="K174" i="38"/>
  <c r="X117" i="38"/>
  <c r="L112" i="38"/>
  <c r="X21" i="38"/>
  <c r="F105" i="38"/>
  <c r="N317" i="38"/>
  <c r="F22" i="38"/>
  <c r="G311" i="38"/>
  <c r="K317" i="38"/>
  <c r="F328" i="38"/>
  <c r="G127" i="38"/>
  <c r="M204" i="38"/>
  <c r="G248" i="38"/>
  <c r="L335" i="38"/>
  <c r="L194" i="38"/>
  <c r="G309" i="38"/>
  <c r="Y344" i="38"/>
  <c r="V123" i="38"/>
  <c r="G168" i="38"/>
  <c r="Y319" i="38"/>
  <c r="K109" i="38"/>
  <c r="F46" i="38"/>
  <c r="L239" i="38"/>
  <c r="F6" i="38"/>
  <c r="G10" i="38"/>
  <c r="G20" i="38"/>
  <c r="V22" i="38"/>
  <c r="AA142" i="38"/>
  <c r="V39" i="38"/>
  <c r="V223" i="38"/>
  <c r="V311" i="38"/>
  <c r="AA329" i="38"/>
  <c r="AA283" i="38"/>
  <c r="AB308" i="38"/>
  <c r="AS308" i="38" s="1"/>
  <c r="G232" i="38"/>
  <c r="X330" i="38"/>
  <c r="V341" i="38"/>
  <c r="N151" i="38"/>
  <c r="X318" i="38"/>
  <c r="M88" i="38"/>
  <c r="M176" i="38"/>
  <c r="L96" i="38"/>
  <c r="N305" i="38"/>
  <c r="M23" i="38"/>
  <c r="AA220" i="38"/>
  <c r="V260" i="38"/>
  <c r="V202" i="38"/>
  <c r="F343" i="38"/>
  <c r="AA107" i="38"/>
  <c r="AA31" i="38"/>
  <c r="V173" i="38"/>
  <c r="V209" i="38"/>
  <c r="K324" i="38"/>
  <c r="AB54" i="38"/>
  <c r="AS54" i="38" s="1"/>
  <c r="G49" i="38"/>
  <c r="G345" i="38"/>
  <c r="Y32" i="38"/>
  <c r="AB169" i="38"/>
  <c r="AS169" i="38" s="1"/>
  <c r="N140" i="38"/>
  <c r="F126" i="38"/>
  <c r="AA366" i="38"/>
  <c r="AA47" i="38"/>
  <c r="AB322" i="38"/>
  <c r="AS322" i="38" s="1"/>
  <c r="AA233" i="38"/>
  <c r="AB93" i="38"/>
  <c r="AS93" i="38" s="1"/>
  <c r="AA234" i="38"/>
  <c r="V179" i="38"/>
  <c r="X12" i="38"/>
  <c r="F227" i="38"/>
  <c r="K184" i="38"/>
  <c r="X152" i="38"/>
  <c r="AB60" i="38"/>
  <c r="AS60" i="38" s="1"/>
  <c r="Y102" i="38"/>
  <c r="AB364" i="38"/>
  <c r="AS364" i="38" s="1"/>
  <c r="N279" i="38"/>
  <c r="N258" i="38"/>
  <c r="AB81" i="38"/>
  <c r="AS81" i="38" s="1"/>
  <c r="AB92" i="38"/>
  <c r="AS92" i="38" s="1"/>
  <c r="AB87" i="38"/>
  <c r="AS87" i="38" s="1"/>
  <c r="AB178" i="38"/>
  <c r="AS178" i="38" s="1"/>
  <c r="L158" i="38"/>
  <c r="X149" i="38"/>
  <c r="X86" i="38"/>
  <c r="F288" i="38"/>
  <c r="AB90" i="38"/>
  <c r="AS90" i="38" s="1"/>
  <c r="V108" i="38"/>
  <c r="Y45" i="38"/>
  <c r="AA37" i="38"/>
  <c r="AA306" i="38"/>
  <c r="Y264" i="38"/>
  <c r="L209" i="38"/>
  <c r="F222" i="38"/>
  <c r="V105" i="38"/>
  <c r="F209" i="38"/>
  <c r="AB321" i="38"/>
  <c r="AS321" i="38" s="1"/>
  <c r="Y236" i="38"/>
  <c r="F334" i="38"/>
  <c r="V226" i="38"/>
  <c r="X156" i="38"/>
  <c r="V145" i="38"/>
  <c r="Y41" i="38"/>
  <c r="K249" i="38"/>
  <c r="AB279" i="38"/>
  <c r="AS279" i="38" s="1"/>
  <c r="V153" i="38"/>
  <c r="F294" i="38"/>
  <c r="AA117" i="38"/>
  <c r="AB316" i="38"/>
  <c r="AS316" i="38" s="1"/>
  <c r="Y238" i="38"/>
  <c r="F326" i="38"/>
  <c r="G328" i="38"/>
  <c r="AB173" i="38"/>
  <c r="AS173" i="38" s="1"/>
  <c r="AB51" i="38"/>
  <c r="AS51" i="38" s="1"/>
  <c r="AB161" i="38"/>
  <c r="AS161" i="38" s="1"/>
  <c r="G233" i="38"/>
  <c r="Y293" i="38"/>
  <c r="AB265" i="38"/>
  <c r="AS265" i="38" s="1"/>
  <c r="N301" i="38"/>
  <c r="G257" i="38"/>
  <c r="N86" i="38"/>
  <c r="G341" i="38"/>
  <c r="F175" i="38"/>
  <c r="M190" i="38"/>
  <c r="L362" i="38"/>
  <c r="F369" i="38"/>
  <c r="AA285" i="38"/>
  <c r="N66" i="38"/>
  <c r="AA108" i="38"/>
  <c r="X178" i="38"/>
  <c r="Y104" i="38"/>
  <c r="G52" i="38"/>
  <c r="AA353" i="38"/>
  <c r="X180" i="38"/>
  <c r="L265" i="38"/>
  <c r="L233" i="38"/>
  <c r="G247" i="38"/>
  <c r="AA112" i="38"/>
  <c r="N124" i="38"/>
  <c r="N42" i="38"/>
  <c r="AB9" i="38"/>
  <c r="AS9" i="38" s="1"/>
  <c r="V298" i="38"/>
  <c r="X82" i="38"/>
  <c r="L215" i="38"/>
  <c r="M16" i="38"/>
  <c r="L154" i="38"/>
  <c r="G214" i="38"/>
  <c r="V199" i="38"/>
  <c r="L234" i="38"/>
  <c r="G292" i="38"/>
  <c r="Y352" i="38"/>
  <c r="X120" i="38"/>
  <c r="G198" i="38"/>
  <c r="Y209" i="38"/>
  <c r="L110" i="38"/>
  <c r="M207" i="38"/>
  <c r="L240" i="38"/>
  <c r="N248" i="38"/>
  <c r="G224" i="38"/>
  <c r="G80" i="38"/>
  <c r="X253" i="38"/>
  <c r="AA274" i="38"/>
  <c r="AB355" i="38"/>
  <c r="AS355" i="38" s="1"/>
  <c r="N366" i="38"/>
  <c r="F220" i="38"/>
  <c r="N12" i="38"/>
  <c r="V329" i="38"/>
  <c r="M60" i="38"/>
  <c r="N63" i="38"/>
  <c r="G187" i="38"/>
  <c r="K356" i="38"/>
  <c r="M14" i="38"/>
  <c r="X55" i="38"/>
  <c r="AA29" i="38"/>
  <c r="AA24" i="38"/>
  <c r="V263" i="38"/>
  <c r="V33" i="38"/>
  <c r="X345" i="38"/>
  <c r="AB133" i="38"/>
  <c r="AS133" i="38" s="1"/>
  <c r="X15" i="38"/>
  <c r="N236" i="38"/>
  <c r="M334" i="38"/>
  <c r="L223" i="38"/>
  <c r="N254" i="38"/>
  <c r="Y56" i="38"/>
  <c r="Y306" i="38"/>
  <c r="N14" i="38"/>
  <c r="AB120" i="38"/>
  <c r="AS120" i="38" s="1"/>
  <c r="AA35" i="38"/>
  <c r="Y124" i="38"/>
  <c r="AB10" i="38"/>
  <c r="AS10" i="38" s="1"/>
  <c r="M349" i="38"/>
  <c r="K342" i="38"/>
  <c r="M329" i="38"/>
  <c r="N281" i="38"/>
  <c r="AA281" i="38"/>
  <c r="M187" i="38"/>
  <c r="K192" i="38"/>
  <c r="X254" i="38"/>
  <c r="N218" i="38"/>
  <c r="N108" i="38"/>
  <c r="Y107" i="38"/>
  <c r="M86" i="38"/>
  <c r="Y239" i="38"/>
  <c r="AB32" i="38"/>
  <c r="AS32" i="38" s="1"/>
  <c r="F134" i="38"/>
  <c r="F191" i="38"/>
  <c r="F231" i="38"/>
  <c r="K355" i="38"/>
  <c r="L201" i="38"/>
  <c r="L340" i="38"/>
  <c r="N136" i="38"/>
  <c r="Y158" i="38"/>
  <c r="X70" i="38"/>
  <c r="Y182" i="38"/>
  <c r="AA116" i="38"/>
  <c r="G218" i="38"/>
  <c r="G332" i="38"/>
  <c r="L97" i="38"/>
  <c r="K160" i="38"/>
  <c r="V364" i="38"/>
  <c r="AA157" i="38"/>
  <c r="V350" i="38"/>
  <c r="AB185" i="38"/>
  <c r="AS185" i="38" s="1"/>
  <c r="AB27" i="38"/>
  <c r="AS27" i="38" s="1"/>
  <c r="Y82" i="38"/>
  <c r="AB317" i="38"/>
  <c r="AS317" i="38" s="1"/>
  <c r="V248" i="38"/>
  <c r="X33" i="38"/>
  <c r="Y358" i="38"/>
  <c r="X163" i="38"/>
  <c r="N154" i="38"/>
  <c r="X66" i="38"/>
  <c r="X367" i="38"/>
  <c r="Y23" i="38"/>
  <c r="V169" i="38"/>
  <c r="N6" i="38"/>
  <c r="V51" i="38"/>
  <c r="N25" i="38"/>
  <c r="V312" i="38"/>
  <c r="G308" i="38"/>
  <c r="F49" i="38"/>
  <c r="G279" i="38"/>
  <c r="K71" i="38"/>
  <c r="F34" i="38"/>
  <c r="AB307" i="38"/>
  <c r="AS307" i="38" s="1"/>
  <c r="AB247" i="38"/>
  <c r="AS247" i="38" s="1"/>
  <c r="X73" i="38"/>
  <c r="AB245" i="38"/>
  <c r="AS245" i="38" s="1"/>
  <c r="V130" i="38"/>
  <c r="AA34" i="38"/>
  <c r="X145" i="38"/>
  <c r="K168" i="38"/>
  <c r="M59" i="38"/>
  <c r="N158" i="38"/>
  <c r="L82" i="38"/>
  <c r="N132" i="38"/>
  <c r="K280" i="38"/>
  <c r="K52" i="38"/>
  <c r="L151" i="38"/>
  <c r="M276" i="38"/>
  <c r="K167" i="38"/>
  <c r="X119" i="38"/>
  <c r="F359" i="38"/>
  <c r="M257" i="38"/>
  <c r="K138" i="38"/>
  <c r="N89" i="38"/>
  <c r="K70" i="38"/>
  <c r="L206" i="38"/>
  <c r="L109" i="38"/>
  <c r="M197" i="38"/>
  <c r="L178" i="38"/>
  <c r="X193" i="38"/>
  <c r="N194" i="38"/>
  <c r="F141" i="38"/>
  <c r="K91" i="38"/>
  <c r="G143" i="38"/>
  <c r="X255" i="38"/>
  <c r="K64" i="38"/>
  <c r="K123" i="38"/>
  <c r="M330" i="38"/>
  <c r="Y173" i="38"/>
  <c r="N354" i="38"/>
  <c r="K61" i="38"/>
  <c r="AA208" i="38"/>
  <c r="L87" i="38"/>
  <c r="M192" i="38"/>
  <c r="M264" i="38"/>
  <c r="K363" i="38"/>
  <c r="M319" i="38"/>
  <c r="AA96" i="38"/>
  <c r="F309" i="38"/>
  <c r="X111" i="38"/>
  <c r="F195" i="38"/>
  <c r="Y287" i="38"/>
  <c r="N47" i="38"/>
  <c r="N84" i="38"/>
  <c r="AA97" i="38"/>
  <c r="X14" i="38"/>
  <c r="X190" i="38"/>
  <c r="AA70" i="38"/>
  <c r="AA203" i="38"/>
  <c r="F257" i="38"/>
  <c r="F301" i="38"/>
  <c r="G41" i="38"/>
  <c r="N148" i="38"/>
  <c r="F112" i="38"/>
  <c r="V325" i="38"/>
  <c r="N126" i="38"/>
  <c r="F76" i="38"/>
  <c r="F161" i="38"/>
  <c r="AB206" i="38"/>
  <c r="AS206" i="38" s="1"/>
  <c r="AA213" i="38"/>
  <c r="F351" i="38"/>
  <c r="V245" i="38"/>
  <c r="Y367" i="38"/>
  <c r="Y341" i="38"/>
  <c r="N85" i="38"/>
  <c r="X228" i="38"/>
  <c r="AB266" i="38"/>
  <c r="AS266" i="38" s="1"/>
  <c r="X143" i="38"/>
  <c r="X32" i="38"/>
  <c r="X181" i="38"/>
  <c r="AB61" i="38"/>
  <c r="AS61" i="38" s="1"/>
  <c r="X94" i="38"/>
  <c r="L91" i="38"/>
  <c r="M198" i="38"/>
  <c r="V201" i="38"/>
  <c r="G223" i="38"/>
  <c r="AB11" i="38"/>
  <c r="AS11" i="38" s="1"/>
  <c r="X132" i="38"/>
  <c r="AB353" i="38"/>
  <c r="AS353" i="38" s="1"/>
  <c r="Y249" i="38"/>
  <c r="AB172" i="38"/>
  <c r="AS172" i="38" s="1"/>
  <c r="AA282" i="38"/>
  <c r="Y80" i="38"/>
  <c r="V308" i="38"/>
  <c r="G239" i="38"/>
  <c r="M81" i="38"/>
  <c r="F26" i="38"/>
  <c r="AB89" i="38"/>
  <c r="AS89" i="38" s="1"/>
  <c r="N361" i="38"/>
  <c r="AB207" i="38"/>
  <c r="AS207" i="38" s="1"/>
  <c r="AB31" i="38"/>
  <c r="AS31" i="38" s="1"/>
  <c r="AA92" i="38"/>
  <c r="AA26" i="38"/>
  <c r="N15" i="38"/>
  <c r="L359" i="38"/>
  <c r="X251" i="38"/>
  <c r="N161" i="38"/>
  <c r="G288" i="38"/>
  <c r="V75" i="38"/>
  <c r="Y171" i="38"/>
  <c r="X75" i="38"/>
  <c r="V320" i="38"/>
  <c r="AB332" i="38"/>
  <c r="AS332" i="38" s="1"/>
  <c r="X114" i="38"/>
  <c r="Y253" i="38"/>
  <c r="F208" i="38"/>
  <c r="K127" i="38"/>
  <c r="M108" i="38"/>
  <c r="M196" i="38"/>
  <c r="N143" i="38"/>
  <c r="Y21" i="38"/>
  <c r="N241" i="38"/>
  <c r="V91" i="38"/>
  <c r="AA223" i="38"/>
  <c r="X157" i="38"/>
  <c r="AA98" i="38"/>
  <c r="AA292" i="38"/>
  <c r="G222" i="38"/>
  <c r="AB220" i="38"/>
  <c r="AS220" i="38" s="1"/>
  <c r="M140" i="38"/>
  <c r="X272" i="38"/>
  <c r="F224" i="38"/>
  <c r="F200" i="38"/>
  <c r="F238" i="38"/>
  <c r="V120" i="38"/>
  <c r="AA14" i="38"/>
  <c r="X168" i="38"/>
  <c r="AB105" i="38"/>
  <c r="AS105" i="38" s="1"/>
  <c r="N92" i="38"/>
  <c r="AB214" i="38"/>
  <c r="AS214" i="38" s="1"/>
  <c r="AB80" i="38"/>
  <c r="AS80" i="38" s="1"/>
  <c r="M209" i="38"/>
  <c r="K220" i="38"/>
  <c r="M76" i="38"/>
  <c r="M203" i="38"/>
  <c r="K176" i="38"/>
  <c r="K329" i="38"/>
  <c r="AA310" i="38"/>
  <c r="AA66" i="38"/>
  <c r="X67" i="38"/>
  <c r="F91" i="38"/>
  <c r="V195" i="38"/>
  <c r="Y279" i="38"/>
  <c r="L277" i="38"/>
  <c r="N364" i="38"/>
  <c r="K266" i="38"/>
  <c r="M342" i="38"/>
  <c r="G217" i="38"/>
  <c r="X329" i="38"/>
  <c r="L90" i="38"/>
  <c r="F125" i="38"/>
  <c r="V216" i="38"/>
  <c r="X213" i="38"/>
  <c r="AA287" i="38"/>
  <c r="Y199" i="38"/>
  <c r="Y109" i="38"/>
  <c r="AB7" i="38"/>
  <c r="AS7" i="38" s="1"/>
  <c r="F98" i="38"/>
  <c r="F330" i="38"/>
  <c r="N239" i="38"/>
  <c r="K84" i="38"/>
  <c r="N152" i="38"/>
  <c r="X320" i="38"/>
  <c r="F282" i="38"/>
  <c r="AB145" i="38"/>
  <c r="AS145" i="38" s="1"/>
  <c r="AA251" i="38"/>
  <c r="AB23" i="38"/>
  <c r="AS23" i="38" s="1"/>
  <c r="V104" i="38"/>
  <c r="V277" i="38"/>
  <c r="X129" i="38"/>
  <c r="M143" i="38"/>
  <c r="K304" i="38"/>
  <c r="AA334" i="38"/>
  <c r="Y218" i="38"/>
  <c r="AA242" i="38"/>
  <c r="X300" i="38"/>
  <c r="AA146" i="38"/>
  <c r="X175" i="38"/>
  <c r="N232" i="38"/>
  <c r="X325" i="38"/>
  <c r="G75" i="38"/>
  <c r="X179" i="38"/>
  <c r="V354" i="38"/>
  <c r="AB198" i="38"/>
  <c r="AS198" i="38" s="1"/>
  <c r="Y329" i="38"/>
  <c r="AA304" i="38"/>
  <c r="N243" i="38"/>
  <c r="Y179" i="38"/>
  <c r="X360" i="38"/>
  <c r="G103" i="38"/>
  <c r="M20" i="38"/>
  <c r="F180" i="38"/>
  <c r="X361" i="38"/>
  <c r="AB143" i="38"/>
  <c r="AS143" i="38" s="1"/>
  <c r="G146" i="38"/>
  <c r="AA90" i="38"/>
  <c r="AA244" i="38"/>
  <c r="G212" i="38"/>
  <c r="X199" i="38"/>
  <c r="L162" i="38"/>
  <c r="X131" i="38"/>
  <c r="L34" i="38"/>
  <c r="AB49" i="38"/>
  <c r="AS49" i="38" s="1"/>
  <c r="N202" i="38"/>
  <c r="M310" i="38"/>
  <c r="K254" i="38"/>
  <c r="G71" i="38"/>
  <c r="K118" i="38"/>
  <c r="M164" i="38"/>
  <c r="K12" i="38"/>
  <c r="M100" i="38"/>
  <c r="L95" i="38"/>
  <c r="G144" i="38"/>
  <c r="K97" i="38"/>
  <c r="F215" i="38"/>
  <c r="L320" i="38"/>
  <c r="L308" i="38"/>
  <c r="N319" i="38"/>
  <c r="L142" i="38"/>
  <c r="G251" i="38"/>
  <c r="G6" i="38"/>
  <c r="N49" i="38"/>
  <c r="V13" i="38"/>
  <c r="AB256" i="38"/>
  <c r="AS256" i="38" s="1"/>
  <c r="AA298" i="38"/>
  <c r="G28" i="38"/>
  <c r="X105" i="38"/>
  <c r="AA131" i="38"/>
  <c r="K350" i="38"/>
  <c r="M73" i="38"/>
  <c r="F103" i="38"/>
  <c r="N52" i="38"/>
  <c r="X23" i="38"/>
  <c r="F65" i="38"/>
  <c r="AB337" i="38"/>
  <c r="AS337" i="38" s="1"/>
  <c r="G255" i="38"/>
  <c r="AA179" i="38"/>
  <c r="N123" i="38"/>
  <c r="V227" i="38"/>
  <c r="AA8" i="38"/>
  <c r="AA153" i="38"/>
  <c r="F366" i="38"/>
  <c r="F240" i="38"/>
  <c r="F131" i="38"/>
  <c r="V38" i="38"/>
  <c r="AB367" i="38"/>
  <c r="AS367" i="38" s="1"/>
  <c r="X137" i="38"/>
  <c r="V317" i="38"/>
  <c r="AA341" i="38"/>
  <c r="V235" i="38"/>
  <c r="AB78" i="38"/>
  <c r="AS78" i="38" s="1"/>
  <c r="AB13" i="38"/>
  <c r="AS13" i="38" s="1"/>
  <c r="K238" i="38"/>
  <c r="N128" i="38"/>
  <c r="F88" i="38"/>
  <c r="X277" i="38"/>
  <c r="M230" i="38"/>
  <c r="V186" i="38"/>
  <c r="Y18" i="38"/>
  <c r="N135" i="38"/>
  <c r="AA257" i="38"/>
  <c r="N139" i="38"/>
  <c r="F38" i="38"/>
  <c r="X136" i="38"/>
  <c r="M340" i="38"/>
  <c r="M115" i="38"/>
  <c r="V306" i="38"/>
  <c r="F295" i="38"/>
  <c r="Y262" i="38"/>
  <c r="AB73" i="38"/>
  <c r="AS73" i="38" s="1"/>
  <c r="K79" i="38"/>
  <c r="AA340" i="38"/>
  <c r="Y350" i="38"/>
  <c r="Y95" i="38"/>
  <c r="V330" i="38"/>
  <c r="X233" i="38"/>
  <c r="L253" i="38"/>
  <c r="AB19" i="38"/>
  <c r="AS19" i="38" s="1"/>
  <c r="X58" i="38"/>
  <c r="AA21" i="38"/>
  <c r="V188" i="38"/>
  <c r="X166" i="38"/>
  <c r="X212" i="38"/>
  <c r="L284" i="38"/>
  <c r="K142" i="38"/>
  <c r="F226" i="38"/>
  <c r="G145" i="38"/>
  <c r="N268" i="38"/>
  <c r="L225" i="38"/>
  <c r="G105" i="38"/>
  <c r="AB69" i="38"/>
  <c r="AS69" i="38" s="1"/>
  <c r="V162" i="38"/>
  <c r="X34" i="38"/>
  <c r="V10" i="38"/>
  <c r="AA342" i="38"/>
  <c r="V148" i="38"/>
  <c r="F28" i="38"/>
  <c r="L33" i="38"/>
  <c r="K14" i="38"/>
  <c r="K125" i="38"/>
  <c r="AB98" i="38"/>
  <c r="AS98" i="38" s="1"/>
  <c r="K187" i="38"/>
  <c r="AB210" i="38"/>
  <c r="AS210" i="38" s="1"/>
  <c r="Y175" i="38"/>
  <c r="N252" i="38"/>
  <c r="G9" i="38"/>
  <c r="G194" i="38"/>
  <c r="AA216" i="38"/>
  <c r="G48" i="38"/>
  <c r="V15" i="38"/>
  <c r="L14" i="38"/>
  <c r="G270" i="38"/>
  <c r="F198" i="38"/>
  <c r="AB132" i="38"/>
  <c r="AS132" i="38" s="1"/>
  <c r="V302" i="38"/>
  <c r="N160" i="38"/>
  <c r="AB205" i="38"/>
  <c r="AS205" i="38" s="1"/>
  <c r="V215" i="38"/>
  <c r="AB159" i="38"/>
  <c r="AS159" i="38" s="1"/>
  <c r="M124" i="38"/>
  <c r="L106" i="38"/>
  <c r="L347" i="38"/>
  <c r="M162" i="38"/>
  <c r="G136" i="38"/>
  <c r="Y128" i="38"/>
  <c r="AB140" i="38"/>
  <c r="AS140" i="38" s="1"/>
  <c r="Y191" i="38"/>
  <c r="AA272" i="38"/>
  <c r="Y340" i="38"/>
  <c r="Y288" i="38"/>
  <c r="AA259" i="38"/>
  <c r="L299" i="38"/>
  <c r="M358" i="38"/>
  <c r="L9" i="38"/>
  <c r="L256" i="38"/>
  <c r="K144" i="38"/>
  <c r="N38" i="38"/>
  <c r="G170" i="38"/>
  <c r="AB179" i="38"/>
  <c r="AS179" i="38" s="1"/>
  <c r="AA218" i="38"/>
  <c r="F63" i="38"/>
  <c r="AB94" i="38"/>
  <c r="V144" i="38"/>
  <c r="AA333" i="38"/>
  <c r="G236" i="38"/>
  <c r="K66" i="38"/>
  <c r="K33" i="38"/>
  <c r="Y343" i="38"/>
  <c r="N275" i="38"/>
  <c r="M189" i="38"/>
  <c r="V367" i="38"/>
  <c r="V93" i="38"/>
  <c r="AB369" i="38"/>
  <c r="AS369" i="38" s="1"/>
  <c r="F139" i="38"/>
  <c r="AB107" i="38"/>
  <c r="AS107" i="38" s="1"/>
  <c r="K25" i="38"/>
  <c r="V84" i="38"/>
  <c r="X221" i="38"/>
  <c r="AB299" i="38"/>
  <c r="AS299" i="38" s="1"/>
  <c r="N271" i="38"/>
  <c r="AB196" i="38"/>
  <c r="AS196" i="38" s="1"/>
  <c r="N112" i="38"/>
  <c r="Y219" i="38"/>
  <c r="Y277" i="38"/>
  <c r="X80" i="38"/>
  <c r="X201" i="38"/>
  <c r="L119" i="38"/>
  <c r="G298" i="38"/>
  <c r="L315" i="38"/>
  <c r="L263" i="38"/>
  <c r="N59" i="38"/>
  <c r="N16" i="38"/>
  <c r="AA149" i="38"/>
  <c r="V234" i="38"/>
  <c r="Y131" i="38"/>
  <c r="K7" i="38"/>
  <c r="L336" i="38"/>
  <c r="G72" i="38"/>
  <c r="K197" i="38"/>
  <c r="M216" i="38"/>
  <c r="M178" i="38"/>
  <c r="F254" i="38"/>
  <c r="N116" i="38"/>
  <c r="AB38" i="38"/>
  <c r="AS38" i="38" s="1"/>
  <c r="AB263" i="38"/>
  <c r="AS263" i="38" s="1"/>
  <c r="X41" i="38"/>
  <c r="AA289" i="38"/>
  <c r="N81" i="38"/>
  <c r="V116" i="38"/>
  <c r="V56" i="38"/>
  <c r="X28" i="38"/>
  <c r="K251" i="38"/>
  <c r="K296" i="38"/>
  <c r="M41" i="38"/>
  <c r="N287" i="38"/>
  <c r="K101" i="38"/>
  <c r="G123" i="38"/>
  <c r="F360" i="38"/>
  <c r="N77" i="38"/>
  <c r="K67" i="38"/>
  <c r="N335" i="38"/>
  <c r="K302" i="38"/>
  <c r="K177" i="38"/>
  <c r="K213" i="38"/>
  <c r="X285" i="38"/>
  <c r="X27" i="38"/>
  <c r="G199" i="38"/>
  <c r="K252" i="38"/>
  <c r="G363" i="38"/>
  <c r="X130" i="38"/>
  <c r="L54" i="38"/>
  <c r="G70" i="38"/>
  <c r="N357" i="38"/>
  <c r="AA200" i="38"/>
  <c r="K223" i="38"/>
  <c r="AB234" i="38"/>
  <c r="AS234" i="38" s="1"/>
  <c r="L230" i="38"/>
  <c r="M161" i="38"/>
  <c r="X91" i="38"/>
  <c r="G35" i="38"/>
  <c r="N290" i="38"/>
  <c r="AA130" i="38"/>
  <c r="N208" i="38"/>
  <c r="F308" i="38"/>
  <c r="F239" i="38"/>
  <c r="AA88" i="38"/>
  <c r="Y8" i="38"/>
  <c r="Y121" i="38"/>
  <c r="AA273" i="38"/>
  <c r="N342" i="38"/>
  <c r="AB232" i="38"/>
  <c r="AS232" i="38" s="1"/>
  <c r="AB53" i="38"/>
  <c r="AS53" i="38" s="1"/>
  <c r="AB29" i="38"/>
  <c r="AS29" i="38" s="1"/>
  <c r="G350" i="38"/>
  <c r="G321" i="38"/>
  <c r="X208" i="38"/>
  <c r="N228" i="38"/>
  <c r="X333" i="38"/>
  <c r="X110" i="38"/>
  <c r="X112" i="38"/>
  <c r="G183" i="38"/>
  <c r="AB83" i="38"/>
  <c r="AS83" i="38" s="1"/>
  <c r="AA317" i="38"/>
  <c r="V49" i="38"/>
  <c r="V73" i="38"/>
  <c r="X96" i="38"/>
  <c r="X218" i="38"/>
  <c r="X227" i="38"/>
  <c r="Y12" i="38"/>
  <c r="G210" i="38"/>
  <c r="Y233" i="38"/>
  <c r="AB310" i="38"/>
  <c r="AS310" i="38" s="1"/>
  <c r="G244" i="38"/>
  <c r="X268" i="38"/>
  <c r="M123" i="38"/>
  <c r="M74" i="38"/>
  <c r="V125" i="38"/>
  <c r="AB102" i="38"/>
  <c r="AS102" i="38" s="1"/>
  <c r="Y298" i="38"/>
  <c r="Y15" i="38"/>
  <c r="Y335" i="38"/>
  <c r="AA235" i="38"/>
  <c r="AA346" i="38"/>
  <c r="L63" i="38"/>
  <c r="F133" i="38"/>
  <c r="L334" i="38"/>
  <c r="X63" i="38"/>
  <c r="L57" i="38"/>
  <c r="F177" i="38"/>
  <c r="V68" i="38"/>
  <c r="AA144" i="38"/>
  <c r="X334" i="38"/>
  <c r="F64" i="38"/>
  <c r="X261" i="38"/>
  <c r="AA196" i="38"/>
  <c r="M242" i="38"/>
  <c r="L55" i="38"/>
  <c r="N117" i="38"/>
  <c r="G150" i="38"/>
  <c r="L120" i="38"/>
  <c r="L212" i="38"/>
  <c r="Y40" i="38"/>
  <c r="V165" i="38"/>
  <c r="AA359" i="38"/>
  <c r="X97" i="38"/>
  <c r="AA193" i="38"/>
  <c r="Y214" i="38"/>
  <c r="V35" i="38"/>
  <c r="L309" i="38"/>
  <c r="M273" i="38"/>
  <c r="V60" i="38"/>
  <c r="G228" i="38"/>
  <c r="F152" i="38"/>
  <c r="Y142" i="38"/>
  <c r="V99" i="38"/>
  <c r="AB122" i="38"/>
  <c r="AS122" i="38" s="1"/>
  <c r="Y31" i="38"/>
  <c r="V198" i="38"/>
  <c r="AA56" i="38"/>
  <c r="AA327" i="38"/>
  <c r="K262" i="38"/>
  <c r="F85" i="38"/>
  <c r="G171" i="38"/>
  <c r="G73" i="38"/>
  <c r="N223" i="38"/>
  <c r="N26" i="38"/>
  <c r="AB6" i="38"/>
  <c r="AB127" i="38"/>
  <c r="X220" i="38"/>
  <c r="G56" i="38"/>
  <c r="Y300" i="38"/>
  <c r="F160" i="38"/>
  <c r="L45" i="38"/>
  <c r="K207" i="38"/>
  <c r="G151" i="38"/>
  <c r="V110" i="38"/>
  <c r="G86" i="38"/>
  <c r="F196" i="38"/>
  <c r="Y202" i="38"/>
  <c r="G315" i="38"/>
  <c r="F367" i="38"/>
  <c r="Y53" i="38"/>
  <c r="X90" i="38"/>
  <c r="AA302" i="38"/>
  <c r="N245" i="38"/>
  <c r="L271" i="38"/>
  <c r="M83" i="38"/>
  <c r="X61" i="38"/>
  <c r="K161" i="38"/>
  <c r="G287" i="38"/>
  <c r="F19" i="38"/>
  <c r="AB125" i="38"/>
  <c r="AB342" i="38"/>
  <c r="AS342" i="38" s="1"/>
  <c r="AB287" i="38"/>
  <c r="AS287" i="38" s="1"/>
  <c r="X141" i="38"/>
  <c r="AB284" i="38"/>
  <c r="AS284" i="38" s="1"/>
  <c r="AA232" i="38"/>
  <c r="F154" i="38"/>
  <c r="L319" i="38"/>
  <c r="M70" i="38"/>
  <c r="N168" i="38"/>
  <c r="G39" i="38"/>
  <c r="X297" i="38"/>
  <c r="M243" i="38"/>
  <c r="Y337" i="38"/>
  <c r="N70" i="38"/>
  <c r="AA15" i="38"/>
  <c r="X258" i="38"/>
  <c r="G108" i="38"/>
  <c r="AA160" i="38"/>
  <c r="X354" i="38"/>
  <c r="G318" i="38"/>
  <c r="K345" i="38"/>
  <c r="K311" i="38"/>
  <c r="AA110" i="38"/>
  <c r="V300" i="38"/>
  <c r="N31" i="38"/>
  <c r="AB112" i="38"/>
  <c r="AS112" i="38" s="1"/>
  <c r="N54" i="38"/>
  <c r="F90" i="38"/>
  <c r="AA148" i="38"/>
  <c r="L302" i="38"/>
  <c r="F349" i="38"/>
  <c r="G96" i="38"/>
  <c r="K186" i="38"/>
  <c r="X144" i="38"/>
  <c r="AB106" i="38"/>
  <c r="AS106" i="38" s="1"/>
  <c r="AA162" i="38"/>
  <c r="V224" i="38"/>
  <c r="AB52" i="38"/>
  <c r="AS52" i="38" s="1"/>
  <c r="Y320" i="38"/>
  <c r="Y184" i="38"/>
  <c r="K80" i="38"/>
  <c r="K274" i="38"/>
  <c r="M357" i="38"/>
  <c r="L286" i="38"/>
  <c r="X195" i="38"/>
  <c r="N295" i="38"/>
  <c r="AB251" i="38"/>
  <c r="AS251" i="38" s="1"/>
  <c r="G304" i="38"/>
  <c r="X319" i="38"/>
  <c r="V211" i="38"/>
  <c r="AA206" i="38"/>
  <c r="N153" i="38"/>
  <c r="X316" i="38"/>
  <c r="F14" i="38"/>
  <c r="L245" i="38"/>
  <c r="K117" i="38"/>
  <c r="K263" i="38"/>
  <c r="L99" i="38"/>
  <c r="F147" i="38"/>
  <c r="K87" i="38"/>
  <c r="G29" i="38"/>
  <c r="M163" i="38"/>
  <c r="M168" i="38"/>
  <c r="X198" i="38"/>
  <c r="X165" i="38"/>
  <c r="F121" i="38"/>
  <c r="L241" i="38"/>
  <c r="L25" i="38"/>
  <c r="F260" i="38"/>
  <c r="V220" i="38"/>
  <c r="L27" i="38"/>
  <c r="L349" i="38"/>
  <c r="L228" i="38"/>
  <c r="K103" i="38"/>
  <c r="K169" i="38"/>
  <c r="N304" i="38"/>
  <c r="K116" i="38"/>
  <c r="G361" i="38"/>
  <c r="Y46" i="38"/>
  <c r="F78" i="38"/>
  <c r="F192" i="38"/>
  <c r="X229" i="38"/>
  <c r="K217" i="38"/>
  <c r="AB147" i="38"/>
  <c r="AS147" i="38" s="1"/>
  <c r="G209" i="38"/>
  <c r="F299" i="38"/>
  <c r="X248" i="38"/>
  <c r="AA358" i="38"/>
  <c r="X309" i="38"/>
  <c r="G337" i="38"/>
  <c r="N58" i="38"/>
  <c r="V118" i="38"/>
  <c r="X72" i="38"/>
  <c r="N96" i="38"/>
  <c r="F190" i="38"/>
  <c r="G259" i="38"/>
  <c r="F205" i="38"/>
  <c r="M117" i="38"/>
  <c r="AA158" i="38"/>
  <c r="F340" i="38"/>
  <c r="G17" i="38"/>
  <c r="AB58" i="38"/>
  <c r="AS58" i="38" s="1"/>
  <c r="Y138" i="38"/>
  <c r="F67" i="38"/>
  <c r="G147" i="38"/>
  <c r="G347" i="38"/>
  <c r="K104" i="38"/>
  <c r="L354" i="38"/>
  <c r="AA44" i="38"/>
  <c r="V242" i="38"/>
  <c r="AA211" i="38"/>
  <c r="AA255" i="38"/>
  <c r="V291" i="38"/>
  <c r="AB50" i="38"/>
  <c r="AS50" i="38" s="1"/>
  <c r="V21" i="38"/>
  <c r="AB291" i="38"/>
  <c r="AS291" i="38" s="1"/>
  <c r="AB249" i="38"/>
  <c r="X225" i="38"/>
  <c r="Y200" i="38"/>
  <c r="AA276" i="38"/>
  <c r="AB189" i="38"/>
  <c r="AS189" i="38" s="1"/>
  <c r="V98" i="38"/>
  <c r="AA151" i="38"/>
  <c r="Y265" i="38"/>
  <c r="X302" i="38"/>
  <c r="AA129" i="38"/>
  <c r="AB306" i="38"/>
  <c r="AS306" i="38" s="1"/>
  <c r="X100" i="38"/>
  <c r="L143" i="38"/>
  <c r="V150" i="38"/>
  <c r="G153" i="38"/>
  <c r="AB319" i="38"/>
  <c r="AS319" i="38" s="1"/>
  <c r="AB243" i="38"/>
  <c r="AS243" i="38" s="1"/>
  <c r="X176" i="38"/>
  <c r="AB359" i="38"/>
  <c r="AS359" i="38" s="1"/>
  <c r="G129" i="38"/>
  <c r="Y20" i="38"/>
  <c r="AA118" i="38"/>
  <c r="M185" i="38"/>
  <c r="G193" i="38"/>
  <c r="L104" i="38"/>
  <c r="L314" i="38"/>
  <c r="X167" i="38"/>
  <c r="G200" i="38"/>
  <c r="AA237" i="38"/>
  <c r="V29" i="38"/>
  <c r="Y114" i="38"/>
  <c r="AB177" i="38"/>
  <c r="AS177" i="38" s="1"/>
  <c r="V181" i="38"/>
  <c r="X60" i="38"/>
  <c r="N162" i="38"/>
  <c r="G285" i="38"/>
  <c r="K128" i="38"/>
  <c r="L35" i="38"/>
  <c r="X267" i="38"/>
  <c r="V251" i="38"/>
  <c r="Y220" i="38"/>
  <c r="Y154" i="38"/>
  <c r="Y161" i="38"/>
  <c r="G42" i="38"/>
  <c r="AB26" i="38"/>
  <c r="AS26" i="38" s="1"/>
  <c r="X65" i="38"/>
  <c r="M7" i="38"/>
  <c r="N29" i="38"/>
  <c r="X260" i="38"/>
  <c r="K240" i="38"/>
  <c r="N283" i="38"/>
  <c r="AB103" i="38"/>
  <c r="AS103" i="38" s="1"/>
  <c r="AB240" i="38"/>
  <c r="AS240" i="38" s="1"/>
  <c r="Y118" i="38"/>
  <c r="Y76" i="38"/>
  <c r="Y70" i="38"/>
  <c r="AA286" i="38"/>
  <c r="L31" i="38"/>
  <c r="K19" i="38"/>
  <c r="K46" i="38"/>
  <c r="G77" i="38"/>
  <c r="K190" i="38"/>
  <c r="F100" i="38"/>
  <c r="Y313" i="38"/>
  <c r="AA175" i="38"/>
  <c r="AB59" i="38"/>
  <c r="AS59" i="38" s="1"/>
  <c r="AA18" i="38"/>
  <c r="AA303" i="38"/>
  <c r="AB335" i="38"/>
  <c r="AS335" i="38" s="1"/>
  <c r="F150" i="38"/>
  <c r="M119" i="38"/>
  <c r="M285" i="38"/>
  <c r="K183" i="38"/>
  <c r="F84" i="38"/>
  <c r="M133" i="38"/>
  <c r="AA261" i="38"/>
  <c r="X113" i="38"/>
  <c r="X322" i="38"/>
  <c r="V182" i="38"/>
  <c r="G252" i="38"/>
  <c r="Y243" i="38"/>
  <c r="Y36" i="38"/>
  <c r="L39" i="38"/>
  <c r="L157" i="38"/>
  <c r="L140" i="38"/>
  <c r="V47" i="38"/>
  <c r="F57" i="38"/>
  <c r="F267" i="38"/>
  <c r="AA115" i="38"/>
  <c r="X78" i="38"/>
  <c r="AB170" i="38"/>
  <c r="AS170" i="38" s="1"/>
  <c r="AB292" i="38"/>
  <c r="AS292" i="38" s="1"/>
  <c r="X293" i="38"/>
  <c r="V132" i="38"/>
  <c r="AB248" i="38"/>
  <c r="AS248" i="38" s="1"/>
  <c r="G215" i="38"/>
  <c r="M367" i="38"/>
  <c r="L101" i="38"/>
  <c r="X39" i="38"/>
  <c r="F71" i="38"/>
  <c r="V336" i="38"/>
  <c r="L36" i="38"/>
  <c r="Y232" i="38"/>
  <c r="V66" i="38"/>
  <c r="V176" i="38"/>
  <c r="Y145" i="38"/>
  <c r="L11" i="38"/>
  <c r="AA136" i="38"/>
  <c r="AA212" i="38"/>
  <c r="K45" i="38"/>
  <c r="F253" i="38"/>
  <c r="AB151" i="38"/>
  <c r="AS151" i="38" s="1"/>
  <c r="G33" i="38"/>
  <c r="AA267" i="38"/>
  <c r="V114" i="38"/>
  <c r="AA296" i="38"/>
  <c r="N219" i="38"/>
  <c r="AB295" i="38"/>
  <c r="AS295" i="38" s="1"/>
  <c r="G113" i="38"/>
  <c r="F241" i="38"/>
  <c r="G12" i="38"/>
  <c r="F221" i="38"/>
  <c r="N349" i="38"/>
  <c r="Y254" i="38"/>
  <c r="AB314" i="38"/>
  <c r="AS314" i="38" s="1"/>
  <c r="Y137" i="38"/>
  <c r="AB114" i="38"/>
  <c r="AS114" i="38" s="1"/>
  <c r="N99" i="38"/>
  <c r="AA176" i="38"/>
  <c r="K88" i="38"/>
  <c r="G119" i="38"/>
  <c r="L353" i="38"/>
  <c r="V52" i="38"/>
  <c r="L29" i="38"/>
  <c r="F356" i="38"/>
  <c r="V230" i="38"/>
  <c r="Y308" i="38"/>
  <c r="X219" i="38"/>
  <c r="F346" i="38"/>
  <c r="Y207" i="38"/>
  <c r="V351" i="38"/>
  <c r="Y92" i="38"/>
  <c r="F302" i="38"/>
  <c r="X36" i="38"/>
  <c r="X128" i="38"/>
  <c r="M42" i="38"/>
  <c r="AA166" i="38"/>
  <c r="V122" i="38"/>
  <c r="F95" i="38"/>
  <c r="F255" i="38"/>
  <c r="L247" i="38"/>
  <c r="K141" i="38"/>
  <c r="F166" i="38"/>
  <c r="X351" i="38"/>
  <c r="G26" i="38"/>
  <c r="M279" i="38"/>
  <c r="K111" i="38"/>
  <c r="M181" i="38"/>
  <c r="G64" i="38"/>
  <c r="X38" i="38"/>
  <c r="K228" i="38"/>
  <c r="V28" i="38"/>
  <c r="F203" i="38"/>
  <c r="K205" i="38"/>
  <c r="L255" i="38"/>
  <c r="AA215" i="38"/>
  <c r="Y210" i="38"/>
  <c r="Y318" i="38"/>
  <c r="K364" i="38"/>
  <c r="AA185" i="38"/>
  <c r="M26" i="38"/>
  <c r="N159" i="38"/>
  <c r="Y195" i="38"/>
  <c r="F153" i="38"/>
  <c r="K199" i="38"/>
  <c r="V240" i="38"/>
  <c r="L298" i="38"/>
  <c r="K74" i="38"/>
  <c r="V316" i="38"/>
  <c r="K107" i="38"/>
  <c r="Y295" i="38"/>
  <c r="N199" i="38"/>
  <c r="N224" i="38"/>
  <c r="F194" i="38"/>
  <c r="V309" i="38"/>
  <c r="N87" i="38"/>
  <c r="N338" i="38"/>
  <c r="X353" i="38"/>
  <c r="F159" i="38"/>
  <c r="G63" i="38"/>
  <c r="L242" i="38"/>
  <c r="G323" i="38"/>
  <c r="G89" i="38"/>
  <c r="AB363" i="38"/>
  <c r="AS363" i="38" s="1"/>
  <c r="X203" i="38"/>
  <c r="N367" i="38"/>
  <c r="AB164" i="38"/>
  <c r="AS164" i="38" s="1"/>
  <c r="Y317" i="38"/>
  <c r="AB180" i="38"/>
  <c r="AS180" i="38" s="1"/>
  <c r="N19" i="38"/>
  <c r="N171" i="38"/>
  <c r="F199" i="38"/>
  <c r="Y100" i="38"/>
  <c r="V369" i="38"/>
  <c r="AA58" i="38"/>
  <c r="AB115" i="38"/>
  <c r="AS115" i="38" s="1"/>
  <c r="V296" i="38"/>
  <c r="AB272" i="38"/>
  <c r="AS272" i="38" s="1"/>
  <c r="AA300" i="38"/>
  <c r="F320" i="38"/>
  <c r="Y334" i="38"/>
  <c r="N237" i="38"/>
  <c r="N313" i="38"/>
  <c r="X50" i="38"/>
  <c r="V115" i="38"/>
  <c r="K360" i="38"/>
  <c r="V314" i="38"/>
  <c r="Y96" i="38"/>
  <c r="X368" i="38"/>
  <c r="V218" i="38"/>
  <c r="Y282" i="38"/>
  <c r="AA275" i="38"/>
  <c r="F43" i="38"/>
  <c r="N299" i="38"/>
  <c r="V255" i="38"/>
  <c r="M105" i="38"/>
  <c r="G234" i="38"/>
  <c r="L181" i="38"/>
  <c r="V154" i="38"/>
  <c r="AA264" i="38"/>
  <c r="V349" i="38"/>
  <c r="F265" i="38"/>
  <c r="Y174" i="38"/>
  <c r="N278" i="38"/>
  <c r="Y117" i="38"/>
  <c r="V157" i="38"/>
  <c r="V127" i="38"/>
  <c r="G229" i="38"/>
  <c r="K210" i="38"/>
  <c r="K327" i="38"/>
  <c r="M220" i="38"/>
  <c r="F280" i="38"/>
  <c r="Y349" i="38"/>
  <c r="Y283" i="38"/>
  <c r="Y316" i="38"/>
  <c r="AA40" i="38"/>
  <c r="F365" i="38"/>
  <c r="AB118" i="38"/>
  <c r="AS118" i="38" s="1"/>
  <c r="X288" i="38"/>
  <c r="M269" i="38"/>
  <c r="L192" i="38"/>
  <c r="V282" i="38"/>
  <c r="G124" i="38"/>
  <c r="AB155" i="38"/>
  <c r="G53" i="38"/>
  <c r="AB119" i="38"/>
  <c r="AS119" i="38" s="1"/>
  <c r="V141" i="38"/>
  <c r="AB43" i="38"/>
  <c r="AS43" i="38" s="1"/>
  <c r="G316" i="38"/>
  <c r="Y61" i="38"/>
  <c r="K326" i="38"/>
  <c r="L268" i="38"/>
  <c r="M284" i="38"/>
  <c r="K245" i="38"/>
  <c r="F31" i="38"/>
  <c r="F171" i="38"/>
  <c r="AA60" i="38"/>
  <c r="F174" i="38"/>
  <c r="AA135" i="38"/>
  <c r="N21" i="38"/>
  <c r="X270" i="38"/>
  <c r="V243" i="38"/>
  <c r="K166" i="38"/>
  <c r="L64" i="38"/>
  <c r="N35" i="38"/>
  <c r="G74" i="38"/>
  <c r="AA106" i="38"/>
  <c r="AA199" i="38"/>
  <c r="AB100" i="38"/>
  <c r="AS100" i="38" s="1"/>
  <c r="AB156" i="38"/>
  <c r="AS156" i="38" s="1"/>
  <c r="AB258" i="38"/>
  <c r="AS258" i="38" s="1"/>
  <c r="N222" i="38"/>
  <c r="Y285" i="38"/>
  <c r="L78" i="38"/>
  <c r="N173" i="38"/>
  <c r="N180" i="38"/>
  <c r="V344" i="38"/>
  <c r="F10" i="38"/>
  <c r="F35" i="38"/>
  <c r="L317" i="38"/>
  <c r="AB39" i="38"/>
  <c r="AS39" i="38" s="1"/>
  <c r="V107" i="38"/>
  <c r="N74" i="38"/>
  <c r="N187" i="38"/>
  <c r="AA150" i="38"/>
  <c r="AB183" i="38"/>
  <c r="AS183" i="38" s="1"/>
  <c r="N300" i="38"/>
  <c r="M270" i="38"/>
  <c r="L147" i="38"/>
  <c r="V244" i="38"/>
  <c r="L281" i="38"/>
  <c r="X337" i="38"/>
  <c r="Y241" i="38"/>
  <c r="N75" i="38"/>
  <c r="X241" i="38"/>
  <c r="AA72" i="38"/>
  <c r="AB333" i="38"/>
  <c r="AS333" i="38" s="1"/>
  <c r="G291" i="38"/>
  <c r="AA330" i="38"/>
  <c r="K37" i="38"/>
  <c r="K159" i="38"/>
  <c r="K180" i="38"/>
  <c r="X298" i="38"/>
  <c r="V241" i="38"/>
  <c r="Y84" i="38"/>
  <c r="AA277" i="38"/>
  <c r="AB223" i="38"/>
  <c r="AS223" i="38" s="1"/>
  <c r="AA145" i="38"/>
  <c r="Y187" i="38"/>
  <c r="F12" i="38"/>
  <c r="K154" i="38"/>
  <c r="AB347" i="38"/>
  <c r="AS347" i="38" s="1"/>
  <c r="Y150" i="38"/>
  <c r="AA137" i="38"/>
  <c r="Y194" i="38"/>
  <c r="V46" i="38"/>
  <c r="Y331" i="38"/>
  <c r="L266" i="38"/>
  <c r="F23" i="38"/>
  <c r="X135" i="38"/>
  <c r="N311" i="38"/>
  <c r="X172" i="38"/>
  <c r="L187" i="38"/>
  <c r="G327" i="38"/>
  <c r="G266" i="38"/>
  <c r="AA87" i="38"/>
  <c r="AB334" i="38"/>
  <c r="AS334" i="38" s="1"/>
  <c r="N266" i="38"/>
  <c r="AA240" i="38"/>
  <c r="Y125" i="38"/>
  <c r="AA132" i="38"/>
  <c r="G16" i="38"/>
  <c r="G161" i="38"/>
  <c r="K291" i="38"/>
  <c r="L326" i="38"/>
  <c r="M295" i="38"/>
  <c r="K134" i="38"/>
  <c r="K338" i="38"/>
  <c r="K312" i="38"/>
  <c r="N105" i="38"/>
  <c r="G84" i="38"/>
  <c r="K328" i="38"/>
  <c r="K248" i="38"/>
  <c r="F27" i="38"/>
  <c r="L145" i="38"/>
  <c r="N341" i="38"/>
  <c r="M171" i="38"/>
  <c r="K241" i="38"/>
  <c r="F344" i="38"/>
  <c r="M148" i="38"/>
  <c r="V20" i="38"/>
  <c r="K340" i="38"/>
  <c r="F124" i="38"/>
  <c r="K256" i="38"/>
  <c r="L66" i="38"/>
  <c r="V229" i="38"/>
  <c r="F364" i="38"/>
  <c r="G241" i="38"/>
  <c r="M136" i="38"/>
  <c r="AA326" i="38"/>
  <c r="Y153" i="38"/>
  <c r="N127" i="38"/>
  <c r="AB153" i="38"/>
  <c r="AS153" i="38" s="1"/>
  <c r="AB323" i="38"/>
  <c r="AS323" i="38" s="1"/>
  <c r="M304" i="38"/>
  <c r="X224" i="38"/>
  <c r="M54" i="38"/>
  <c r="V139" i="38"/>
  <c r="L133" i="38"/>
  <c r="K255" i="38"/>
  <c r="AA23" i="38"/>
  <c r="AA45" i="38"/>
  <c r="M193" i="38"/>
  <c r="K182" i="38"/>
  <c r="V64" i="38"/>
  <c r="X150" i="38"/>
  <c r="Y322" i="38"/>
  <c r="K292" i="38"/>
  <c r="K247" i="38"/>
  <c r="X126" i="38"/>
  <c r="AA41" i="38"/>
  <c r="AA61" i="38"/>
  <c r="X155" i="38"/>
  <c r="N100" i="38"/>
  <c r="Y164" i="38"/>
  <c r="V361" i="38"/>
  <c r="K318" i="38"/>
  <c r="K294" i="38"/>
  <c r="AA52" i="38"/>
  <c r="N274" i="38"/>
  <c r="N46" i="38"/>
  <c r="G310" i="38"/>
  <c r="AA190" i="38"/>
  <c r="Y16" i="38"/>
  <c r="V293" i="38"/>
  <c r="Y116" i="38"/>
  <c r="X306" i="38"/>
  <c r="N103" i="38"/>
  <c r="AA49" i="38"/>
  <c r="L291" i="38"/>
  <c r="AB15" i="38"/>
  <c r="AS15" i="38" s="1"/>
  <c r="AB267" i="38"/>
  <c r="AS267" i="38" s="1"/>
  <c r="N217" i="38"/>
  <c r="AA28" i="38"/>
  <c r="N68" i="38"/>
  <c r="AA188" i="38"/>
  <c r="X366" i="38"/>
  <c r="X54" i="38"/>
  <c r="L310" i="38"/>
  <c r="G135" i="38"/>
  <c r="V41" i="38"/>
  <c r="X139" i="38"/>
  <c r="G196" i="38"/>
  <c r="N144" i="38"/>
  <c r="V288" i="38"/>
  <c r="V225" i="38"/>
  <c r="N27" i="38"/>
  <c r="M362" i="38"/>
  <c r="L180" i="38"/>
  <c r="V70" i="38"/>
  <c r="V26" i="38"/>
  <c r="AB168" i="38"/>
  <c r="AS168" i="38" s="1"/>
  <c r="V23" i="38"/>
  <c r="V96" i="38"/>
  <c r="Y98" i="38"/>
  <c r="AB130" i="38"/>
  <c r="AS130" i="38" s="1"/>
  <c r="AA344" i="38"/>
  <c r="V301" i="38"/>
  <c r="M255" i="38"/>
  <c r="K149" i="38"/>
  <c r="K16" i="38"/>
  <c r="G19" i="38"/>
  <c r="L165" i="38"/>
  <c r="G339" i="38"/>
  <c r="F101" i="38"/>
  <c r="V313" i="38"/>
  <c r="V11" i="38"/>
  <c r="AA201" i="38"/>
  <c r="V42" i="38"/>
  <c r="X56" i="38"/>
  <c r="L41" i="38"/>
  <c r="V16" i="38"/>
  <c r="M241" i="38"/>
  <c r="F345" i="38"/>
  <c r="M252" i="38"/>
  <c r="K147" i="38"/>
  <c r="F7" i="38"/>
  <c r="F233" i="38"/>
  <c r="X125" i="38"/>
  <c r="AA197" i="38"/>
  <c r="AA280" i="38"/>
  <c r="AA91" i="38"/>
  <c r="L7" i="38"/>
  <c r="N240" i="38"/>
  <c r="K242" i="38"/>
  <c r="K303" i="38"/>
  <c r="Y307" i="38"/>
  <c r="AA36" i="38"/>
  <c r="V270" i="38"/>
  <c r="AB184" i="38"/>
  <c r="AS184" i="38" s="1"/>
  <c r="Y126" i="38"/>
  <c r="V287" i="38"/>
  <c r="AB253" i="38"/>
  <c r="AS253" i="38" s="1"/>
  <c r="X31" i="38"/>
  <c r="X290" i="38"/>
  <c r="L76" i="38"/>
  <c r="L199" i="38"/>
  <c r="N176" i="38"/>
  <c r="G50" i="38"/>
  <c r="AB76" i="38"/>
  <c r="AS76" i="38" s="1"/>
  <c r="N234" i="38"/>
  <c r="Y192" i="38"/>
  <c r="AB368" i="38"/>
  <c r="AS368" i="38" s="1"/>
  <c r="X289" i="38"/>
  <c r="Y321" i="38"/>
  <c r="F162" i="38"/>
  <c r="M39" i="38"/>
  <c r="L50" i="38"/>
  <c r="K206" i="38"/>
  <c r="N109" i="38"/>
  <c r="G225" i="38"/>
  <c r="G226" i="38"/>
  <c r="L301" i="38"/>
  <c r="AA164" i="38"/>
  <c r="V239" i="38"/>
  <c r="AA51" i="38"/>
  <c r="V213" i="38"/>
  <c r="AA53" i="38"/>
  <c r="V143" i="38"/>
  <c r="AB72" i="38"/>
  <c r="AS72" i="38" s="1"/>
  <c r="L156" i="38"/>
  <c r="L185" i="38"/>
  <c r="N101" i="38"/>
  <c r="N353" i="38"/>
  <c r="K258" i="38"/>
  <c r="F237" i="38"/>
  <c r="AB154" i="38"/>
  <c r="AS154" i="38" s="1"/>
  <c r="N201" i="38"/>
  <c r="AB113" i="38"/>
  <c r="AS113" i="38" s="1"/>
  <c r="N242" i="38"/>
  <c r="AB84" i="38"/>
  <c r="AS84" i="38" s="1"/>
  <c r="Y129" i="38"/>
  <c r="AB298" i="38"/>
  <c r="AS298" i="38" s="1"/>
  <c r="K320" i="38"/>
  <c r="M79" i="38"/>
  <c r="AB338" i="38"/>
  <c r="AS338" i="38" s="1"/>
  <c r="AA102" i="38"/>
  <c r="F258" i="38"/>
  <c r="AB63" i="38"/>
  <c r="AS63" i="38" s="1"/>
  <c r="AB129" i="38"/>
  <c r="AS129" i="38" s="1"/>
  <c r="Y25" i="38"/>
  <c r="Y122" i="38"/>
  <c r="F45" i="38"/>
  <c r="G289" i="38"/>
  <c r="X171" i="38"/>
  <c r="N97" i="38"/>
  <c r="V273" i="38"/>
  <c r="AB16" i="38"/>
  <c r="AS16" i="38" s="1"/>
  <c r="V78" i="38"/>
  <c r="N114" i="38"/>
  <c r="Y135" i="38"/>
  <c r="AB55" i="38"/>
  <c r="AS55" i="38" s="1"/>
  <c r="Y148" i="38"/>
  <c r="F243" i="38"/>
  <c r="G85" i="38"/>
  <c r="L69" i="38"/>
  <c r="L13" i="38"/>
  <c r="F158" i="38"/>
  <c r="X186" i="38"/>
  <c r="F170" i="38"/>
  <c r="X77" i="38"/>
  <c r="AA308" i="38"/>
  <c r="Y72" i="38"/>
  <c r="AA225" i="38"/>
  <c r="Y29" i="38"/>
  <c r="V67" i="38"/>
  <c r="AA198" i="38"/>
  <c r="K41" i="38"/>
  <c r="G307" i="38"/>
  <c r="F86" i="38"/>
  <c r="N125" i="38"/>
  <c r="K68" i="38"/>
  <c r="F178" i="38"/>
  <c r="M327" i="38"/>
  <c r="M25" i="38"/>
  <c r="F291" i="38"/>
  <c r="L24" i="38"/>
  <c r="L307" i="38"/>
  <c r="N11" i="38"/>
  <c r="X245" i="38"/>
  <c r="N339" i="38"/>
  <c r="K278" i="38"/>
  <c r="L59" i="38"/>
  <c r="K54" i="38"/>
  <c r="G330" i="38"/>
  <c r="M55" i="38"/>
  <c r="F168" i="38"/>
  <c r="F37" i="38"/>
  <c r="M237" i="38"/>
  <c r="Y330" i="38"/>
  <c r="L62" i="38"/>
  <c r="G148" i="38"/>
  <c r="G22" i="38"/>
  <c r="AA177" i="38"/>
  <c r="AA354" i="38"/>
  <c r="Y134" i="38"/>
  <c r="AB274" i="38"/>
  <c r="AS274" i="38" s="1"/>
  <c r="G24" i="38"/>
  <c r="N33" i="38"/>
  <c r="AB280" i="38"/>
  <c r="L118" i="38"/>
  <c r="X214" i="38"/>
  <c r="V44" i="38"/>
  <c r="F244" i="38"/>
  <c r="X191" i="38"/>
  <c r="N141" i="38"/>
  <c r="X223" i="38"/>
  <c r="X294" i="38"/>
  <c r="AA252" i="38"/>
  <c r="X47" i="38"/>
  <c r="AB75" i="38"/>
  <c r="AS75" i="38" s="1"/>
  <c r="K121" i="38"/>
  <c r="K27" i="38"/>
  <c r="L49" i="38"/>
  <c r="K330" i="38"/>
  <c r="Y162" i="38"/>
  <c r="L328" i="38"/>
  <c r="AB238" i="38"/>
  <c r="AS238" i="38" s="1"/>
  <c r="AB241" i="38"/>
  <c r="AS241" i="38" s="1"/>
  <c r="AB336" i="38"/>
  <c r="AS336" i="38" s="1"/>
  <c r="AB273" i="38"/>
  <c r="AS273" i="38" s="1"/>
  <c r="AB290" i="38"/>
  <c r="AS290" i="38" s="1"/>
  <c r="F273" i="38"/>
  <c r="G61" i="38"/>
  <c r="G201" i="38"/>
  <c r="F29" i="38"/>
  <c r="AA356" i="38"/>
  <c r="V236" i="38"/>
  <c r="N60" i="38"/>
  <c r="AB208" i="38"/>
  <c r="AS208" i="38" s="1"/>
  <c r="Y139" i="38"/>
  <c r="Y223" i="38"/>
  <c r="Y278" i="38"/>
  <c r="X249" i="38"/>
  <c r="V77" i="38"/>
  <c r="AA258" i="38"/>
  <c r="K60" i="38"/>
  <c r="G158" i="38"/>
  <c r="X45" i="38"/>
  <c r="V357" i="38"/>
  <c r="V190" i="38"/>
  <c r="AA226" i="38"/>
  <c r="G134" i="38"/>
  <c r="V83" i="38"/>
  <c r="X182" i="38"/>
  <c r="L173" i="38"/>
  <c r="X35" i="38"/>
  <c r="Y52" i="38"/>
  <c r="L318" i="38"/>
  <c r="AA152" i="38"/>
  <c r="V283" i="38"/>
  <c r="G68" i="38"/>
  <c r="V86" i="38"/>
  <c r="L303" i="38"/>
  <c r="M347" i="38"/>
  <c r="N62" i="38"/>
  <c r="G62" i="38"/>
  <c r="K261" i="38"/>
  <c r="Y333" i="38"/>
  <c r="N285" i="38"/>
  <c r="V362" i="38"/>
  <c r="AB166" i="38"/>
  <c r="AS166" i="38" s="1"/>
  <c r="K341" i="38"/>
  <c r="N177" i="38"/>
  <c r="Y177" i="38"/>
  <c r="K308" i="38"/>
  <c r="G237" i="38"/>
  <c r="M238" i="38"/>
  <c r="M125" i="38"/>
  <c r="L297" i="38"/>
  <c r="X173" i="38"/>
  <c r="Y348" i="38"/>
  <c r="AA134" i="38"/>
  <c r="V81" i="38"/>
  <c r="X174" i="38"/>
  <c r="AA16" i="38"/>
  <c r="N22" i="38"/>
  <c r="M326" i="38"/>
  <c r="Y332" i="38"/>
  <c r="G349" i="38"/>
  <c r="G249" i="38"/>
  <c r="X327" i="38"/>
  <c r="N88" i="38"/>
  <c r="AA221" i="38"/>
  <c r="V102" i="38"/>
  <c r="F331" i="38"/>
  <c r="AB229" i="38"/>
  <c r="AS229" i="38" s="1"/>
  <c r="X24" i="38"/>
  <c r="AB204" i="38"/>
  <c r="AS204" i="38" s="1"/>
  <c r="M200" i="38"/>
  <c r="M234" i="38"/>
  <c r="N346" i="38"/>
  <c r="N196" i="38"/>
  <c r="F289" i="38"/>
  <c r="AA338" i="38"/>
  <c r="Y103" i="38"/>
  <c r="AA30" i="38"/>
  <c r="G195" i="38"/>
  <c r="N212" i="38"/>
  <c r="X20" i="38"/>
  <c r="G322" i="38"/>
  <c r="Y360" i="38"/>
  <c r="M315" i="38"/>
  <c r="M172" i="38"/>
  <c r="N306" i="38"/>
  <c r="L276" i="38"/>
  <c r="AA260" i="38"/>
  <c r="AB111" i="38"/>
  <c r="AS111" i="38" s="1"/>
  <c r="F102" i="38"/>
  <c r="X235" i="38"/>
  <c r="AA165" i="38"/>
  <c r="AB62" i="38"/>
  <c r="AS62" i="38" s="1"/>
  <c r="N246" i="38"/>
  <c r="K337" i="38"/>
  <c r="N156" i="38"/>
  <c r="N324" i="38"/>
  <c r="G165" i="38"/>
  <c r="N197" i="38"/>
  <c r="G59" i="38"/>
  <c r="G265" i="38"/>
  <c r="Y196" i="38"/>
  <c r="G184" i="38"/>
  <c r="Y325" i="38"/>
  <c r="Y163" i="38"/>
  <c r="X238" i="38"/>
  <c r="N170" i="38"/>
  <c r="G197" i="38"/>
  <c r="L37" i="38"/>
  <c r="M145" i="38"/>
  <c r="M95" i="38"/>
  <c r="L48" i="38"/>
  <c r="K307" i="38"/>
  <c r="G317" i="38"/>
  <c r="AA335" i="38"/>
  <c r="N163" i="38"/>
  <c r="AA184" i="38"/>
  <c r="AB99" i="38"/>
  <c r="AS99" i="38" s="1"/>
  <c r="G338" i="38"/>
  <c r="V233" i="38"/>
  <c r="AB233" i="38"/>
  <c r="AS233" i="38" s="1"/>
  <c r="K148" i="38"/>
  <c r="K120" i="38"/>
  <c r="L132" i="38"/>
  <c r="G120" i="38"/>
  <c r="V183" i="38"/>
  <c r="AB235" i="38"/>
  <c r="AS235" i="38" s="1"/>
  <c r="V187" i="38"/>
  <c r="G230" i="38"/>
  <c r="X88" i="38"/>
  <c r="G32" i="38"/>
  <c r="AB365" i="38"/>
  <c r="AS365" i="38" s="1"/>
  <c r="G110" i="38"/>
  <c r="K354" i="38"/>
  <c r="L137" i="38"/>
  <c r="AA316" i="38"/>
  <c r="Y276" i="38"/>
  <c r="Y193" i="38"/>
  <c r="G219" i="38"/>
  <c r="AB188" i="38"/>
  <c r="V34" i="38"/>
  <c r="AB341" i="38"/>
  <c r="AS341" i="38" s="1"/>
  <c r="AA351" i="38"/>
  <c r="K34" i="38"/>
  <c r="K62" i="38"/>
  <c r="K76" i="38"/>
  <c r="G60" i="38"/>
  <c r="AA339" i="38"/>
  <c r="V171" i="38"/>
  <c r="F329" i="38"/>
  <c r="AA64" i="38"/>
  <c r="F41" i="38"/>
  <c r="AA13" i="38"/>
  <c r="Y170" i="38"/>
  <c r="G132" i="38"/>
  <c r="K38" i="38"/>
  <c r="K290" i="38"/>
  <c r="N167" i="38"/>
  <c r="K81" i="38"/>
  <c r="G314" i="38"/>
  <c r="N247" i="38"/>
  <c r="K225" i="38"/>
  <c r="Y357" i="38"/>
  <c r="L323" i="38"/>
  <c r="L341" i="38"/>
  <c r="N257" i="38"/>
  <c r="K82" i="38"/>
  <c r="M353" i="38"/>
  <c r="X231" i="38"/>
  <c r="L125" i="38"/>
  <c r="L179" i="38"/>
  <c r="M323" i="38"/>
  <c r="F202" i="38"/>
  <c r="K346" i="38"/>
  <c r="L42" i="38"/>
  <c r="M142" i="38"/>
  <c r="M293" i="38"/>
  <c r="N359" i="38"/>
  <c r="M113" i="38"/>
  <c r="Y65" i="38"/>
  <c r="Y149" i="38"/>
  <c r="AA126" i="38"/>
  <c r="AA69" i="38"/>
  <c r="K270" i="38"/>
  <c r="G362" i="38"/>
  <c r="F335" i="38"/>
  <c r="N267" i="38"/>
  <c r="M247" i="38"/>
  <c r="AA183" i="38"/>
  <c r="N272" i="38"/>
  <c r="AA95" i="38"/>
  <c r="AA59" i="38"/>
  <c r="X81" i="38"/>
  <c r="X226" i="38"/>
  <c r="AA313" i="38"/>
  <c r="F197" i="38"/>
  <c r="AA20" i="38"/>
  <c r="M80" i="38"/>
  <c r="V203" i="38"/>
  <c r="M344" i="38"/>
  <c r="F337" i="38"/>
  <c r="AA42" i="38"/>
  <c r="AA315" i="38"/>
  <c r="G340" i="38"/>
  <c r="X284" i="38"/>
  <c r="AA268" i="38"/>
  <c r="Y49" i="38"/>
  <c r="G172" i="38"/>
  <c r="L338" i="38"/>
  <c r="F132" i="38"/>
  <c r="G179" i="38"/>
  <c r="L100" i="38"/>
  <c r="X95" i="38"/>
  <c r="Y43" i="38"/>
  <c r="Y64" i="38"/>
  <c r="V210" i="38"/>
  <c r="F315" i="38"/>
  <c r="AB67" i="38"/>
  <c r="AS67" i="38" s="1"/>
  <c r="AA75" i="38"/>
  <c r="AB36" i="38"/>
  <c r="AS36" i="38" s="1"/>
  <c r="V158" i="38"/>
  <c r="V339" i="38"/>
  <c r="X295" i="38"/>
  <c r="F300" i="38"/>
  <c r="AA299" i="38"/>
  <c r="AA111" i="38"/>
  <c r="Y69" i="38"/>
  <c r="N186" i="38"/>
  <c r="AB346" i="38"/>
  <c r="AS346" i="38" s="1"/>
  <c r="Y60" i="38"/>
  <c r="X283" i="38"/>
  <c r="G154" i="38"/>
  <c r="G275" i="38"/>
  <c r="G271" i="38"/>
  <c r="V88" i="38"/>
  <c r="G264" i="38"/>
  <c r="AA210" i="38"/>
  <c r="Y289" i="38"/>
  <c r="Y269" i="38"/>
  <c r="Y155" i="38"/>
  <c r="X133" i="38"/>
  <c r="L272" i="38"/>
  <c r="M245" i="38"/>
  <c r="X42" i="38"/>
  <c r="F93" i="38"/>
  <c r="L269" i="38"/>
  <c r="N291" i="38"/>
  <c r="V37" i="38"/>
  <c r="AA279" i="38"/>
  <c r="AA290" i="38"/>
  <c r="AB181" i="38"/>
  <c r="AS181" i="38" s="1"/>
  <c r="AA364" i="38"/>
  <c r="AA262" i="38"/>
  <c r="L287" i="38"/>
  <c r="M287" i="38"/>
  <c r="G175" i="38"/>
  <c r="K285" i="38"/>
  <c r="M224" i="38"/>
  <c r="L60" i="38"/>
  <c r="M283" i="38"/>
  <c r="N253" i="38"/>
  <c r="V368" i="38"/>
  <c r="F163" i="38"/>
  <c r="Y327" i="38"/>
  <c r="Y305" i="38"/>
  <c r="Y105" i="38"/>
  <c r="X52" i="38"/>
  <c r="AB186" i="38"/>
  <c r="L117" i="38"/>
  <c r="N71" i="38"/>
  <c r="F266" i="38"/>
  <c r="G83" i="38"/>
  <c r="N115" i="38"/>
  <c r="K336" i="38"/>
  <c r="AA369" i="38"/>
  <c r="X93" i="38"/>
  <c r="AA178" i="38"/>
  <c r="Y55" i="38"/>
  <c r="F16" i="38"/>
  <c r="L113" i="38"/>
  <c r="M364" i="38"/>
  <c r="L40" i="38"/>
  <c r="N249" i="38"/>
  <c r="Y267" i="38"/>
  <c r="F245" i="38"/>
  <c r="AA239" i="38"/>
  <c r="X343" i="38"/>
  <c r="G18" i="38"/>
  <c r="Y89" i="38"/>
  <c r="AB282" i="38"/>
  <c r="AS282" i="38" s="1"/>
  <c r="G263" i="38"/>
  <c r="Y181" i="38"/>
  <c r="M298" i="38"/>
  <c r="N94" i="38"/>
  <c r="Y17" i="38"/>
  <c r="AB160" i="38"/>
  <c r="AS160" i="38" s="1"/>
  <c r="Y159" i="38"/>
  <c r="AA228" i="38"/>
  <c r="AA269" i="38"/>
  <c r="X244" i="38"/>
  <c r="F283" i="38"/>
  <c r="K94" i="38"/>
  <c r="X281" i="38"/>
  <c r="L74" i="38"/>
  <c r="V59" i="38"/>
  <c r="F214" i="38"/>
  <c r="L12" i="38"/>
  <c r="L237" i="38"/>
  <c r="AB18" i="38"/>
  <c r="AS18" i="38" s="1"/>
  <c r="AA291" i="38"/>
  <c r="Y186" i="38"/>
  <c r="AB149" i="38"/>
  <c r="AS149" i="38" s="1"/>
  <c r="F114" i="38"/>
  <c r="AB12" i="38"/>
  <c r="AS12" i="38" s="1"/>
  <c r="V217" i="38"/>
  <c r="F148" i="38"/>
  <c r="M289" i="38"/>
  <c r="M263" i="38"/>
  <c r="N113" i="38"/>
  <c r="N133" i="38"/>
  <c r="F54" i="38"/>
  <c r="X287" i="38"/>
  <c r="V321" i="38"/>
  <c r="V155" i="38"/>
  <c r="Y87" i="38"/>
  <c r="Y297" i="38"/>
  <c r="AB144" i="38"/>
  <c r="AS144" i="38" s="1"/>
  <c r="Y113" i="38"/>
  <c r="K9" i="38"/>
  <c r="L73" i="38"/>
  <c r="N323" i="38"/>
  <c r="V363" i="38"/>
  <c r="Y68" i="38"/>
  <c r="V294" i="38"/>
  <c r="X57" i="38"/>
  <c r="X44" i="38"/>
  <c r="AB304" i="38"/>
  <c r="AS304" i="38" s="1"/>
  <c r="G182" i="38"/>
  <c r="AB197" i="38"/>
  <c r="AS197" i="38" s="1"/>
  <c r="K8" i="38"/>
  <c r="M254" i="38"/>
  <c r="Y99" i="38"/>
  <c r="F79" i="38"/>
  <c r="AB289" i="38"/>
  <c r="AS289" i="38" s="1"/>
  <c r="X335" i="38"/>
  <c r="Y133" i="38"/>
  <c r="Y19" i="38"/>
  <c r="K59" i="38"/>
  <c r="L226" i="38"/>
  <c r="X315" i="38"/>
  <c r="K10" i="38"/>
  <c r="L152" i="38"/>
  <c r="G205" i="38"/>
  <c r="F234" i="38"/>
  <c r="V126" i="38"/>
  <c r="AA204" i="38"/>
  <c r="G354" i="38"/>
  <c r="AA186" i="38"/>
  <c r="AB108" i="38"/>
  <c r="AS108" i="38" s="1"/>
  <c r="AA202" i="38"/>
  <c r="K200" i="38"/>
  <c r="M35" i="38"/>
  <c r="M212" i="38"/>
  <c r="L93" i="38"/>
  <c r="F230" i="38"/>
  <c r="G240" i="38"/>
  <c r="V271" i="38"/>
  <c r="N302" i="38"/>
  <c r="N23" i="38"/>
  <c r="AB218" i="38"/>
  <c r="AS218" i="38" s="1"/>
  <c r="G117" i="38"/>
  <c r="F110" i="38"/>
  <c r="N190" i="38"/>
  <c r="K349" i="38"/>
  <c r="L220" i="38"/>
  <c r="V348" i="38"/>
  <c r="N333" i="38"/>
  <c r="F81" i="38"/>
  <c r="V231" i="38"/>
  <c r="X271" i="38"/>
  <c r="M232" i="38"/>
  <c r="M19" i="38"/>
  <c r="N215" i="38"/>
  <c r="F146" i="38"/>
  <c r="L141" i="38"/>
  <c r="K119" i="38"/>
  <c r="N225" i="38"/>
  <c r="F9" i="38"/>
  <c r="K72" i="38"/>
  <c r="X202" i="38"/>
  <c r="N145" i="38"/>
  <c r="AB190" i="38"/>
  <c r="AS190" i="38" s="1"/>
  <c r="X216" i="38"/>
  <c r="F368" i="38"/>
  <c r="L52" i="38"/>
  <c r="AB203" i="38"/>
  <c r="AS203" i="38" s="1"/>
  <c r="X339" i="38"/>
  <c r="Y77" i="38"/>
  <c r="K18" i="38"/>
  <c r="AA360" i="38"/>
  <c r="Y272" i="38"/>
  <c r="X140" i="38"/>
  <c r="V333" i="38"/>
  <c r="AA155" i="38"/>
  <c r="Y201" i="38"/>
  <c r="M52" i="38"/>
  <c r="X242" i="38"/>
  <c r="L28" i="38"/>
  <c r="L262" i="38"/>
  <c r="Y51" i="38"/>
  <c r="G353" i="38"/>
  <c r="V161" i="38"/>
  <c r="X185" i="38"/>
  <c r="AA309" i="38"/>
  <c r="Y338" i="38"/>
  <c r="V346" i="38"/>
  <c r="X317" i="38"/>
  <c r="F104" i="38"/>
  <c r="G130" i="38"/>
  <c r="K335" i="38"/>
  <c r="X230" i="38"/>
  <c r="AB226" i="38"/>
  <c r="AS226" i="38" s="1"/>
  <c r="Y123" i="38"/>
  <c r="Y226" i="38"/>
  <c r="AB255" i="38"/>
  <c r="AS255" i="38" s="1"/>
  <c r="F96" i="38"/>
  <c r="Y74" i="38"/>
  <c r="AA167" i="38"/>
  <c r="Y252" i="38"/>
  <c r="AB320" i="38"/>
  <c r="AS320" i="38" s="1"/>
  <c r="Y147" i="38"/>
  <c r="Y268" i="38"/>
  <c r="AA62" i="38"/>
  <c r="G267" i="38"/>
  <c r="AB270" i="38"/>
  <c r="AS270" i="38" s="1"/>
  <c r="F252" i="38"/>
  <c r="F52" i="38"/>
  <c r="Y292" i="38"/>
  <c r="AA82" i="38"/>
  <c r="L282" i="38"/>
  <c r="L197" i="38"/>
  <c r="AB227" i="38"/>
  <c r="AS227" i="38" s="1"/>
  <c r="Y211" i="38"/>
  <c r="F232" i="38"/>
  <c r="Y47" i="38"/>
  <c r="X264" i="38"/>
  <c r="Y168" i="38"/>
  <c r="N193" i="38"/>
  <c r="X350" i="38"/>
  <c r="X184" i="38"/>
  <c r="K130" i="38"/>
  <c r="K215" i="38"/>
  <c r="K112" i="38"/>
  <c r="L252" i="38"/>
  <c r="G27" i="38"/>
  <c r="Y75" i="38"/>
  <c r="V295" i="38"/>
  <c r="V65" i="38"/>
  <c r="F352" i="38"/>
  <c r="L115" i="38"/>
  <c r="M84" i="38"/>
  <c r="L65" i="38"/>
  <c r="V347" i="38"/>
  <c r="M300" i="38"/>
  <c r="N207" i="38"/>
  <c r="L150" i="38"/>
  <c r="F327" i="38"/>
  <c r="N189" i="38"/>
  <c r="AB65" i="38"/>
  <c r="AS65" i="38" s="1"/>
  <c r="Y190" i="38"/>
  <c r="Y38" i="38"/>
  <c r="AA361" i="38"/>
  <c r="AB28" i="38"/>
  <c r="AS28" i="38" s="1"/>
  <c r="L360" i="38"/>
  <c r="N264" i="38"/>
  <c r="F275" i="38"/>
  <c r="L172" i="38"/>
  <c r="Y328" i="38"/>
  <c r="Y136" i="38"/>
  <c r="V253" i="38"/>
  <c r="Y111" i="38"/>
  <c r="AB148" i="38"/>
  <c r="AS148" i="38" s="1"/>
  <c r="Y93" i="38"/>
  <c r="N82" i="38"/>
  <c r="N91" i="38"/>
  <c r="L208" i="38"/>
  <c r="M167" i="38"/>
  <c r="AB201" i="38"/>
  <c r="AS201" i="38" s="1"/>
  <c r="Y83" i="38"/>
  <c r="V331" i="38"/>
  <c r="AB195" i="38"/>
  <c r="AS195" i="38" s="1"/>
  <c r="AA254" i="38"/>
  <c r="AB199" i="38"/>
  <c r="AS199" i="38" s="1"/>
  <c r="AA127" i="38"/>
  <c r="F24" i="38"/>
  <c r="K86" i="38"/>
  <c r="F297" i="38"/>
  <c r="G78" i="38"/>
  <c r="AB191" i="38"/>
  <c r="AS191" i="38" s="1"/>
  <c r="Y22" i="38"/>
  <c r="N200" i="38"/>
  <c r="X280" i="38"/>
  <c r="V140" i="38"/>
  <c r="V185" i="38"/>
  <c r="AA57" i="38"/>
  <c r="N293" i="38"/>
  <c r="F8" i="38"/>
  <c r="G149" i="38"/>
  <c r="K30" i="38"/>
  <c r="L275" i="38"/>
  <c r="Y273" i="38"/>
  <c r="AB219" i="38"/>
  <c r="X265" i="38"/>
  <c r="G269" i="38"/>
  <c r="AA10" i="38"/>
  <c r="AA113" i="38"/>
  <c r="Y91" i="38"/>
  <c r="N182" i="38"/>
  <c r="V129" i="38"/>
  <c r="G67" i="38"/>
  <c r="M318" i="38"/>
  <c r="K260" i="38"/>
  <c r="X369" i="38"/>
  <c r="AA86" i="38"/>
  <c r="X307" i="38"/>
  <c r="AB349" i="38"/>
  <c r="AS349" i="38" s="1"/>
  <c r="AB110" i="38"/>
  <c r="AS110" i="38" s="1"/>
  <c r="AA119" i="38"/>
  <c r="G278" i="38"/>
  <c r="Y62" i="38"/>
  <c r="N64" i="38"/>
  <c r="V340" i="38"/>
  <c r="N185" i="38"/>
  <c r="G66" i="38"/>
  <c r="V166" i="38"/>
  <c r="G121" i="38"/>
  <c r="N244" i="38"/>
  <c r="AB131" i="38"/>
  <c r="AS131" i="38" s="1"/>
  <c r="AB224" i="38"/>
  <c r="AS224" i="38" s="1"/>
  <c r="K17" i="38"/>
  <c r="V292" i="38"/>
  <c r="F155" i="38"/>
  <c r="M155" i="38"/>
  <c r="M27" i="38"/>
  <c r="AA207" i="38"/>
  <c r="Y143" i="38"/>
  <c r="AA349" i="38"/>
  <c r="AA314" i="38"/>
  <c r="Y67" i="38"/>
  <c r="Y127" i="38"/>
  <c r="Y296" i="38"/>
  <c r="N298" i="38"/>
  <c r="X326" i="38"/>
  <c r="V275" i="38"/>
  <c r="N233" i="38"/>
  <c r="X303" i="38"/>
  <c r="G260" i="38"/>
  <c r="F48" i="38"/>
  <c r="AA9" i="38"/>
  <c r="AA367" i="38"/>
  <c r="Y250" i="38"/>
  <c r="V221" i="38"/>
  <c r="X196" i="38"/>
  <c r="AA85" i="38"/>
  <c r="F151" i="38"/>
  <c r="L332" i="38"/>
  <c r="G114" i="38"/>
  <c r="K132" i="38"/>
  <c r="M45" i="38"/>
  <c r="F278" i="38"/>
  <c r="G207" i="38"/>
  <c r="K153" i="38"/>
  <c r="M128" i="38"/>
  <c r="M275" i="38"/>
  <c r="V134" i="38"/>
  <c r="K135" i="38"/>
  <c r="N172" i="38"/>
  <c r="L116" i="38"/>
  <c r="F332" i="38"/>
  <c r="L292" i="38"/>
  <c r="M265" i="38"/>
  <c r="L361" i="38"/>
  <c r="M9" i="38"/>
  <c r="M206" i="38"/>
  <c r="M166" i="38"/>
  <c r="L108" i="38"/>
  <c r="F184" i="38"/>
  <c r="L75" i="38"/>
  <c r="N284" i="38"/>
  <c r="V324" i="38"/>
  <c r="V48" i="38"/>
  <c r="L330" i="38"/>
  <c r="L10" i="38"/>
  <c r="N250" i="38"/>
  <c r="K129" i="38"/>
  <c r="K359" i="38"/>
  <c r="L124" i="38"/>
  <c r="X153" i="38"/>
  <c r="G101" i="38"/>
  <c r="K115" i="38"/>
  <c r="M103" i="38"/>
  <c r="M110" i="38"/>
  <c r="G300" i="38"/>
  <c r="L43" i="38"/>
  <c r="AA163" i="38"/>
  <c r="L182" i="38"/>
  <c r="AB264" i="38"/>
  <c r="AS264" i="38" s="1"/>
  <c r="AA265" i="38"/>
  <c r="K298" i="38"/>
  <c r="X291" i="38"/>
  <c r="L243" i="38"/>
  <c r="N76" i="38"/>
  <c r="V82" i="38"/>
  <c r="Y106" i="38"/>
  <c r="F307" i="38"/>
  <c r="L321" i="38"/>
  <c r="X358" i="38"/>
  <c r="N8" i="38"/>
  <c r="AA245" i="38"/>
  <c r="AA278" i="38"/>
  <c r="Y10" i="38"/>
  <c r="F115" i="38"/>
  <c r="V326" i="38"/>
  <c r="V286" i="38"/>
  <c r="F342" i="38"/>
  <c r="G273" i="38"/>
  <c r="AB237" i="38"/>
  <c r="AS237" i="38" s="1"/>
  <c r="V212" i="38"/>
  <c r="F138" i="38"/>
  <c r="AB356" i="38"/>
  <c r="AS356" i="38" s="1"/>
  <c r="Y229" i="38"/>
  <c r="AB157" i="38"/>
  <c r="AS157" i="38" s="1"/>
  <c r="V146" i="38"/>
  <c r="AA236" i="38"/>
  <c r="Y66" i="38"/>
  <c r="Y178" i="38"/>
  <c r="AB101" i="38"/>
  <c r="AS101" i="38" s="1"/>
  <c r="Y246" i="38"/>
  <c r="AA156" i="38"/>
  <c r="Y14" i="38"/>
  <c r="AA192" i="38"/>
  <c r="Y368" i="38"/>
  <c r="AB40" i="38"/>
  <c r="AS40" i="38" s="1"/>
  <c r="V119" i="38"/>
  <c r="AB30" i="38"/>
  <c r="AS30" i="38" s="1"/>
  <c r="F137" i="38"/>
  <c r="L102" i="38"/>
  <c r="L244" i="38"/>
  <c r="F277" i="38"/>
  <c r="G235" i="38"/>
  <c r="AB104" i="38"/>
  <c r="AS104" i="38" s="1"/>
  <c r="V31" i="38"/>
  <c r="N255" i="38"/>
  <c r="K178" i="38"/>
  <c r="V159" i="38"/>
  <c r="AB124" i="38"/>
  <c r="AS124" i="38" s="1"/>
  <c r="V319" i="38"/>
  <c r="V278" i="38"/>
  <c r="X313" i="38"/>
  <c r="K279" i="38"/>
  <c r="F20" i="38"/>
  <c r="L89" i="38"/>
  <c r="AB71" i="38"/>
  <c r="AS71" i="38" s="1"/>
  <c r="X142" i="38"/>
  <c r="V63" i="38"/>
  <c r="AA363" i="38"/>
  <c r="X362" i="38"/>
  <c r="AA161" i="38"/>
  <c r="X106" i="38"/>
  <c r="N17" i="38"/>
  <c r="M182" i="38"/>
  <c r="L18" i="38"/>
  <c r="V332" i="38"/>
  <c r="N102" i="38"/>
  <c r="L260" i="38"/>
  <c r="M111" i="38"/>
  <c r="AA284" i="38"/>
  <c r="G208" i="38"/>
  <c r="AA270" i="38"/>
  <c r="F270" i="38"/>
  <c r="AB116" i="38"/>
  <c r="AS116" i="38" s="1"/>
  <c r="N72" i="38"/>
  <c r="AB215" i="38"/>
  <c r="AS215" i="38" s="1"/>
  <c r="L368" i="38"/>
  <c r="M343" i="38"/>
  <c r="M325" i="38"/>
  <c r="K281" i="38"/>
  <c r="K253" i="38"/>
  <c r="G290" i="38"/>
  <c r="X200" i="38"/>
  <c r="AB56" i="38"/>
  <c r="AS56" i="38" s="1"/>
  <c r="V117" i="38"/>
  <c r="V247" i="38"/>
  <c r="Y354" i="38"/>
  <c r="N36" i="38"/>
  <c r="N270" i="38"/>
  <c r="M291" i="38"/>
  <c r="M48" i="38"/>
  <c r="X247" i="38"/>
  <c r="M217" i="38"/>
  <c r="M56" i="38"/>
  <c r="K226" i="38"/>
  <c r="F317" i="38"/>
  <c r="Y94" i="38"/>
  <c r="Y353" i="38"/>
  <c r="AA170" i="38"/>
  <c r="Y11" i="38"/>
  <c r="AB301" i="38"/>
  <c r="AS301" i="38" s="1"/>
  <c r="G246" i="38"/>
  <c r="M24" i="38"/>
  <c r="L246" i="38"/>
  <c r="L218" i="38"/>
  <c r="F322" i="38"/>
  <c r="N210" i="38"/>
  <c r="AB244" i="38"/>
  <c r="AS244" i="38" s="1"/>
  <c r="X188" i="38"/>
  <c r="N56" i="38"/>
  <c r="V71" i="38"/>
  <c r="AB252" i="38"/>
  <c r="AS252" i="38" s="1"/>
  <c r="AB22" i="38"/>
  <c r="AS22" i="38" s="1"/>
  <c r="K244" i="38"/>
  <c r="L280" i="38"/>
  <c r="L207" i="38"/>
  <c r="M51" i="38"/>
  <c r="K57" i="38"/>
  <c r="L44" i="38"/>
  <c r="L169" i="38"/>
  <c r="V194" i="38"/>
  <c r="AB137" i="38"/>
  <c r="AS137" i="38" s="1"/>
  <c r="X252" i="38"/>
  <c r="X108" i="38"/>
  <c r="G94" i="38"/>
  <c r="X239" i="38"/>
  <c r="Y235" i="38"/>
  <c r="G319" i="38"/>
  <c r="AA147" i="38"/>
  <c r="M134" i="38"/>
  <c r="N119" i="38"/>
  <c r="K271" i="38"/>
  <c r="X76" i="38"/>
  <c r="AB217" i="38"/>
  <c r="AS217" i="38" s="1"/>
  <c r="X301" i="38"/>
  <c r="Y311" i="38"/>
  <c r="Y213" i="38"/>
  <c r="V69" i="38"/>
  <c r="F18" i="38"/>
  <c r="AA301" i="38"/>
  <c r="L16" i="38"/>
  <c r="L183" i="38"/>
  <c r="N356" i="38"/>
  <c r="L70" i="38"/>
  <c r="N147" i="38"/>
  <c r="Y101" i="38"/>
  <c r="Y120" i="38"/>
  <c r="V315" i="38"/>
  <c r="V151" i="38"/>
  <c r="Y326" i="38"/>
  <c r="M249" i="38"/>
  <c r="N44" i="38"/>
  <c r="L149" i="38"/>
  <c r="L164" i="38"/>
  <c r="AA319" i="38"/>
  <c r="Y263" i="38"/>
  <c r="G344" i="38"/>
  <c r="V177" i="38"/>
  <c r="Y217" i="38"/>
  <c r="Y251" i="38"/>
  <c r="N37" i="38"/>
  <c r="N206" i="38"/>
  <c r="V323" i="38"/>
  <c r="G297" i="38"/>
  <c r="AB146" i="38"/>
  <c r="AS146" i="38" s="1"/>
  <c r="M40" i="38"/>
  <c r="G156" i="38"/>
  <c r="AB283" i="38"/>
  <c r="AS283" i="38" s="1"/>
  <c r="Y141" i="38"/>
  <c r="Y314" i="38"/>
  <c r="N157" i="38"/>
  <c r="X292" i="38"/>
  <c r="X209" i="38"/>
  <c r="V358" i="38"/>
  <c r="K83" i="38"/>
  <c r="N235" i="38"/>
  <c r="F13" i="38"/>
  <c r="K42" i="38"/>
  <c r="G164" i="38"/>
  <c r="X365" i="38"/>
  <c r="N51" i="38"/>
  <c r="K48" i="38"/>
  <c r="N363" i="38"/>
  <c r="F323" i="38"/>
  <c r="M30" i="38"/>
  <c r="K283" i="38"/>
  <c r="AB242" i="38"/>
  <c r="AS242" i="38" s="1"/>
  <c r="G112" i="38"/>
  <c r="K229" i="38"/>
  <c r="G118" i="38"/>
  <c r="M223" i="38"/>
  <c r="X207" i="38"/>
  <c r="X101" i="38"/>
  <c r="N321" i="38"/>
  <c r="M331" i="38"/>
  <c r="G190" i="38"/>
  <c r="K344" i="38"/>
  <c r="AA352" i="38"/>
  <c r="Y44" i="38"/>
  <c r="L134" i="38"/>
  <c r="M282" i="38"/>
  <c r="AA133" i="38"/>
  <c r="X364" i="38"/>
  <c r="N337" i="38"/>
  <c r="Y258" i="38"/>
  <c r="K163" i="38"/>
  <c r="F201" i="38"/>
  <c r="V238" i="38"/>
  <c r="F211" i="38"/>
  <c r="G334" i="38"/>
  <c r="F108" i="38"/>
  <c r="F362" i="38"/>
  <c r="F50" i="38"/>
  <c r="K191" i="38"/>
  <c r="F303" i="38"/>
  <c r="F271" i="38"/>
  <c r="F173" i="38"/>
  <c r="F97" i="38"/>
  <c r="G366" i="38"/>
  <c r="G280" i="38"/>
  <c r="L364" i="38"/>
  <c r="K348" i="38"/>
  <c r="K124" i="38"/>
  <c r="F94" i="38"/>
  <c r="F120" i="38"/>
  <c r="K306" i="38"/>
  <c r="G92" i="38"/>
  <c r="F262" i="38"/>
  <c r="K158" i="38"/>
  <c r="G176" i="38"/>
  <c r="F128" i="38"/>
  <c r="G47" i="38"/>
  <c r="G202" i="38"/>
  <c r="K145" i="38"/>
  <c r="F272" i="38"/>
  <c r="G133" i="38"/>
  <c r="F17" i="38"/>
  <c r="F62" i="38"/>
  <c r="F118" i="38"/>
  <c r="G276" i="38"/>
  <c r="G107" i="38"/>
  <c r="G356" i="38"/>
  <c r="F284" i="38"/>
  <c r="F182" i="38"/>
  <c r="L348" i="38"/>
  <c r="F235" i="38"/>
  <c r="F259" i="38"/>
  <c r="M61" i="38"/>
  <c r="G167" i="38"/>
  <c r="F250" i="38"/>
  <c r="G152" i="38"/>
  <c r="K250" i="38"/>
  <c r="G106" i="38"/>
  <c r="F249" i="38"/>
  <c r="F274" i="38"/>
  <c r="F319" i="38"/>
  <c r="G293" i="38"/>
  <c r="F89" i="38"/>
  <c r="AC4" i="22"/>
  <c r="B338" i="30"/>
  <c r="G337" i="30"/>
  <c r="H337" i="30" s="1"/>
  <c r="C337" i="30"/>
  <c r="D337" i="30"/>
  <c r="B339" i="32"/>
  <c r="G338" i="32"/>
  <c r="H338" i="32" s="1"/>
  <c r="C338" i="32"/>
  <c r="D338" i="32"/>
  <c r="D282" i="20"/>
  <c r="D39" i="9" s="1"/>
  <c r="C282" i="20"/>
  <c r="B282" i="20"/>
  <c r="E282" i="20"/>
  <c r="AS186" i="38" l="1"/>
  <c r="Z11" i="39"/>
  <c r="AS155" i="38"/>
  <c r="Z10" i="39"/>
  <c r="AS64" i="38"/>
  <c r="Z7" i="39"/>
  <c r="AS33" i="38"/>
  <c r="Z6" i="39"/>
  <c r="AS94" i="38"/>
  <c r="Z8" i="39"/>
  <c r="AS125" i="38"/>
  <c r="Z9" i="39"/>
  <c r="AS2" i="38"/>
  <c r="Z5" i="39"/>
  <c r="F10" i="7"/>
  <c r="H10" i="7" s="1"/>
  <c r="F4" i="7"/>
  <c r="H4" i="7" s="1"/>
  <c r="H64" i="41"/>
  <c r="E64" i="41"/>
  <c r="G64" i="41"/>
  <c r="C64" i="41"/>
  <c r="I64" i="41"/>
  <c r="F64" i="41"/>
  <c r="D64" i="41"/>
  <c r="F50" i="41"/>
  <c r="I50" i="41"/>
  <c r="D50" i="41"/>
  <c r="G50" i="41"/>
  <c r="H50" i="41"/>
  <c r="E50" i="41"/>
  <c r="C50" i="41"/>
  <c r="D19" i="41"/>
  <c r="E19" i="41"/>
  <c r="F19" i="41"/>
  <c r="H19" i="41"/>
  <c r="C19" i="41"/>
  <c r="G19" i="41"/>
  <c r="I19" i="41"/>
  <c r="D17" i="41"/>
  <c r="E17" i="41"/>
  <c r="G17" i="41"/>
  <c r="I17" i="41"/>
  <c r="F17" i="41"/>
  <c r="H17" i="41"/>
  <c r="C17" i="41"/>
  <c r="G22" i="41"/>
  <c r="E22" i="41"/>
  <c r="I22" i="41"/>
  <c r="F22" i="41"/>
  <c r="C22" i="41"/>
  <c r="H22" i="41"/>
  <c r="D22" i="41"/>
  <c r="D59" i="41"/>
  <c r="E59" i="41"/>
  <c r="G59" i="41"/>
  <c r="F59" i="41"/>
  <c r="H59" i="41"/>
  <c r="I59" i="41"/>
  <c r="C59" i="41"/>
  <c r="D52" i="41"/>
  <c r="E52" i="41"/>
  <c r="H52" i="41"/>
  <c r="G52" i="41"/>
  <c r="F52" i="41"/>
  <c r="I52" i="41"/>
  <c r="C52" i="41"/>
  <c r="G16" i="41"/>
  <c r="H16" i="41"/>
  <c r="I16" i="41"/>
  <c r="E16" i="41"/>
  <c r="C16" i="41"/>
  <c r="D16" i="41"/>
  <c r="F16" i="41"/>
  <c r="D55" i="41"/>
  <c r="E55" i="41"/>
  <c r="H55" i="41"/>
  <c r="C55" i="41"/>
  <c r="F55" i="41"/>
  <c r="I55" i="41"/>
  <c r="G55" i="41"/>
  <c r="F18" i="41"/>
  <c r="G18" i="41"/>
  <c r="D18" i="41"/>
  <c r="H18" i="41"/>
  <c r="I18" i="41"/>
  <c r="E18" i="41"/>
  <c r="C18" i="41"/>
  <c r="D47" i="41"/>
  <c r="E47" i="41"/>
  <c r="H47" i="41"/>
  <c r="I47" i="41"/>
  <c r="F47" i="41"/>
  <c r="G47" i="41"/>
  <c r="C47" i="41"/>
  <c r="D4" i="41"/>
  <c r="I4" i="41"/>
  <c r="H4" i="41"/>
  <c r="G4" i="41"/>
  <c r="C4" i="41"/>
  <c r="F4" i="41"/>
  <c r="E4" i="41"/>
  <c r="D45" i="41"/>
  <c r="E45" i="41"/>
  <c r="H45" i="41"/>
  <c r="I45" i="41"/>
  <c r="F45" i="41"/>
  <c r="G45" i="41"/>
  <c r="C45" i="41"/>
  <c r="D61" i="41"/>
  <c r="E61" i="41"/>
  <c r="G61" i="41"/>
  <c r="I61" i="41"/>
  <c r="F61" i="41"/>
  <c r="H61" i="41"/>
  <c r="C61" i="41"/>
  <c r="D44" i="41"/>
  <c r="E44" i="41"/>
  <c r="I44" i="41"/>
  <c r="H44" i="41"/>
  <c r="F44" i="41"/>
  <c r="G44" i="41"/>
  <c r="C44" i="41"/>
  <c r="D21" i="41"/>
  <c r="E21" i="41"/>
  <c r="F21" i="41"/>
  <c r="H21" i="41"/>
  <c r="C21" i="41"/>
  <c r="G21" i="41"/>
  <c r="I21" i="41"/>
  <c r="G5" i="41"/>
  <c r="F5" i="41"/>
  <c r="D5" i="41"/>
  <c r="I5" i="41"/>
  <c r="H5" i="41"/>
  <c r="C5" i="41"/>
  <c r="E5" i="41"/>
  <c r="H56" i="41"/>
  <c r="G56" i="41"/>
  <c r="E56" i="41"/>
  <c r="C56" i="41"/>
  <c r="D56" i="41"/>
  <c r="F56" i="41"/>
  <c r="I56" i="41"/>
  <c r="E34" i="41"/>
  <c r="H34" i="41"/>
  <c r="D34" i="41"/>
  <c r="I34" i="41"/>
  <c r="G34" i="41"/>
  <c r="F34" i="41"/>
  <c r="C34" i="41"/>
  <c r="D60" i="41"/>
  <c r="H60" i="41"/>
  <c r="G60" i="41"/>
  <c r="F60" i="41"/>
  <c r="I60" i="41"/>
  <c r="E60" i="41"/>
  <c r="C60" i="41"/>
  <c r="G38" i="41"/>
  <c r="I38" i="41"/>
  <c r="D38" i="41"/>
  <c r="F38" i="41"/>
  <c r="H38" i="41"/>
  <c r="E38" i="41"/>
  <c r="C38" i="41"/>
  <c r="D58" i="41"/>
  <c r="E58" i="41"/>
  <c r="G58" i="41"/>
  <c r="I58" i="41"/>
  <c r="F58" i="41"/>
  <c r="H58" i="41"/>
  <c r="C58" i="41"/>
  <c r="D11" i="41"/>
  <c r="F11" i="41"/>
  <c r="I11" i="41"/>
  <c r="E11" i="41"/>
  <c r="C11" i="41"/>
  <c r="H11" i="41"/>
  <c r="G11" i="41"/>
  <c r="D23" i="41"/>
  <c r="E23" i="41"/>
  <c r="G23" i="41"/>
  <c r="H23" i="41"/>
  <c r="C23" i="41"/>
  <c r="F23" i="41"/>
  <c r="I23" i="41"/>
  <c r="D28" i="41"/>
  <c r="F28" i="41"/>
  <c r="I28" i="41"/>
  <c r="H28" i="41"/>
  <c r="E28" i="41"/>
  <c r="G28" i="41"/>
  <c r="C28" i="41"/>
  <c r="D43" i="41"/>
  <c r="E43" i="41"/>
  <c r="I43" i="41"/>
  <c r="G43" i="41"/>
  <c r="F43" i="41"/>
  <c r="H43" i="41"/>
  <c r="C43" i="41"/>
  <c r="G54" i="41"/>
  <c r="H54" i="41"/>
  <c r="D54" i="41"/>
  <c r="C54" i="41"/>
  <c r="I54" i="41"/>
  <c r="E54" i="41"/>
  <c r="F54" i="41"/>
  <c r="I8" i="41"/>
  <c r="D8" i="41"/>
  <c r="H8" i="41"/>
  <c r="E8" i="41"/>
  <c r="G8" i="41"/>
  <c r="C8" i="41"/>
  <c r="F8" i="41"/>
  <c r="D36" i="41"/>
  <c r="E36" i="41"/>
  <c r="H36" i="41"/>
  <c r="G36" i="41"/>
  <c r="F36" i="41"/>
  <c r="I36" i="41"/>
  <c r="C36" i="41"/>
  <c r="D13" i="41"/>
  <c r="E13" i="41"/>
  <c r="G13" i="41"/>
  <c r="H13" i="41"/>
  <c r="C13" i="41"/>
  <c r="F13" i="41"/>
  <c r="I13" i="41"/>
  <c r="D32" i="41"/>
  <c r="G32" i="41"/>
  <c r="E32" i="41"/>
  <c r="I32" i="41"/>
  <c r="H32" i="41"/>
  <c r="F32" i="41"/>
  <c r="C32" i="41"/>
  <c r="G30" i="41"/>
  <c r="F30" i="41"/>
  <c r="I30" i="41"/>
  <c r="E30" i="41"/>
  <c r="H30" i="41"/>
  <c r="D30" i="41"/>
  <c r="C30" i="41"/>
  <c r="D9" i="41"/>
  <c r="E9" i="41"/>
  <c r="F9" i="41"/>
  <c r="G9" i="41"/>
  <c r="H9" i="41"/>
  <c r="I9" i="41"/>
  <c r="C9" i="41"/>
  <c r="D57" i="41"/>
  <c r="E57" i="41"/>
  <c r="H57" i="41"/>
  <c r="C57" i="41"/>
  <c r="F57" i="41"/>
  <c r="G57" i="41"/>
  <c r="I57" i="41"/>
  <c r="E6" i="41"/>
  <c r="G6" i="41"/>
  <c r="H6" i="41"/>
  <c r="C6" i="41"/>
  <c r="I6" i="41"/>
  <c r="F6" i="41"/>
  <c r="D6" i="41"/>
  <c r="D29" i="41"/>
  <c r="E29" i="41"/>
  <c r="I29" i="41"/>
  <c r="H29" i="41"/>
  <c r="F29" i="41"/>
  <c r="G29" i="41"/>
  <c r="C29" i="41"/>
  <c r="E24" i="41"/>
  <c r="G24" i="41"/>
  <c r="I24" i="41"/>
  <c r="D24" i="41"/>
  <c r="C24" i="41"/>
  <c r="H24" i="41"/>
  <c r="F24" i="41"/>
  <c r="D62" i="41"/>
  <c r="I62" i="41"/>
  <c r="F62" i="41"/>
  <c r="G62" i="41"/>
  <c r="E62" i="41"/>
  <c r="H62" i="41"/>
  <c r="C62" i="41"/>
  <c r="D20" i="41"/>
  <c r="F20" i="41"/>
  <c r="I20" i="41"/>
  <c r="H20" i="41"/>
  <c r="C20" i="41"/>
  <c r="E20" i="41"/>
  <c r="G20" i="41"/>
  <c r="D31" i="41"/>
  <c r="E31" i="41"/>
  <c r="I31" i="41"/>
  <c r="H31" i="41"/>
  <c r="F31" i="41"/>
  <c r="G31" i="41"/>
  <c r="C31" i="41"/>
  <c r="G26" i="41"/>
  <c r="I26" i="41"/>
  <c r="H26" i="41"/>
  <c r="F26" i="41"/>
  <c r="D26" i="41"/>
  <c r="E26" i="41"/>
  <c r="C26" i="41"/>
  <c r="D7" i="41"/>
  <c r="F7" i="41"/>
  <c r="G7" i="41"/>
  <c r="E7" i="41"/>
  <c r="I7" i="41"/>
  <c r="H7" i="41"/>
  <c r="C7" i="41"/>
  <c r="D15" i="41"/>
  <c r="E15" i="41"/>
  <c r="G15" i="41"/>
  <c r="I15" i="41"/>
  <c r="C15" i="41"/>
  <c r="F15" i="41"/>
  <c r="H15" i="41"/>
  <c r="D39" i="41"/>
  <c r="E39" i="41"/>
  <c r="I39" i="41"/>
  <c r="H39" i="41"/>
  <c r="F39" i="41"/>
  <c r="G39" i="41"/>
  <c r="C39" i="41"/>
  <c r="D49" i="41"/>
  <c r="E49" i="41"/>
  <c r="G49" i="41"/>
  <c r="C49" i="41"/>
  <c r="F49" i="41"/>
  <c r="H49" i="41"/>
  <c r="I49" i="41"/>
  <c r="D33" i="41"/>
  <c r="E33" i="41"/>
  <c r="G33" i="41"/>
  <c r="H33" i="41"/>
  <c r="F33" i="41"/>
  <c r="I33" i="41"/>
  <c r="C33" i="41"/>
  <c r="G40" i="41"/>
  <c r="E40" i="41"/>
  <c r="F40" i="41"/>
  <c r="I40" i="41"/>
  <c r="D40" i="41"/>
  <c r="H40" i="41"/>
  <c r="C40" i="41"/>
  <c r="D48" i="41"/>
  <c r="G48" i="41"/>
  <c r="E48" i="41"/>
  <c r="I48" i="41"/>
  <c r="H48" i="41"/>
  <c r="F48" i="41"/>
  <c r="C48" i="41"/>
  <c r="G46" i="41"/>
  <c r="I46" i="41"/>
  <c r="H46" i="41"/>
  <c r="F46" i="41"/>
  <c r="E46" i="41"/>
  <c r="D46" i="41"/>
  <c r="C46" i="41"/>
  <c r="G14" i="41"/>
  <c r="I14" i="41"/>
  <c r="D14" i="41"/>
  <c r="H14" i="41"/>
  <c r="C14" i="41"/>
  <c r="F14" i="41"/>
  <c r="E14" i="41"/>
  <c r="D27" i="41"/>
  <c r="E27" i="41"/>
  <c r="G27" i="41"/>
  <c r="I27" i="41"/>
  <c r="F27" i="41"/>
  <c r="H27" i="41"/>
  <c r="C27" i="41"/>
  <c r="G10" i="41"/>
  <c r="H10" i="41"/>
  <c r="F10" i="41"/>
  <c r="E10" i="41"/>
  <c r="I10" i="41"/>
  <c r="C10" i="41"/>
  <c r="D10" i="41"/>
  <c r="D25" i="41"/>
  <c r="E25" i="41"/>
  <c r="G25" i="41"/>
  <c r="I25" i="41"/>
  <c r="C25" i="41"/>
  <c r="F25" i="41"/>
  <c r="H25" i="41"/>
  <c r="D53" i="41"/>
  <c r="E53" i="41"/>
  <c r="G53" i="41"/>
  <c r="C53" i="41"/>
  <c r="F53" i="41"/>
  <c r="H53" i="41"/>
  <c r="I53" i="41"/>
  <c r="F42" i="41"/>
  <c r="G42" i="41"/>
  <c r="E42" i="41"/>
  <c r="D42" i="41"/>
  <c r="I42" i="41"/>
  <c r="H42" i="41"/>
  <c r="C42" i="41"/>
  <c r="D51" i="41"/>
  <c r="E51" i="41"/>
  <c r="G51" i="41"/>
  <c r="H51" i="41"/>
  <c r="F51" i="41"/>
  <c r="I51" i="41"/>
  <c r="C51" i="41"/>
  <c r="D63" i="41"/>
  <c r="E63" i="41"/>
  <c r="F63" i="41"/>
  <c r="C63" i="41"/>
  <c r="H63" i="41"/>
  <c r="G63" i="41"/>
  <c r="I63" i="41"/>
  <c r="D41" i="41"/>
  <c r="E41" i="41"/>
  <c r="G41" i="41"/>
  <c r="I41" i="41"/>
  <c r="F41" i="41"/>
  <c r="H41" i="41"/>
  <c r="C41" i="41"/>
  <c r="D35" i="41"/>
  <c r="E35" i="41"/>
  <c r="I35" i="41"/>
  <c r="H35" i="41"/>
  <c r="F35" i="41"/>
  <c r="G35" i="41"/>
  <c r="C35" i="41"/>
  <c r="D12" i="41"/>
  <c r="F12" i="41"/>
  <c r="I12" i="41"/>
  <c r="H12" i="41"/>
  <c r="E12" i="41"/>
  <c r="G12" i="41"/>
  <c r="C12" i="41"/>
  <c r="D37" i="41"/>
  <c r="E37" i="41"/>
  <c r="I37" i="41"/>
  <c r="H37" i="41"/>
  <c r="F37" i="41"/>
  <c r="G37" i="41"/>
  <c r="C37" i="41"/>
  <c r="Q13" i="39"/>
  <c r="U3" i="38"/>
  <c r="O3" i="38"/>
  <c r="R3" i="38"/>
  <c r="W3" i="38"/>
  <c r="Z13" i="39"/>
  <c r="R5" i="38"/>
  <c r="W5" i="38"/>
  <c r="U5" i="38"/>
  <c r="O5" i="38"/>
  <c r="Z12" i="39"/>
  <c r="Q12" i="39"/>
  <c r="R4" i="38"/>
  <c r="W4" i="38"/>
  <c r="O4" i="38"/>
  <c r="U4" i="38"/>
  <c r="R2" i="38"/>
  <c r="O2" i="38"/>
  <c r="W2" i="38"/>
  <c r="U2" i="38"/>
  <c r="R7" i="38"/>
  <c r="W7" i="38"/>
  <c r="R78" i="38"/>
  <c r="W78" i="38"/>
  <c r="R266" i="38"/>
  <c r="W266" i="38"/>
  <c r="R100" i="38"/>
  <c r="W100" i="38"/>
  <c r="R6" i="38"/>
  <c r="W6" i="38"/>
  <c r="R246" i="38"/>
  <c r="W246" i="38"/>
  <c r="R270" i="38"/>
  <c r="W270" i="38"/>
  <c r="R245" i="38"/>
  <c r="W245" i="38"/>
  <c r="R9" i="38"/>
  <c r="W9" i="38"/>
  <c r="R349" i="38"/>
  <c r="W349" i="38"/>
  <c r="R82" i="38"/>
  <c r="W82" i="38"/>
  <c r="R64" i="38"/>
  <c r="W64" i="38"/>
  <c r="R335" i="38"/>
  <c r="W335" i="38"/>
  <c r="R152" i="38"/>
  <c r="W152" i="38"/>
  <c r="R53" i="38"/>
  <c r="W53" i="38"/>
  <c r="R91" i="38"/>
  <c r="W91" i="38"/>
  <c r="R188" i="38"/>
  <c r="W188" i="38"/>
  <c r="R61" i="38"/>
  <c r="W61" i="38"/>
  <c r="R176" i="38"/>
  <c r="W176" i="38"/>
  <c r="R286" i="38"/>
  <c r="W286" i="38"/>
  <c r="R160" i="38"/>
  <c r="W160" i="38"/>
  <c r="R251" i="38"/>
  <c r="W251" i="38"/>
  <c r="R287" i="38"/>
  <c r="W287" i="38"/>
  <c r="R282" i="38"/>
  <c r="W282" i="38"/>
  <c r="R366" i="38"/>
  <c r="W366" i="38"/>
  <c r="R31" i="38"/>
  <c r="W31" i="38"/>
  <c r="R67" i="38"/>
  <c r="W67" i="38"/>
  <c r="R295" i="38"/>
  <c r="W295" i="38"/>
  <c r="R168" i="38"/>
  <c r="W168" i="38"/>
  <c r="R362" i="38"/>
  <c r="W362" i="38"/>
  <c r="R307" i="38"/>
  <c r="W307" i="38"/>
  <c r="R195" i="38"/>
  <c r="W195" i="38"/>
  <c r="R217" i="38"/>
  <c r="W217" i="38"/>
  <c r="R230" i="38"/>
  <c r="W230" i="38"/>
  <c r="R124" i="38"/>
  <c r="W124" i="38"/>
  <c r="R50" i="38"/>
  <c r="W50" i="38"/>
  <c r="R133" i="38"/>
  <c r="W133" i="38"/>
  <c r="R319" i="38"/>
  <c r="W319" i="38"/>
  <c r="R363" i="38"/>
  <c r="W363" i="38"/>
  <c r="R309" i="38"/>
  <c r="W309" i="38"/>
  <c r="R30" i="38"/>
  <c r="W30" i="38"/>
  <c r="R134" i="38"/>
  <c r="W134" i="38"/>
  <c r="R280" i="38"/>
  <c r="W280" i="38"/>
  <c r="R344" i="38"/>
  <c r="W344" i="38"/>
  <c r="R190" i="38"/>
  <c r="W190" i="38"/>
  <c r="R41" i="38"/>
  <c r="W41" i="38"/>
  <c r="R296" i="38"/>
  <c r="W296" i="38"/>
  <c r="R303" i="38"/>
  <c r="W303" i="38"/>
  <c r="R255" i="38"/>
  <c r="W255" i="38"/>
  <c r="R358" i="38"/>
  <c r="W358" i="38"/>
  <c r="R148" i="38"/>
  <c r="W148" i="38"/>
  <c r="R232" i="38"/>
  <c r="W232" i="38"/>
  <c r="R273" i="38"/>
  <c r="W273" i="38"/>
  <c r="R257" i="38"/>
  <c r="W257" i="38"/>
  <c r="R341" i="38"/>
  <c r="W341" i="38"/>
  <c r="R179" i="38"/>
  <c r="W179" i="38"/>
  <c r="R298" i="38"/>
  <c r="W298" i="38"/>
  <c r="R146" i="38"/>
  <c r="W146" i="38"/>
  <c r="R292" i="38"/>
  <c r="W292" i="38"/>
  <c r="R26" i="38"/>
  <c r="W26" i="38"/>
  <c r="R97" i="38"/>
  <c r="W97" i="38"/>
  <c r="R34" i="38"/>
  <c r="W34" i="38"/>
  <c r="R353" i="38"/>
  <c r="W353" i="38"/>
  <c r="R107" i="38"/>
  <c r="W107" i="38"/>
  <c r="R297" i="38"/>
  <c r="W297" i="38"/>
  <c r="R331" i="38"/>
  <c r="W331" i="38"/>
  <c r="R229" i="38"/>
  <c r="W229" i="38"/>
  <c r="R219" i="38"/>
  <c r="W219" i="38"/>
  <c r="R187" i="38"/>
  <c r="W187" i="38"/>
  <c r="R125" i="38"/>
  <c r="W125" i="38"/>
  <c r="R284" i="38"/>
  <c r="W284" i="38"/>
  <c r="R192" i="38"/>
  <c r="W192" i="38"/>
  <c r="R163" i="38"/>
  <c r="W163" i="38"/>
  <c r="R207" i="38"/>
  <c r="W207" i="38"/>
  <c r="R20" i="38"/>
  <c r="W20" i="38"/>
  <c r="R221" i="38"/>
  <c r="W221" i="38"/>
  <c r="R258" i="38"/>
  <c r="W258" i="38"/>
  <c r="R225" i="38"/>
  <c r="W225" i="38"/>
  <c r="R51" i="38"/>
  <c r="W51" i="38"/>
  <c r="R197" i="38"/>
  <c r="W197" i="38"/>
  <c r="R201" i="38"/>
  <c r="W201" i="38"/>
  <c r="R28" i="38"/>
  <c r="W28" i="38"/>
  <c r="R145" i="38"/>
  <c r="W145" i="38"/>
  <c r="R72" i="38"/>
  <c r="W72" i="38"/>
  <c r="R150" i="38"/>
  <c r="W150" i="38"/>
  <c r="R18" i="38"/>
  <c r="W18" i="38"/>
  <c r="R151" i="38"/>
  <c r="W151" i="38"/>
  <c r="R211" i="38"/>
  <c r="W211" i="38"/>
  <c r="R158" i="38"/>
  <c r="W158" i="38"/>
  <c r="R206" i="38"/>
  <c r="W206" i="38"/>
  <c r="R302" i="38"/>
  <c r="W302" i="38"/>
  <c r="R327" i="38"/>
  <c r="W327" i="38"/>
  <c r="R333" i="38"/>
  <c r="W333" i="38"/>
  <c r="R216" i="38"/>
  <c r="W216" i="38"/>
  <c r="R340" i="38"/>
  <c r="W340" i="38"/>
  <c r="R98" i="38"/>
  <c r="W98" i="38"/>
  <c r="R92" i="38"/>
  <c r="W92" i="38"/>
  <c r="R208" i="38"/>
  <c r="W208" i="38"/>
  <c r="R116" i="38"/>
  <c r="W116" i="38"/>
  <c r="R117" i="38"/>
  <c r="W117" i="38"/>
  <c r="R109" i="38"/>
  <c r="W109" i="38"/>
  <c r="R238" i="38"/>
  <c r="W238" i="38"/>
  <c r="R323" i="38"/>
  <c r="W323" i="38"/>
  <c r="R320" i="38"/>
  <c r="W320" i="38"/>
  <c r="R27" i="38"/>
  <c r="W27" i="38"/>
  <c r="R345" i="38"/>
  <c r="W345" i="38"/>
  <c r="R101" i="38"/>
  <c r="W101" i="38"/>
  <c r="R99" i="38"/>
  <c r="W99" i="38"/>
  <c r="R147" i="38"/>
  <c r="W147" i="38"/>
  <c r="R361" i="38"/>
  <c r="W361" i="38"/>
  <c r="R360" i="38"/>
  <c r="W360" i="38"/>
  <c r="R339" i="38"/>
  <c r="W339" i="38"/>
  <c r="R316" i="38"/>
  <c r="W316" i="38"/>
  <c r="R260" i="38"/>
  <c r="W260" i="38"/>
  <c r="R338" i="38"/>
  <c r="W338" i="38"/>
  <c r="R132" i="38"/>
  <c r="W132" i="38"/>
  <c r="R40" i="38"/>
  <c r="W40" i="38"/>
  <c r="R275" i="38"/>
  <c r="W275" i="38"/>
  <c r="R267" i="38"/>
  <c r="W267" i="38"/>
  <c r="R15" i="38"/>
  <c r="W15" i="38"/>
  <c r="R56" i="38"/>
  <c r="W56" i="38"/>
  <c r="R196" i="38"/>
  <c r="W196" i="38"/>
  <c r="R346" i="38"/>
  <c r="W346" i="38"/>
  <c r="R259" i="38"/>
  <c r="W259" i="38"/>
  <c r="R342" i="38"/>
  <c r="W342" i="38"/>
  <c r="R242" i="38"/>
  <c r="W242" i="38"/>
  <c r="R66" i="38"/>
  <c r="W66" i="38"/>
  <c r="R357" i="38"/>
  <c r="W357" i="38"/>
  <c r="R104" i="38"/>
  <c r="W104" i="38"/>
  <c r="R12" i="38"/>
  <c r="W12" i="38"/>
  <c r="R337" i="38"/>
  <c r="W337" i="38"/>
  <c r="R325" i="38"/>
  <c r="W325" i="38"/>
  <c r="R122" i="38"/>
  <c r="W122" i="38"/>
  <c r="R294" i="38"/>
  <c r="W294" i="38"/>
  <c r="R172" i="38"/>
  <c r="W172" i="38"/>
  <c r="R77" i="38"/>
  <c r="W77" i="38"/>
  <c r="R191" i="38"/>
  <c r="W191" i="38"/>
  <c r="R365" i="38"/>
  <c r="W365" i="38"/>
  <c r="R301" i="38"/>
  <c r="W301" i="38"/>
  <c r="R156" i="38"/>
  <c r="W156" i="38"/>
  <c r="R75" i="38"/>
  <c r="W75" i="38"/>
  <c r="R313" i="38"/>
  <c r="W313" i="38"/>
  <c r="R69" i="38"/>
  <c r="W69" i="38"/>
  <c r="R308" i="38"/>
  <c r="W308" i="38"/>
  <c r="R164" i="38"/>
  <c r="W164" i="38"/>
  <c r="R277" i="38"/>
  <c r="W277" i="38"/>
  <c r="R135" i="38"/>
  <c r="W135" i="38"/>
  <c r="R300" i="38"/>
  <c r="W300" i="38"/>
  <c r="R115" i="38"/>
  <c r="W115" i="38"/>
  <c r="R175" i="38"/>
  <c r="W175" i="38"/>
  <c r="R237" i="38"/>
  <c r="W237" i="38"/>
  <c r="R44" i="38"/>
  <c r="W44" i="38"/>
  <c r="R193" i="38"/>
  <c r="W193" i="38"/>
  <c r="R235" i="38"/>
  <c r="W235" i="38"/>
  <c r="R88" i="38"/>
  <c r="W88" i="38"/>
  <c r="R200" i="38"/>
  <c r="W200" i="38"/>
  <c r="R304" i="38"/>
  <c r="W304" i="38"/>
  <c r="R310" i="38"/>
  <c r="W310" i="38"/>
  <c r="R14" i="38"/>
  <c r="W14" i="38"/>
  <c r="R223" i="38"/>
  <c r="W223" i="38"/>
  <c r="R154" i="38"/>
  <c r="W154" i="38"/>
  <c r="R350" i="38"/>
  <c r="W350" i="38"/>
  <c r="R128" i="38"/>
  <c r="W128" i="38"/>
  <c r="R25" i="38"/>
  <c r="W25" i="38"/>
  <c r="R55" i="38"/>
  <c r="W55" i="38"/>
  <c r="R293" i="38"/>
  <c r="W293" i="38"/>
  <c r="R11" i="38"/>
  <c r="W11" i="38"/>
  <c r="R248" i="38"/>
  <c r="W248" i="38"/>
  <c r="R214" i="38"/>
  <c r="W214" i="38"/>
  <c r="R63" i="38"/>
  <c r="W63" i="38"/>
  <c r="R54" i="38"/>
  <c r="W54" i="38"/>
  <c r="R352" i="38"/>
  <c r="W352" i="38"/>
  <c r="R127" i="38"/>
  <c r="W127" i="38"/>
  <c r="R268" i="38"/>
  <c r="W268" i="38"/>
  <c r="R126" i="38"/>
  <c r="W126" i="38"/>
  <c r="R252" i="38"/>
  <c r="W252" i="38"/>
  <c r="R102" i="38"/>
  <c r="W102" i="38"/>
  <c r="R52" i="38"/>
  <c r="W52" i="38"/>
  <c r="R240" i="38"/>
  <c r="W240" i="38"/>
  <c r="R261" i="38"/>
  <c r="W261" i="38"/>
  <c r="R276" i="38"/>
  <c r="W276" i="38"/>
  <c r="R244" i="38"/>
  <c r="W244" i="38"/>
  <c r="R334" i="38"/>
  <c r="W334" i="38"/>
  <c r="R35" i="38"/>
  <c r="W35" i="38"/>
  <c r="R108" i="38"/>
  <c r="W108" i="38"/>
  <c r="R220" i="38"/>
  <c r="W220" i="38"/>
  <c r="R283" i="38"/>
  <c r="W283" i="38"/>
  <c r="R227" i="38"/>
  <c r="W227" i="38"/>
  <c r="R324" i="38"/>
  <c r="W324" i="38"/>
  <c r="R288" i="38"/>
  <c r="W288" i="38"/>
  <c r="R368" i="38"/>
  <c r="W368" i="38"/>
  <c r="R305" i="38"/>
  <c r="W305" i="38"/>
  <c r="R348" i="38"/>
  <c r="W348" i="38"/>
  <c r="R46" i="38"/>
  <c r="W46" i="38"/>
  <c r="R57" i="38"/>
  <c r="W57" i="38"/>
  <c r="R62" i="38"/>
  <c r="W62" i="38"/>
  <c r="R178" i="38"/>
  <c r="W178" i="38"/>
  <c r="R262" i="38"/>
  <c r="W262" i="38"/>
  <c r="R36" i="38"/>
  <c r="W36" i="38"/>
  <c r="R60" i="38"/>
  <c r="W60" i="38"/>
  <c r="R166" i="38"/>
  <c r="W166" i="38"/>
  <c r="R162" i="38"/>
  <c r="W162" i="38"/>
  <c r="R359" i="38"/>
  <c r="W359" i="38"/>
  <c r="R218" i="38"/>
  <c r="W218" i="38"/>
  <c r="R272" i="38"/>
  <c r="W272" i="38"/>
  <c r="R21" i="38"/>
  <c r="W21" i="38"/>
  <c r="R90" i="38"/>
  <c r="W90" i="38"/>
  <c r="R329" i="38"/>
  <c r="W329" i="38"/>
  <c r="R311" i="38"/>
  <c r="W311" i="38"/>
  <c r="R194" i="38"/>
  <c r="W194" i="38"/>
  <c r="R347" i="38"/>
  <c r="W347" i="38"/>
  <c r="R19" i="38"/>
  <c r="W19" i="38"/>
  <c r="R38" i="38"/>
  <c r="W38" i="38"/>
  <c r="R256" i="38"/>
  <c r="W256" i="38"/>
  <c r="R71" i="38"/>
  <c r="W71" i="38"/>
  <c r="R171" i="38"/>
  <c r="W171" i="38"/>
  <c r="R322" i="38"/>
  <c r="W322" i="38"/>
  <c r="R243" i="38"/>
  <c r="W243" i="38"/>
  <c r="R89" i="38"/>
  <c r="W89" i="38"/>
  <c r="R83" i="38"/>
  <c r="W83" i="38"/>
  <c r="R85" i="38"/>
  <c r="W85" i="38"/>
  <c r="R119" i="38"/>
  <c r="W119" i="38"/>
  <c r="R113" i="38"/>
  <c r="W113" i="38"/>
  <c r="R254" i="38"/>
  <c r="W254" i="38"/>
  <c r="R202" i="38"/>
  <c r="W202" i="38"/>
  <c r="R364" i="38"/>
  <c r="W364" i="38"/>
  <c r="R59" i="38"/>
  <c r="W59" i="38"/>
  <c r="R354" i="38"/>
  <c r="W354" i="38"/>
  <c r="R49" i="38"/>
  <c r="W49" i="38"/>
  <c r="R199" i="38"/>
  <c r="W199" i="38"/>
  <c r="R264" i="38"/>
  <c r="W264" i="38"/>
  <c r="R185" i="38"/>
  <c r="W185" i="38"/>
  <c r="R110" i="38"/>
  <c r="W110" i="38"/>
  <c r="R144" i="38"/>
  <c r="W144" i="38"/>
  <c r="R289" i="38"/>
  <c r="W289" i="38"/>
  <c r="R157" i="38"/>
  <c r="W157" i="38"/>
  <c r="R24" i="38"/>
  <c r="W24" i="38"/>
  <c r="R285" i="38"/>
  <c r="W285" i="38"/>
  <c r="R234" i="38"/>
  <c r="W234" i="38"/>
  <c r="R209" i="38"/>
  <c r="W209" i="38"/>
  <c r="R48" i="38"/>
  <c r="W48" i="38"/>
  <c r="R76" i="38"/>
  <c r="W76" i="38"/>
  <c r="R205" i="38"/>
  <c r="W205" i="38"/>
  <c r="R343" i="38"/>
  <c r="W343" i="38"/>
  <c r="R10" i="38"/>
  <c r="W10" i="38"/>
  <c r="R269" i="38"/>
  <c r="W269" i="38"/>
  <c r="R369" i="38"/>
  <c r="W369" i="38"/>
  <c r="R315" i="38"/>
  <c r="W315" i="38"/>
  <c r="R95" i="38"/>
  <c r="W95" i="38"/>
  <c r="R351" i="38"/>
  <c r="W351" i="38"/>
  <c r="R226" i="38"/>
  <c r="W226" i="38"/>
  <c r="R177" i="38"/>
  <c r="W177" i="38"/>
  <c r="R87" i="38"/>
  <c r="W87" i="38"/>
  <c r="R137" i="38"/>
  <c r="W137" i="38"/>
  <c r="R106" i="38"/>
  <c r="W106" i="38"/>
  <c r="R58" i="38"/>
  <c r="W58" i="38"/>
  <c r="R212" i="38"/>
  <c r="W212" i="38"/>
  <c r="R130" i="38"/>
  <c r="W130" i="38"/>
  <c r="R96" i="38"/>
  <c r="W96" i="38"/>
  <c r="R29" i="38"/>
  <c r="W29" i="38"/>
  <c r="R274" i="38"/>
  <c r="W274" i="38"/>
  <c r="R112" i="38"/>
  <c r="W112" i="38"/>
  <c r="R306" i="38"/>
  <c r="W306" i="38"/>
  <c r="R81" i="38"/>
  <c r="W81" i="38"/>
  <c r="R39" i="38"/>
  <c r="W39" i="38"/>
  <c r="R169" i="38"/>
  <c r="W169" i="38"/>
  <c r="R121" i="38"/>
  <c r="W121" i="38"/>
  <c r="R181" i="38"/>
  <c r="W181" i="38"/>
  <c r="R224" i="38"/>
  <c r="W224" i="38"/>
  <c r="R123" i="38"/>
  <c r="W123" i="38"/>
  <c r="R336" i="38"/>
  <c r="W336" i="38"/>
  <c r="R68" i="38"/>
  <c r="W68" i="38"/>
  <c r="R170" i="38"/>
  <c r="W170" i="38"/>
  <c r="R236" i="38"/>
  <c r="W236" i="38"/>
  <c r="R186" i="38"/>
  <c r="W186" i="38"/>
  <c r="R291" i="38"/>
  <c r="W291" i="38"/>
  <c r="R228" i="38"/>
  <c r="W228" i="38"/>
  <c r="R239" i="38"/>
  <c r="W239" i="38"/>
  <c r="R290" i="38"/>
  <c r="W290" i="38"/>
  <c r="R111" i="38"/>
  <c r="W111" i="38"/>
  <c r="R42" i="38"/>
  <c r="W42" i="38"/>
  <c r="R136" i="38"/>
  <c r="W136" i="38"/>
  <c r="R149" i="38"/>
  <c r="W149" i="38"/>
  <c r="R153" i="38"/>
  <c r="W153" i="38"/>
  <c r="R203" i="38"/>
  <c r="W203" i="38"/>
  <c r="R37" i="38"/>
  <c r="W37" i="38"/>
  <c r="R233" i="38"/>
  <c r="W233" i="38"/>
  <c r="R247" i="38"/>
  <c r="W247" i="38"/>
  <c r="R17" i="38"/>
  <c r="W17" i="38"/>
  <c r="R65" i="38"/>
  <c r="W65" i="38"/>
  <c r="R241" i="38"/>
  <c r="W241" i="38"/>
  <c r="R43" i="38"/>
  <c r="W43" i="38"/>
  <c r="R174" i="38"/>
  <c r="W174" i="38"/>
  <c r="R140" i="38"/>
  <c r="W140" i="38"/>
  <c r="R141" i="38"/>
  <c r="W141" i="38"/>
  <c r="R94" i="38"/>
  <c r="W94" i="38"/>
  <c r="R332" i="38"/>
  <c r="W332" i="38"/>
  <c r="R105" i="38"/>
  <c r="W105" i="38"/>
  <c r="R253" i="38"/>
  <c r="W253" i="38"/>
  <c r="R139" i="38"/>
  <c r="W139" i="38"/>
  <c r="R250" i="38"/>
  <c r="W250" i="38"/>
  <c r="R33" i="38"/>
  <c r="W33" i="38"/>
  <c r="R279" i="38"/>
  <c r="W279" i="38"/>
  <c r="R210" i="38"/>
  <c r="W210" i="38"/>
  <c r="R299" i="38"/>
  <c r="W299" i="38"/>
  <c r="R183" i="38"/>
  <c r="W183" i="38"/>
  <c r="R13" i="38"/>
  <c r="W13" i="38"/>
  <c r="R184" i="38"/>
  <c r="W184" i="38"/>
  <c r="R16" i="38"/>
  <c r="W16" i="38"/>
  <c r="R45" i="38"/>
  <c r="W45" i="38"/>
  <c r="R326" i="38"/>
  <c r="W326" i="38"/>
  <c r="R8" i="38"/>
  <c r="W8" i="38"/>
  <c r="R131" i="38"/>
  <c r="W131" i="38"/>
  <c r="R213" i="38"/>
  <c r="W213" i="38"/>
  <c r="R70" i="38"/>
  <c r="W70" i="38"/>
  <c r="R281" i="38"/>
  <c r="W281" i="38"/>
  <c r="R142" i="38"/>
  <c r="W142" i="38"/>
  <c r="R328" i="38"/>
  <c r="W328" i="38"/>
  <c r="R263" i="38"/>
  <c r="W263" i="38"/>
  <c r="R74" i="38"/>
  <c r="W74" i="38"/>
  <c r="R173" i="38"/>
  <c r="W173" i="38"/>
  <c r="R84" i="38"/>
  <c r="W84" i="38"/>
  <c r="R138" i="38"/>
  <c r="W138" i="38"/>
  <c r="R231" i="38"/>
  <c r="W231" i="38"/>
  <c r="R32" i="38"/>
  <c r="W32" i="38"/>
  <c r="R93" i="38"/>
  <c r="W93" i="38"/>
  <c r="R73" i="38"/>
  <c r="W73" i="38"/>
  <c r="R180" i="38"/>
  <c r="W180" i="38"/>
  <c r="R103" i="38"/>
  <c r="W103" i="38"/>
  <c r="R161" i="38"/>
  <c r="W161" i="38"/>
  <c r="R278" i="38"/>
  <c r="W278" i="38"/>
  <c r="R265" i="38"/>
  <c r="W265" i="38"/>
  <c r="R367" i="38"/>
  <c r="W367" i="38"/>
  <c r="R314" i="38"/>
  <c r="W314" i="38"/>
  <c r="R86" i="38"/>
  <c r="W86" i="38"/>
  <c r="R167" i="38"/>
  <c r="W167" i="38"/>
  <c r="R155" i="38"/>
  <c r="W155" i="38"/>
  <c r="R204" i="38"/>
  <c r="W204" i="38"/>
  <c r="R165" i="38"/>
  <c r="W165" i="38"/>
  <c r="R356" i="38"/>
  <c r="W356" i="38"/>
  <c r="R198" i="38"/>
  <c r="W198" i="38"/>
  <c r="R23" i="38"/>
  <c r="W23" i="38"/>
  <c r="R330" i="38"/>
  <c r="W330" i="38"/>
  <c r="R215" i="38"/>
  <c r="W215" i="38"/>
  <c r="R118" i="38"/>
  <c r="W118" i="38"/>
  <c r="R129" i="38"/>
  <c r="W129" i="38"/>
  <c r="R317" i="38"/>
  <c r="W317" i="38"/>
  <c r="R47" i="38"/>
  <c r="W47" i="38"/>
  <c r="R22" i="38"/>
  <c r="W22" i="38"/>
  <c r="R318" i="38"/>
  <c r="W318" i="38"/>
  <c r="R143" i="38"/>
  <c r="W143" i="38"/>
  <c r="R120" i="38"/>
  <c r="W120" i="38"/>
  <c r="R321" i="38"/>
  <c r="W321" i="38"/>
  <c r="R271" i="38"/>
  <c r="W271" i="38"/>
  <c r="R182" i="38"/>
  <c r="W182" i="38"/>
  <c r="R189" i="38"/>
  <c r="W189" i="38"/>
  <c r="R114" i="38"/>
  <c r="W114" i="38"/>
  <c r="R222" i="38"/>
  <c r="W222" i="38"/>
  <c r="R80" i="38"/>
  <c r="W80" i="38"/>
  <c r="R79" i="38"/>
  <c r="W79" i="38"/>
  <c r="R249" i="38"/>
  <c r="W249" i="38"/>
  <c r="R312" i="38"/>
  <c r="W312" i="38"/>
  <c r="R355" i="38"/>
  <c r="W355" i="38"/>
  <c r="R159" i="38"/>
  <c r="W159" i="38"/>
  <c r="G11" i="9"/>
  <c r="O142" i="38"/>
  <c r="O74" i="38"/>
  <c r="O349" i="38"/>
  <c r="O152" i="38"/>
  <c r="O53" i="38"/>
  <c r="O91" i="38"/>
  <c r="O188" i="38"/>
  <c r="O287" i="38"/>
  <c r="O168" i="38"/>
  <c r="O307" i="38"/>
  <c r="O217" i="38"/>
  <c r="O50" i="38"/>
  <c r="O301" i="38"/>
  <c r="O156" i="38"/>
  <c r="O75" i="38"/>
  <c r="O313" i="38"/>
  <c r="O69" i="38"/>
  <c r="O308" i="38"/>
  <c r="O164" i="38"/>
  <c r="O277" i="38"/>
  <c r="O135" i="38"/>
  <c r="O300" i="38"/>
  <c r="O115" i="38"/>
  <c r="O175" i="38"/>
  <c r="O237" i="38"/>
  <c r="O44" i="38"/>
  <c r="O193" i="38"/>
  <c r="O235" i="38"/>
  <c r="O88" i="38"/>
  <c r="O200" i="38"/>
  <c r="O304" i="38"/>
  <c r="O310" i="38"/>
  <c r="O14" i="38"/>
  <c r="O223" i="38"/>
  <c r="O154" i="38"/>
  <c r="O350" i="38"/>
  <c r="O128" i="38"/>
  <c r="O25" i="38"/>
  <c r="O55" i="38"/>
  <c r="O293" i="38"/>
  <c r="O11" i="38"/>
  <c r="O248" i="38"/>
  <c r="O214" i="38"/>
  <c r="O63" i="38"/>
  <c r="O54" i="38"/>
  <c r="O7" i="38"/>
  <c r="O52" i="38"/>
  <c r="O276" i="38"/>
  <c r="O227" i="38"/>
  <c r="O57" i="38"/>
  <c r="O62" i="38"/>
  <c r="O178" i="38"/>
  <c r="O262" i="38"/>
  <c r="O36" i="38"/>
  <c r="O60" i="38"/>
  <c r="O166" i="38"/>
  <c r="O162" i="38"/>
  <c r="O359" i="38"/>
  <c r="O218" i="38"/>
  <c r="O272" i="38"/>
  <c r="O21" i="38"/>
  <c r="O90" i="38"/>
  <c r="O329" i="38"/>
  <c r="O311" i="38"/>
  <c r="O194" i="38"/>
  <c r="O347" i="38"/>
  <c r="O19" i="38"/>
  <c r="O38" i="38"/>
  <c r="O256" i="38"/>
  <c r="O71" i="38"/>
  <c r="O171" i="38"/>
  <c r="O322" i="38"/>
  <c r="O243" i="38"/>
  <c r="O89" i="38"/>
  <c r="O83" i="38"/>
  <c r="O126" i="38"/>
  <c r="O334" i="38"/>
  <c r="O108" i="38"/>
  <c r="O283" i="38"/>
  <c r="O305" i="38"/>
  <c r="O85" i="38"/>
  <c r="O119" i="38"/>
  <c r="O113" i="38"/>
  <c r="O254" i="38"/>
  <c r="O202" i="38"/>
  <c r="O364" i="38"/>
  <c r="O59" i="38"/>
  <c r="O354" i="38"/>
  <c r="O199" i="38"/>
  <c r="O264" i="38"/>
  <c r="O185" i="38"/>
  <c r="O110" i="38"/>
  <c r="O144" i="38"/>
  <c r="O289" i="38"/>
  <c r="O157" i="38"/>
  <c r="O24" i="38"/>
  <c r="O285" i="38"/>
  <c r="O234" i="38"/>
  <c r="O209" i="38"/>
  <c r="O48" i="38"/>
  <c r="O76" i="38"/>
  <c r="O205" i="38"/>
  <c r="O343" i="38"/>
  <c r="O78" i="38"/>
  <c r="O266" i="38"/>
  <c r="O100" i="38"/>
  <c r="O6" i="38"/>
  <c r="O268" i="38"/>
  <c r="O102" i="38"/>
  <c r="O35" i="38"/>
  <c r="O288" i="38"/>
  <c r="O348" i="38"/>
  <c r="O46" i="38"/>
  <c r="O10" i="38"/>
  <c r="O269" i="38"/>
  <c r="O369" i="38"/>
  <c r="O315" i="38"/>
  <c r="O95" i="38"/>
  <c r="O351" i="38"/>
  <c r="O226" i="38"/>
  <c r="O177" i="38"/>
  <c r="O87" i="38"/>
  <c r="O137" i="38"/>
  <c r="O106" i="38"/>
  <c r="O58" i="38"/>
  <c r="O212" i="38"/>
  <c r="O130" i="38"/>
  <c r="O96" i="38"/>
  <c r="O29" i="38"/>
  <c r="O274" i="38"/>
  <c r="O112" i="38"/>
  <c r="O306" i="38"/>
  <c r="O81" i="38"/>
  <c r="O39" i="38"/>
  <c r="O169" i="38"/>
  <c r="O121" i="38"/>
  <c r="O181" i="38"/>
  <c r="O224" i="38"/>
  <c r="O123" i="38"/>
  <c r="O336" i="38"/>
  <c r="O68" i="38"/>
  <c r="O246" i="38"/>
  <c r="O352" i="38"/>
  <c r="O127" i="38"/>
  <c r="O252" i="38"/>
  <c r="O240" i="38"/>
  <c r="O261" i="38"/>
  <c r="O244" i="38"/>
  <c r="O220" i="38"/>
  <c r="O324" i="38"/>
  <c r="O368" i="38"/>
  <c r="O170" i="38"/>
  <c r="O236" i="38"/>
  <c r="O186" i="38"/>
  <c r="O291" i="38"/>
  <c r="O228" i="38"/>
  <c r="O239" i="38"/>
  <c r="O290" i="38"/>
  <c r="O111" i="38"/>
  <c r="O42" i="38"/>
  <c r="O136" i="38"/>
  <c r="O149" i="38"/>
  <c r="O153" i="38"/>
  <c r="O203" i="38"/>
  <c r="O37" i="38"/>
  <c r="O233" i="38"/>
  <c r="O247" i="38"/>
  <c r="O17" i="38"/>
  <c r="O65" i="38"/>
  <c r="O241" i="38"/>
  <c r="O43" i="38"/>
  <c r="O174" i="38"/>
  <c r="O140" i="38"/>
  <c r="O141" i="38"/>
  <c r="O332" i="38"/>
  <c r="O105" i="38"/>
  <c r="O253" i="38"/>
  <c r="O139" i="38"/>
  <c r="O250" i="38"/>
  <c r="O33" i="38"/>
  <c r="O263" i="38"/>
  <c r="O173" i="38"/>
  <c r="O84" i="38"/>
  <c r="O138" i="38"/>
  <c r="O231" i="38"/>
  <c r="O32" i="38"/>
  <c r="O93" i="38"/>
  <c r="O73" i="38"/>
  <c r="O180" i="38"/>
  <c r="O103" i="38"/>
  <c r="O161" i="38"/>
  <c r="O278" i="38"/>
  <c r="O265" i="38"/>
  <c r="O367" i="38"/>
  <c r="O314" i="38"/>
  <c r="O86" i="38"/>
  <c r="O167" i="38"/>
  <c r="O155" i="38"/>
  <c r="O204" i="38"/>
  <c r="O165" i="38"/>
  <c r="O356" i="38"/>
  <c r="O198" i="38"/>
  <c r="O23" i="38"/>
  <c r="O330" i="38"/>
  <c r="O215" i="38"/>
  <c r="O118" i="38"/>
  <c r="O129" i="38"/>
  <c r="O317" i="38"/>
  <c r="O47" i="38"/>
  <c r="O22" i="38"/>
  <c r="O318" i="38"/>
  <c r="O143" i="38"/>
  <c r="O120" i="38"/>
  <c r="O321" i="38"/>
  <c r="O271" i="38"/>
  <c r="O182" i="38"/>
  <c r="O189" i="38"/>
  <c r="O114" i="38"/>
  <c r="O222" i="38"/>
  <c r="O80" i="38"/>
  <c r="O79" i="38"/>
  <c r="O279" i="38"/>
  <c r="O210" i="38"/>
  <c r="O299" i="38"/>
  <c r="O183" i="38"/>
  <c r="O13" i="38"/>
  <c r="O184" i="38"/>
  <c r="O16" i="38"/>
  <c r="O45" i="38"/>
  <c r="O8" i="38"/>
  <c r="O131" i="38"/>
  <c r="O213" i="38"/>
  <c r="O70" i="38"/>
  <c r="O249" i="38"/>
  <c r="O245" i="38"/>
  <c r="O9" i="38"/>
  <c r="O61" i="38"/>
  <c r="O286" i="38"/>
  <c r="O282" i="38"/>
  <c r="O366" i="38"/>
  <c r="O124" i="38"/>
  <c r="O133" i="38"/>
  <c r="O319" i="38"/>
  <c r="O363" i="38"/>
  <c r="O309" i="38"/>
  <c r="O30" i="38"/>
  <c r="O134" i="38"/>
  <c r="O280" i="38"/>
  <c r="O344" i="38"/>
  <c r="O190" i="38"/>
  <c r="O41" i="38"/>
  <c r="O296" i="38"/>
  <c r="O303" i="38"/>
  <c r="O255" i="38"/>
  <c r="O358" i="38"/>
  <c r="O148" i="38"/>
  <c r="O232" i="38"/>
  <c r="O273" i="38"/>
  <c r="O257" i="38"/>
  <c r="O341" i="38"/>
  <c r="O179" i="38"/>
  <c r="O298" i="38"/>
  <c r="O146" i="38"/>
  <c r="O292" i="38"/>
  <c r="O26" i="38"/>
  <c r="O97" i="38"/>
  <c r="O34" i="38"/>
  <c r="O353" i="38"/>
  <c r="O107" i="38"/>
  <c r="O297" i="38"/>
  <c r="O331" i="38"/>
  <c r="O229" i="38"/>
  <c r="O219" i="38"/>
  <c r="O187" i="38"/>
  <c r="O125" i="38"/>
  <c r="O312" i="38"/>
  <c r="O326" i="38"/>
  <c r="O270" i="38"/>
  <c r="O82" i="38"/>
  <c r="O160" i="38"/>
  <c r="O31" i="38"/>
  <c r="O295" i="38"/>
  <c r="O195" i="38"/>
  <c r="O230" i="38"/>
  <c r="O284" i="38"/>
  <c r="O192" i="38"/>
  <c r="O163" i="38"/>
  <c r="O207" i="38"/>
  <c r="O20" i="38"/>
  <c r="O221" i="38"/>
  <c r="O258" i="38"/>
  <c r="O225" i="38"/>
  <c r="O51" i="38"/>
  <c r="O197" i="38"/>
  <c r="O201" i="38"/>
  <c r="O28" i="38"/>
  <c r="O145" i="38"/>
  <c r="O72" i="38"/>
  <c r="O150" i="38"/>
  <c r="O18" i="38"/>
  <c r="O151" i="38"/>
  <c r="O211" i="38"/>
  <c r="O158" i="38"/>
  <c r="O206" i="38"/>
  <c r="O302" i="38"/>
  <c r="O327" i="38"/>
  <c r="O333" i="38"/>
  <c r="O216" i="38"/>
  <c r="O340" i="38"/>
  <c r="O98" i="38"/>
  <c r="O92" i="38"/>
  <c r="O208" i="38"/>
  <c r="O116" i="38"/>
  <c r="O117" i="38"/>
  <c r="O109" i="38"/>
  <c r="O238" i="38"/>
  <c r="O323" i="38"/>
  <c r="O320" i="38"/>
  <c r="O27" i="38"/>
  <c r="O345" i="38"/>
  <c r="O101" i="38"/>
  <c r="O99" i="38"/>
  <c r="O281" i="38"/>
  <c r="O328" i="38"/>
  <c r="O64" i="38"/>
  <c r="O335" i="38"/>
  <c r="O176" i="38"/>
  <c r="O251" i="38"/>
  <c r="O67" i="38"/>
  <c r="O362" i="38"/>
  <c r="O147" i="38"/>
  <c r="O361" i="38"/>
  <c r="O360" i="38"/>
  <c r="O339" i="38"/>
  <c r="O316" i="38"/>
  <c r="O260" i="38"/>
  <c r="O338" i="38"/>
  <c r="O132" i="38"/>
  <c r="O40" i="38"/>
  <c r="O275" i="38"/>
  <c r="O267" i="38"/>
  <c r="O56" i="38"/>
  <c r="O196" i="38"/>
  <c r="O346" i="38"/>
  <c r="O259" i="38"/>
  <c r="O342" i="38"/>
  <c r="O242" i="38"/>
  <c r="O66" i="38"/>
  <c r="O357" i="38"/>
  <c r="O104" i="38"/>
  <c r="O12" i="38"/>
  <c r="O337" i="38"/>
  <c r="O325" i="38"/>
  <c r="O122" i="38"/>
  <c r="O294" i="38"/>
  <c r="O172" i="38"/>
  <c r="O77" i="38"/>
  <c r="O191" i="38"/>
  <c r="O365" i="38"/>
  <c r="O355" i="38"/>
  <c r="O159" i="38"/>
  <c r="AS339" i="38"/>
  <c r="AS66" i="38"/>
  <c r="AS249" i="38"/>
  <c r="AS219" i="38"/>
  <c r="AM12" i="39" s="1"/>
  <c r="AS35" i="38"/>
  <c r="AS127" i="38"/>
  <c r="AS158" i="38"/>
  <c r="AM10" i="39" s="1"/>
  <c r="AS311" i="38"/>
  <c r="AS188" i="38"/>
  <c r="AS280" i="38"/>
  <c r="AS96" i="38"/>
  <c r="AM8" i="39" s="1"/>
  <c r="F4" i="8"/>
  <c r="D11" i="9"/>
  <c r="D26" i="9" s="1"/>
  <c r="D14" i="9"/>
  <c r="D4" i="8"/>
  <c r="D10" i="7"/>
  <c r="N10" i="7" s="1"/>
  <c r="O4" i="7"/>
  <c r="U309" i="38"/>
  <c r="U186" i="38"/>
  <c r="U183" i="38"/>
  <c r="U221" i="38"/>
  <c r="U359" i="38"/>
  <c r="U273" i="38"/>
  <c r="U218" i="38"/>
  <c r="U8" i="38"/>
  <c r="U234" i="38"/>
  <c r="U240" i="38"/>
  <c r="U163" i="38"/>
  <c r="U314" i="38"/>
  <c r="U86" i="38"/>
  <c r="U167" i="38"/>
  <c r="U59" i="38"/>
  <c r="U252" i="38"/>
  <c r="U225" i="38"/>
  <c r="U211" i="38"/>
  <c r="U56" i="38"/>
  <c r="U65" i="38"/>
  <c r="U182" i="38"/>
  <c r="U125" i="38"/>
  <c r="U7" i="38"/>
  <c r="U9" i="38"/>
  <c r="U349" i="38"/>
  <c r="U254" i="38"/>
  <c r="U361" i="38"/>
  <c r="U155" i="38"/>
  <c r="U202" i="38"/>
  <c r="U279" i="38"/>
  <c r="U210" i="38"/>
  <c r="U299" i="38"/>
  <c r="U42" i="38"/>
  <c r="U95" i="38"/>
  <c r="U226" i="38"/>
  <c r="U53" i="38"/>
  <c r="U199" i="38"/>
  <c r="U60" i="38"/>
  <c r="U275" i="38"/>
  <c r="U212" i="38"/>
  <c r="U158" i="38"/>
  <c r="U358" i="38"/>
  <c r="U110" i="38"/>
  <c r="U193" i="38"/>
  <c r="U149" i="38"/>
  <c r="U259" i="38"/>
  <c r="U244" i="38"/>
  <c r="U251" i="38"/>
  <c r="U142" i="38"/>
  <c r="U318" i="38"/>
  <c r="U39" i="38"/>
  <c r="U48" i="38"/>
  <c r="U173" i="38"/>
  <c r="U174" i="38"/>
  <c r="U171" i="38"/>
  <c r="U294" i="38"/>
  <c r="U293" i="38"/>
  <c r="U345" i="38"/>
  <c r="U101" i="38"/>
  <c r="U365" i="38"/>
  <c r="U54" i="38"/>
  <c r="U100" i="38"/>
  <c r="U133" i="38"/>
  <c r="U152" i="38"/>
  <c r="U177" i="38"/>
  <c r="U272" i="38"/>
  <c r="U28" i="38"/>
  <c r="U45" i="38"/>
  <c r="U166" i="38"/>
  <c r="U367" i="38"/>
  <c r="U82" i="38"/>
  <c r="U290" i="38"/>
  <c r="U111" i="38"/>
  <c r="U315" i="38"/>
  <c r="U40" i="38"/>
  <c r="U237" i="38"/>
  <c r="U151" i="38"/>
  <c r="U162" i="38"/>
  <c r="U116" i="38"/>
  <c r="D4" i="7"/>
  <c r="U263" i="38"/>
  <c r="U320" i="38"/>
  <c r="U43" i="38"/>
  <c r="U84" i="38"/>
  <c r="U224" i="38"/>
  <c r="U123" i="38"/>
  <c r="U77" i="38"/>
  <c r="U195" i="38"/>
  <c r="U217" i="38"/>
  <c r="U114" i="38"/>
  <c r="U316" i="38"/>
  <c r="U30" i="38"/>
  <c r="U134" i="38"/>
  <c r="U308" i="38"/>
  <c r="U91" i="38"/>
  <c r="U106" i="38"/>
  <c r="U300" i="38"/>
  <c r="U136" i="38"/>
  <c r="U44" i="38"/>
  <c r="U196" i="38"/>
  <c r="U346" i="38"/>
  <c r="U216" i="38"/>
  <c r="U153" i="38"/>
  <c r="U90" i="38"/>
  <c r="U146" i="38"/>
  <c r="U220" i="38"/>
  <c r="U143" i="38"/>
  <c r="U189" i="38"/>
  <c r="U362" i="38"/>
  <c r="U138" i="38"/>
  <c r="U25" i="38"/>
  <c r="U288" i="38"/>
  <c r="U191" i="38"/>
  <c r="U355" i="38"/>
  <c r="U246" i="38"/>
  <c r="U83" i="38"/>
  <c r="U6" i="38"/>
  <c r="U354" i="38"/>
  <c r="U280" i="38"/>
  <c r="U276" i="38"/>
  <c r="AS6" i="38"/>
  <c r="AM5" i="39" s="1"/>
  <c r="U227" i="38"/>
  <c r="U11" i="38"/>
  <c r="U170" i="38"/>
  <c r="U296" i="38"/>
  <c r="U242" i="38"/>
  <c r="U154" i="38"/>
  <c r="U120" i="38"/>
  <c r="U321" i="38"/>
  <c r="U12" i="38"/>
  <c r="U229" i="38"/>
  <c r="U219" i="38"/>
  <c r="U307" i="38"/>
  <c r="U343" i="38"/>
  <c r="U248" i="38"/>
  <c r="U214" i="38"/>
  <c r="U99" i="38"/>
  <c r="U360" i="38"/>
  <c r="U356" i="38"/>
  <c r="U164" i="38"/>
  <c r="U344" i="38"/>
  <c r="U264" i="38"/>
  <c r="U292" i="38"/>
  <c r="U213" i="38"/>
  <c r="U70" i="38"/>
  <c r="U157" i="38"/>
  <c r="U353" i="38"/>
  <c r="U306" i="38"/>
  <c r="U295" i="38"/>
  <c r="U324" i="38"/>
  <c r="U187" i="38"/>
  <c r="U231" i="38"/>
  <c r="U368" i="38"/>
  <c r="U305" i="38"/>
  <c r="U348" i="38"/>
  <c r="U89" i="38"/>
  <c r="U50" i="38"/>
  <c r="U79" i="38"/>
  <c r="U96" i="38"/>
  <c r="U188" i="38"/>
  <c r="U342" i="38"/>
  <c r="U287" i="38"/>
  <c r="U204" i="38"/>
  <c r="U190" i="38"/>
  <c r="U145" i="38"/>
  <c r="U257" i="38"/>
  <c r="U233" i="38"/>
  <c r="U22" i="38"/>
  <c r="U109" i="38"/>
  <c r="U347" i="38"/>
  <c r="U241" i="38"/>
  <c r="U19" i="38"/>
  <c r="U337" i="38"/>
  <c r="U336" i="38"/>
  <c r="U243" i="38"/>
  <c r="U278" i="38"/>
  <c r="U23" i="38"/>
  <c r="U150" i="38"/>
  <c r="U303" i="38"/>
  <c r="U160" i="38"/>
  <c r="U21" i="38"/>
  <c r="U117" i="38"/>
  <c r="U283" i="38"/>
  <c r="U46" i="38"/>
  <c r="U250" i="38"/>
  <c r="U245" i="38"/>
  <c r="U119" i="38"/>
  <c r="U269" i="38"/>
  <c r="U178" i="38"/>
  <c r="U36" i="38"/>
  <c r="U41" i="38"/>
  <c r="U277" i="38"/>
  <c r="U18" i="38"/>
  <c r="U232" i="38"/>
  <c r="U310" i="38"/>
  <c r="U14" i="38"/>
  <c r="U223" i="38"/>
  <c r="U92" i="38"/>
  <c r="U97" i="38"/>
  <c r="U47" i="38"/>
  <c r="U329" i="38"/>
  <c r="U247" i="38"/>
  <c r="U209" i="38"/>
  <c r="U74" i="38"/>
  <c r="U169" i="38"/>
  <c r="U94" i="38"/>
  <c r="U332" i="38"/>
  <c r="U68" i="38"/>
  <c r="U33" i="38"/>
  <c r="U51" i="38"/>
  <c r="U131" i="38"/>
  <c r="U311" i="38"/>
  <c r="U27" i="38"/>
  <c r="U338" i="38"/>
  <c r="U201" i="38"/>
  <c r="U132" i="38"/>
  <c r="U304" i="38"/>
  <c r="U203" i="38"/>
  <c r="U144" i="38"/>
  <c r="U88" i="38"/>
  <c r="U298" i="38"/>
  <c r="U334" i="38"/>
  <c r="U24" i="38"/>
  <c r="U312" i="38"/>
  <c r="U62" i="38"/>
  <c r="U206" i="38"/>
  <c r="U282" i="38"/>
  <c r="U29" i="38"/>
  <c r="U350" i="38"/>
  <c r="U93" i="38"/>
  <c r="U266" i="38"/>
  <c r="U352" i="38"/>
  <c r="U363" i="38"/>
  <c r="U85" i="38"/>
  <c r="U75" i="38"/>
  <c r="U64" i="38"/>
  <c r="U301" i="38"/>
  <c r="U147" i="38"/>
  <c r="U284" i="38"/>
  <c r="U192" i="38"/>
  <c r="U265" i="38"/>
  <c r="U291" i="38"/>
  <c r="U228" i="38"/>
  <c r="U262" i="38"/>
  <c r="U268" i="38"/>
  <c r="U313" i="38"/>
  <c r="U69" i="38"/>
  <c r="U184" i="38"/>
  <c r="U198" i="38"/>
  <c r="U87" i="38"/>
  <c r="U115" i="38"/>
  <c r="U118" i="38"/>
  <c r="U129" i="38"/>
  <c r="U281" i="38"/>
  <c r="U108" i="38"/>
  <c r="U366" i="38"/>
  <c r="U31" i="38"/>
  <c r="U328" i="38"/>
  <c r="U238" i="38"/>
  <c r="U323" i="38"/>
  <c r="U271" i="38"/>
  <c r="U256" i="38"/>
  <c r="U32" i="38"/>
  <c r="U105" i="38"/>
  <c r="U253" i="38"/>
  <c r="U139" i="38"/>
  <c r="U103" i="38"/>
  <c r="U159" i="38"/>
  <c r="U249" i="38"/>
  <c r="U207" i="38"/>
  <c r="U235" i="38"/>
  <c r="U55" i="38"/>
  <c r="U236" i="38"/>
  <c r="U197" i="38"/>
  <c r="U330" i="38"/>
  <c r="U35" i="38"/>
  <c r="U194" i="38"/>
  <c r="U319" i="38"/>
  <c r="U13" i="38"/>
  <c r="U58" i="38"/>
  <c r="U179" i="38"/>
  <c r="U98" i="38"/>
  <c r="U357" i="38"/>
  <c r="U78" i="38"/>
  <c r="U63" i="38"/>
  <c r="U270" i="38"/>
  <c r="U258" i="38"/>
  <c r="U326" i="38"/>
  <c r="U148" i="38"/>
  <c r="U200" i="38"/>
  <c r="U274" i="38"/>
  <c r="U38" i="38"/>
  <c r="U141" i="38"/>
  <c r="U113" i="38"/>
  <c r="U239" i="38"/>
  <c r="U369" i="38"/>
  <c r="U364" i="38"/>
  <c r="U126" i="38"/>
  <c r="U52" i="38"/>
  <c r="U137" i="38"/>
  <c r="U175" i="38"/>
  <c r="U15" i="38"/>
  <c r="U302" i="38"/>
  <c r="U130" i="38"/>
  <c r="U208" i="38"/>
  <c r="U107" i="38"/>
  <c r="U17" i="38"/>
  <c r="U104" i="38"/>
  <c r="U168" i="38"/>
  <c r="U76" i="38"/>
  <c r="U121" i="38"/>
  <c r="U205" i="38"/>
  <c r="U71" i="38"/>
  <c r="U172" i="38"/>
  <c r="U73" i="38"/>
  <c r="U180" i="38"/>
  <c r="U124" i="38"/>
  <c r="U80" i="38"/>
  <c r="U102" i="38"/>
  <c r="U176" i="38"/>
  <c r="U260" i="38"/>
  <c r="U161" i="38"/>
  <c r="U267" i="38"/>
  <c r="U286" i="38"/>
  <c r="U341" i="38"/>
  <c r="U37" i="38"/>
  <c r="U140" i="38"/>
  <c r="U322" i="38"/>
  <c r="U20" i="38"/>
  <c r="U351" i="38"/>
  <c r="U61" i="38"/>
  <c r="U72" i="38"/>
  <c r="U185" i="38"/>
  <c r="U340" i="38"/>
  <c r="U66" i="38"/>
  <c r="U26" i="38"/>
  <c r="U81" i="38"/>
  <c r="U325" i="38"/>
  <c r="U156" i="38"/>
  <c r="U10" i="38"/>
  <c r="U57" i="38"/>
  <c r="U127" i="38"/>
  <c r="U339" i="38"/>
  <c r="U335" i="38"/>
  <c r="U165" i="38"/>
  <c r="U16" i="38"/>
  <c r="U49" i="38"/>
  <c r="U135" i="38"/>
  <c r="U215" i="38"/>
  <c r="U261" i="38"/>
  <c r="U255" i="38"/>
  <c r="U327" i="38"/>
  <c r="U317" i="38"/>
  <c r="U289" i="38"/>
  <c r="U333" i="38"/>
  <c r="U34" i="38"/>
  <c r="U112" i="38"/>
  <c r="U285" i="38"/>
  <c r="U67" i="38"/>
  <c r="U297" i="38"/>
  <c r="U128" i="38"/>
  <c r="U331" i="38"/>
  <c r="U181" i="38"/>
  <c r="U122" i="38"/>
  <c r="U230" i="38"/>
  <c r="U222" i="38"/>
  <c r="B339" i="30"/>
  <c r="D338" i="30"/>
  <c r="G338" i="30"/>
  <c r="H338" i="30" s="1"/>
  <c r="C338" i="30"/>
  <c r="B340" i="32"/>
  <c r="C339" i="32"/>
  <c r="D339" i="32"/>
  <c r="G339" i="32"/>
  <c r="H339" i="32" s="1"/>
  <c r="AM9" i="39" l="1"/>
  <c r="AA6" i="39"/>
  <c r="AA10" i="39"/>
  <c r="AA8" i="39"/>
  <c r="AA9" i="39"/>
  <c r="AA7" i="39"/>
  <c r="AA5" i="39"/>
  <c r="AA11" i="39"/>
  <c r="AN5" i="39"/>
  <c r="AM13" i="39"/>
  <c r="AM6" i="39"/>
  <c r="AM7" i="39"/>
  <c r="AM11" i="39"/>
  <c r="N4" i="7"/>
  <c r="H4" i="8"/>
  <c r="R12" i="39"/>
  <c r="U12" i="39"/>
  <c r="U13" i="39"/>
  <c r="X13" i="39" s="1"/>
  <c r="R13" i="39"/>
  <c r="AA13" i="39"/>
  <c r="AA12" i="39"/>
  <c r="D17" i="9"/>
  <c r="D23" i="9"/>
  <c r="J10" i="7"/>
  <c r="J4" i="8"/>
  <c r="J4" i="7"/>
  <c r="B340" i="30"/>
  <c r="C339" i="30"/>
  <c r="G339" i="30"/>
  <c r="H339" i="30" s="1"/>
  <c r="D339" i="30"/>
  <c r="B341" i="32"/>
  <c r="C340" i="32"/>
  <c r="D340" i="32"/>
  <c r="G340" i="32"/>
  <c r="H340" i="32" s="1"/>
  <c r="AN12" i="39" l="1"/>
  <c r="AN13" i="39"/>
  <c r="AN8" i="39"/>
  <c r="AN9" i="39"/>
  <c r="AN7" i="39"/>
  <c r="AN10" i="39"/>
  <c r="AN11" i="39"/>
  <c r="AN6" i="39"/>
  <c r="N4" i="8"/>
  <c r="C39" i="9"/>
  <c r="C40" i="9"/>
  <c r="X12" i="39"/>
  <c r="V12" i="39"/>
  <c r="Y12" i="39" s="1"/>
  <c r="V13" i="39"/>
  <c r="Y13" i="39" s="1"/>
  <c r="S12" i="39"/>
  <c r="S13" i="39"/>
  <c r="H11" i="9"/>
  <c r="E4" i="7"/>
  <c r="G4" i="7" s="1"/>
  <c r="C4" i="7"/>
  <c r="B341" i="30"/>
  <c r="C340" i="30"/>
  <c r="G340" i="30"/>
  <c r="H340" i="30" s="1"/>
  <c r="D340" i="30"/>
  <c r="B342" i="32"/>
  <c r="D341" i="32"/>
  <c r="C341" i="32"/>
  <c r="G341" i="32"/>
  <c r="H341" i="32" s="1"/>
  <c r="I11" i="9" l="1"/>
  <c r="C4" i="8"/>
  <c r="G4" i="8"/>
  <c r="E4" i="8"/>
  <c r="B342" i="30"/>
  <c r="C341" i="30"/>
  <c r="G341" i="30"/>
  <c r="H341" i="30" s="1"/>
  <c r="D341" i="30"/>
  <c r="B343" i="32"/>
  <c r="C342" i="32"/>
  <c r="D342" i="32"/>
  <c r="G342" i="32"/>
  <c r="H342" i="32" s="1"/>
  <c r="B343" i="30" l="1"/>
  <c r="C342" i="30"/>
  <c r="G342" i="30"/>
  <c r="H342" i="30" s="1"/>
  <c r="D342" i="30"/>
  <c r="B344" i="32"/>
  <c r="D343" i="32"/>
  <c r="G343" i="32"/>
  <c r="H343" i="32" s="1"/>
  <c r="C343" i="32"/>
  <c r="B344" i="30" l="1"/>
  <c r="C343" i="30"/>
  <c r="G343" i="30"/>
  <c r="H343" i="30" s="1"/>
  <c r="D343" i="30"/>
  <c r="B345" i="32"/>
  <c r="C344" i="32"/>
  <c r="D344" i="32"/>
  <c r="G344" i="32"/>
  <c r="H344" i="32" s="1"/>
  <c r="B345" i="30" l="1"/>
  <c r="D344" i="30"/>
  <c r="G344" i="30"/>
  <c r="H344" i="30" s="1"/>
  <c r="C344" i="30"/>
  <c r="B346" i="32"/>
  <c r="G345" i="32"/>
  <c r="H345" i="32" s="1"/>
  <c r="C345" i="32"/>
  <c r="D345" i="32"/>
  <c r="B346" i="30" l="1"/>
  <c r="D345" i="30"/>
  <c r="G345" i="30"/>
  <c r="H345" i="30" s="1"/>
  <c r="C345" i="30"/>
  <c r="B347" i="32"/>
  <c r="C346" i="32"/>
  <c r="D346" i="32"/>
  <c r="G346" i="32"/>
  <c r="H346" i="32" s="1"/>
  <c r="B347" i="30" l="1"/>
  <c r="C346" i="30"/>
  <c r="G346" i="30"/>
  <c r="H346" i="30" s="1"/>
  <c r="D346" i="30"/>
  <c r="B348" i="32"/>
  <c r="D347" i="32"/>
  <c r="G347" i="32"/>
  <c r="H347" i="32" s="1"/>
  <c r="C347" i="32"/>
  <c r="B348" i="30" l="1"/>
  <c r="G347" i="30"/>
  <c r="H347" i="30" s="1"/>
  <c r="D347" i="30"/>
  <c r="C347" i="30"/>
  <c r="B349" i="32"/>
  <c r="C348" i="32"/>
  <c r="G348" i="32"/>
  <c r="H348" i="32" s="1"/>
  <c r="D348" i="32"/>
  <c r="B349" i="30" l="1"/>
  <c r="C348" i="30"/>
  <c r="G348" i="30"/>
  <c r="H348" i="30" s="1"/>
  <c r="D348" i="30"/>
  <c r="B350" i="32"/>
  <c r="C349" i="32"/>
  <c r="D349" i="32"/>
  <c r="G349" i="32"/>
  <c r="H349" i="32" s="1"/>
  <c r="B350" i="30" l="1"/>
  <c r="C349" i="30"/>
  <c r="D349" i="30"/>
  <c r="G349" i="30"/>
  <c r="H349" i="30" s="1"/>
  <c r="B351" i="32"/>
  <c r="D350" i="32"/>
  <c r="C350" i="32"/>
  <c r="G350" i="32"/>
  <c r="H350" i="32" s="1"/>
  <c r="B351" i="30" l="1"/>
  <c r="C350" i="30"/>
  <c r="G350" i="30"/>
  <c r="H350" i="30" s="1"/>
  <c r="D350" i="30"/>
  <c r="B352" i="32"/>
  <c r="C351" i="32"/>
  <c r="D351" i="32"/>
  <c r="G351" i="32"/>
  <c r="H351" i="32" s="1"/>
  <c r="B352" i="30" l="1"/>
  <c r="G351" i="30"/>
  <c r="H351" i="30" s="1"/>
  <c r="C351" i="30"/>
  <c r="D351" i="30"/>
  <c r="B353" i="32"/>
  <c r="D352" i="32"/>
  <c r="C352" i="32"/>
  <c r="G352" i="32"/>
  <c r="H352" i="32" s="1"/>
  <c r="B353" i="30" l="1"/>
  <c r="D352" i="30"/>
  <c r="C352" i="30"/>
  <c r="G352" i="30"/>
  <c r="H352" i="30" s="1"/>
  <c r="B354" i="32"/>
  <c r="C353" i="32"/>
  <c r="D353" i="32"/>
  <c r="G353" i="32"/>
  <c r="H353" i="32" s="1"/>
  <c r="B354" i="30" l="1"/>
  <c r="D353" i="30"/>
  <c r="C353" i="30"/>
  <c r="G353" i="30"/>
  <c r="H353" i="30" s="1"/>
  <c r="B355" i="32"/>
  <c r="G354" i="32"/>
  <c r="H354" i="32" s="1"/>
  <c r="C354" i="32"/>
  <c r="D354" i="32"/>
  <c r="C354" i="30" l="1"/>
  <c r="D354" i="30"/>
  <c r="G354" i="30"/>
  <c r="H354" i="30" s="1"/>
  <c r="B355" i="30"/>
  <c r="B356" i="32"/>
  <c r="C355" i="32"/>
  <c r="D355" i="32"/>
  <c r="G355" i="32"/>
  <c r="H355" i="32" s="1"/>
  <c r="B356" i="30" l="1"/>
  <c r="D355" i="30"/>
  <c r="G355" i="30"/>
  <c r="H355" i="30" s="1"/>
  <c r="C355" i="30"/>
  <c r="B357" i="32"/>
  <c r="C356" i="32"/>
  <c r="D356" i="32"/>
  <c r="G356" i="32"/>
  <c r="H356" i="32" s="1"/>
  <c r="B357" i="30" l="1"/>
  <c r="G356" i="30"/>
  <c r="H356" i="30" s="1"/>
  <c r="D356" i="30"/>
  <c r="C356" i="30"/>
  <c r="B358" i="32"/>
  <c r="D357" i="32"/>
  <c r="C357" i="32"/>
  <c r="G357" i="32"/>
  <c r="H357" i="32" s="1"/>
  <c r="B358" i="30" l="1"/>
  <c r="C357" i="30"/>
  <c r="D357" i="30"/>
  <c r="G357" i="30"/>
  <c r="H357" i="30" s="1"/>
  <c r="B359" i="32"/>
  <c r="C358" i="32"/>
  <c r="D358" i="32"/>
  <c r="G358" i="32"/>
  <c r="H358" i="32" s="1"/>
  <c r="B359" i="30" l="1"/>
  <c r="G358" i="30"/>
  <c r="H358" i="30" s="1"/>
  <c r="C358" i="30"/>
  <c r="D358" i="30"/>
  <c r="B360" i="32"/>
  <c r="D359" i="32"/>
  <c r="G359" i="32"/>
  <c r="H359" i="32" s="1"/>
  <c r="C359" i="32"/>
  <c r="B360" i="30" l="1"/>
  <c r="C359" i="30"/>
  <c r="G359" i="30"/>
  <c r="H359" i="30" s="1"/>
  <c r="D359" i="30"/>
  <c r="B361" i="32"/>
  <c r="C360" i="32"/>
  <c r="D360" i="32"/>
  <c r="G360" i="32"/>
  <c r="H360" i="32" s="1"/>
  <c r="B361" i="30" l="1"/>
  <c r="C360" i="30"/>
  <c r="D360" i="30"/>
  <c r="G360" i="30"/>
  <c r="H360" i="30" s="1"/>
  <c r="B362" i="32"/>
  <c r="G361" i="32"/>
  <c r="H361" i="32" s="1"/>
  <c r="C361" i="32"/>
  <c r="D361" i="32"/>
  <c r="B362" i="30" l="1"/>
  <c r="C361" i="30"/>
  <c r="D361" i="30"/>
  <c r="G361" i="30"/>
  <c r="H361" i="30" s="1"/>
  <c r="B363" i="32"/>
  <c r="C362" i="32"/>
  <c r="D362" i="32"/>
  <c r="G362" i="32"/>
  <c r="H362" i="32" s="1"/>
  <c r="G362" i="30" l="1"/>
  <c r="H362" i="30" s="1"/>
  <c r="B363" i="30"/>
  <c r="D362" i="30"/>
  <c r="C362" i="30"/>
  <c r="B364" i="32"/>
  <c r="D363" i="32"/>
  <c r="G363" i="32"/>
  <c r="H363" i="32" s="1"/>
  <c r="C363" i="32"/>
  <c r="C363" i="30" l="1"/>
  <c r="D363" i="30"/>
  <c r="G363" i="30"/>
  <c r="H363" i="30" s="1"/>
  <c r="B364" i="30"/>
  <c r="B365" i="32"/>
  <c r="C364" i="32"/>
  <c r="G364" i="32"/>
  <c r="H364" i="32" s="1"/>
  <c r="D364" i="32"/>
  <c r="C364" i="30" l="1"/>
  <c r="D364" i="30"/>
  <c r="G364" i="30"/>
  <c r="H364" i="30" s="1"/>
  <c r="B365" i="30"/>
  <c r="B366" i="32"/>
  <c r="C365" i="32"/>
  <c r="D365" i="32"/>
  <c r="G365" i="32"/>
  <c r="H365" i="32" s="1"/>
  <c r="D365" i="30" l="1"/>
  <c r="G365" i="30"/>
  <c r="H365" i="30" s="1"/>
  <c r="B366" i="30"/>
  <c r="C365" i="30"/>
  <c r="B367" i="32"/>
  <c r="D366" i="32"/>
  <c r="C366" i="32"/>
  <c r="G366" i="32"/>
  <c r="H366" i="32" s="1"/>
  <c r="B367" i="30" l="1"/>
  <c r="D366" i="30"/>
  <c r="C366" i="30"/>
  <c r="G366" i="30"/>
  <c r="H366" i="30" s="1"/>
  <c r="B368" i="32"/>
  <c r="C367" i="32"/>
  <c r="D367" i="32"/>
  <c r="G367" i="32"/>
  <c r="H367" i="32" s="1"/>
  <c r="B368" i="30" l="1"/>
  <c r="C367" i="30"/>
  <c r="G367" i="30"/>
  <c r="H367" i="30" s="1"/>
  <c r="D367" i="30"/>
  <c r="B369" i="32"/>
  <c r="B370" i="32" s="1"/>
  <c r="D368" i="32"/>
  <c r="C368" i="32"/>
  <c r="G368" i="32"/>
  <c r="H368" i="32" s="1"/>
  <c r="B371" i="32" l="1"/>
  <c r="G370" i="32"/>
  <c r="H370" i="32" s="1"/>
  <c r="D370" i="32"/>
  <c r="C370" i="32"/>
  <c r="B369" i="30"/>
  <c r="D368" i="30"/>
  <c r="C368" i="30"/>
  <c r="G368" i="30"/>
  <c r="H368" i="30" s="1"/>
  <c r="C369" i="32"/>
  <c r="D369" i="32"/>
  <c r="G369" i="32"/>
  <c r="H369" i="32" s="1"/>
  <c r="B372" i="32" l="1"/>
  <c r="G371" i="32"/>
  <c r="H371" i="32" s="1"/>
  <c r="D371" i="32"/>
  <c r="C371" i="32"/>
  <c r="B370" i="30"/>
  <c r="C369" i="30"/>
  <c r="D369" i="30"/>
  <c r="G369" i="30"/>
  <c r="H369" i="30" s="1"/>
  <c r="B373" i="32" l="1"/>
  <c r="G372" i="32"/>
  <c r="H372" i="32" s="1"/>
  <c r="D372" i="32"/>
  <c r="C372" i="32"/>
  <c r="B371" i="30"/>
  <c r="C370" i="30"/>
  <c r="D370" i="30"/>
  <c r="G370" i="30"/>
  <c r="H370" i="30" s="1"/>
  <c r="B374" i="32" l="1"/>
  <c r="D373" i="32"/>
  <c r="C373" i="32"/>
  <c r="G373" i="32"/>
  <c r="H373" i="32" s="1"/>
  <c r="B372" i="30"/>
  <c r="G371" i="30"/>
  <c r="H371" i="30" s="1"/>
  <c r="C371" i="30"/>
  <c r="D371" i="30"/>
  <c r="B375" i="32" l="1"/>
  <c r="G374" i="32"/>
  <c r="H374" i="32" s="1"/>
  <c r="D374" i="32"/>
  <c r="C374" i="32"/>
  <c r="B373" i="30"/>
  <c r="C372" i="30"/>
  <c r="D372" i="30"/>
  <c r="G372" i="30"/>
  <c r="H372" i="30" s="1"/>
  <c r="B376" i="32" l="1"/>
  <c r="G375" i="32"/>
  <c r="H375" i="32" s="1"/>
  <c r="D375" i="32"/>
  <c r="C375" i="32"/>
  <c r="B374" i="30"/>
  <c r="C373" i="30"/>
  <c r="D373" i="30"/>
  <c r="G373" i="30"/>
  <c r="H373" i="30" s="1"/>
  <c r="B377" i="32" l="1"/>
  <c r="C376" i="32"/>
  <c r="G376" i="32"/>
  <c r="H376" i="32" s="1"/>
  <c r="D376" i="32"/>
  <c r="B375" i="30"/>
  <c r="G374" i="30"/>
  <c r="H374" i="30" s="1"/>
  <c r="C374" i="30"/>
  <c r="D374" i="30"/>
  <c r="B378" i="32" l="1"/>
  <c r="C377" i="32"/>
  <c r="G377" i="32"/>
  <c r="H377" i="32" s="1"/>
  <c r="D377" i="32"/>
  <c r="B376" i="30"/>
  <c r="C375" i="30"/>
  <c r="D375" i="30"/>
  <c r="G375" i="30"/>
  <c r="H375" i="30" s="1"/>
  <c r="B379" i="32" l="1"/>
  <c r="G378" i="32"/>
  <c r="H378" i="32" s="1"/>
  <c r="C378" i="32"/>
  <c r="D378" i="32"/>
  <c r="B377" i="30"/>
  <c r="G376" i="30"/>
  <c r="H376" i="30" s="1"/>
  <c r="C376" i="30"/>
  <c r="D376" i="30"/>
  <c r="B380" i="32" l="1"/>
  <c r="C379" i="32"/>
  <c r="D379" i="32"/>
  <c r="G379" i="32"/>
  <c r="H379" i="32" s="1"/>
  <c r="B378" i="30"/>
  <c r="C377" i="30"/>
  <c r="D377" i="30"/>
  <c r="G377" i="30"/>
  <c r="H377" i="30" s="1"/>
  <c r="B381" i="32" l="1"/>
  <c r="C380" i="32"/>
  <c r="D380" i="32"/>
  <c r="G380" i="32"/>
  <c r="H380" i="32" s="1"/>
  <c r="B379" i="30"/>
  <c r="G378" i="30"/>
  <c r="H378" i="30" s="1"/>
  <c r="D378" i="30"/>
  <c r="C378" i="30"/>
  <c r="B382" i="32" l="1"/>
  <c r="D381" i="32"/>
  <c r="C381" i="32"/>
  <c r="G381" i="32"/>
  <c r="H381" i="32" s="1"/>
  <c r="B380" i="30"/>
  <c r="C379" i="30"/>
  <c r="D379" i="30"/>
  <c r="G379" i="30"/>
  <c r="H379" i="30" s="1"/>
  <c r="C382" i="32" l="1"/>
  <c r="D382" i="32"/>
  <c r="G382" i="32"/>
  <c r="H382" i="32" s="1"/>
  <c r="B383" i="32"/>
  <c r="B381" i="30"/>
  <c r="C380" i="30"/>
  <c r="D380" i="30"/>
  <c r="G380" i="30"/>
  <c r="H380" i="30" s="1"/>
  <c r="B384" i="32" l="1"/>
  <c r="G383" i="32"/>
  <c r="H383" i="32" s="1"/>
  <c r="C383" i="32"/>
  <c r="D383" i="32"/>
  <c r="D381" i="30"/>
  <c r="G381" i="30"/>
  <c r="H381" i="30" s="1"/>
  <c r="C381" i="30"/>
  <c r="B385" i="32" l="1"/>
  <c r="G384" i="32"/>
  <c r="H384" i="32" s="1"/>
  <c r="C384" i="32"/>
  <c r="D384" i="32"/>
  <c r="B386" i="32" l="1"/>
  <c r="G385" i="32"/>
  <c r="H385" i="32" s="1"/>
  <c r="C385" i="32"/>
  <c r="D385" i="32"/>
  <c r="D386" i="32" l="1"/>
  <c r="G386" i="32"/>
  <c r="H386" i="32" s="1"/>
  <c r="B387" i="32"/>
  <c r="C386" i="32"/>
  <c r="B388" i="32" l="1"/>
  <c r="C387" i="32"/>
  <c r="D387" i="32"/>
  <c r="G387" i="32"/>
  <c r="H387" i="32" s="1"/>
  <c r="B389" i="32" l="1"/>
  <c r="C388" i="32"/>
  <c r="G388" i="32"/>
  <c r="H388" i="32" s="1"/>
  <c r="D388" i="32"/>
  <c r="B390" i="32" l="1"/>
  <c r="C389" i="32"/>
  <c r="D389" i="32"/>
  <c r="G389" i="32"/>
  <c r="H389" i="32" s="1"/>
  <c r="G390" i="32" l="1"/>
  <c r="H390" i="32" s="1"/>
  <c r="C390" i="32"/>
  <c r="D390" i="32"/>
  <c r="C13" i="9" l="1"/>
  <c r="C15" i="9" l="1"/>
  <c r="C16" i="9"/>
  <c r="C12" i="9" l="1"/>
  <c r="G6" i="24" l="1"/>
  <c r="G7" i="24"/>
  <c r="G2" i="24"/>
  <c r="G4" i="24"/>
  <c r="G9" i="24"/>
  <c r="G3" i="24"/>
  <c r="G8" i="24"/>
  <c r="G5" i="24"/>
  <c r="R619" i="22" l="1"/>
  <c r="R627" i="22"/>
  <c r="R635" i="22"/>
  <c r="R621" i="22"/>
  <c r="R637" i="22"/>
  <c r="R638" i="22"/>
  <c r="R631" i="22"/>
  <c r="R639" i="22"/>
  <c r="R642" i="22"/>
  <c r="R620" i="22"/>
  <c r="R628" i="22"/>
  <c r="R636" i="22"/>
  <c r="R629" i="22"/>
  <c r="R630" i="22"/>
  <c r="R623" i="22"/>
  <c r="R634" i="22"/>
  <c r="R622" i="22"/>
  <c r="R624" i="22"/>
  <c r="R632" i="22"/>
  <c r="R640" i="22"/>
  <c r="R625" i="22"/>
  <c r="R633" i="22"/>
  <c r="R641" i="22"/>
  <c r="R626" i="22"/>
  <c r="R547" i="22"/>
  <c r="R613" i="22"/>
  <c r="R605" i="22"/>
  <c r="R597" i="22"/>
  <c r="R589" i="22"/>
  <c r="R581" i="22"/>
  <c r="R573" i="22"/>
  <c r="R565" i="22"/>
  <c r="R557" i="22"/>
  <c r="R549" i="22"/>
  <c r="R556" i="22"/>
  <c r="R550" i="22"/>
  <c r="R584" i="22"/>
  <c r="R552" i="22"/>
  <c r="R618" i="22"/>
  <c r="R610" i="22"/>
  <c r="R602" i="22"/>
  <c r="R594" i="22"/>
  <c r="R586" i="22"/>
  <c r="R578" i="22"/>
  <c r="R570" i="22"/>
  <c r="R562" i="22"/>
  <c r="R554" i="22"/>
  <c r="R564" i="22"/>
  <c r="R548" i="22"/>
  <c r="R574" i="22"/>
  <c r="R592" i="22"/>
  <c r="R615" i="22"/>
  <c r="R607" i="22"/>
  <c r="R599" i="22"/>
  <c r="R591" i="22"/>
  <c r="R583" i="22"/>
  <c r="R575" i="22"/>
  <c r="R567" i="22"/>
  <c r="R559" i="22"/>
  <c r="R551" i="22"/>
  <c r="R588" i="22"/>
  <c r="R566" i="22"/>
  <c r="R558" i="22"/>
  <c r="R563" i="22"/>
  <c r="R555" i="22"/>
  <c r="R616" i="22"/>
  <c r="R608" i="22"/>
  <c r="R576" i="22"/>
  <c r="R612" i="22"/>
  <c r="R604" i="22"/>
  <c r="R596" i="22"/>
  <c r="R580" i="22"/>
  <c r="R572" i="22"/>
  <c r="R617" i="22"/>
  <c r="R609" i="22"/>
  <c r="R601" i="22"/>
  <c r="R593" i="22"/>
  <c r="R585" i="22"/>
  <c r="R577" i="22"/>
  <c r="R569" i="22"/>
  <c r="R561" i="22"/>
  <c r="R553" i="22"/>
  <c r="R606" i="22"/>
  <c r="R598" i="22"/>
  <c r="R590" i="22"/>
  <c r="R582" i="22"/>
  <c r="R579" i="22"/>
  <c r="R571" i="22"/>
  <c r="R600" i="22"/>
  <c r="R568" i="22"/>
  <c r="R560" i="22"/>
  <c r="R614" i="22"/>
  <c r="R611" i="22"/>
  <c r="R603" i="22"/>
  <c r="R595" i="22"/>
  <c r="R587" i="22"/>
  <c r="R541" i="22"/>
  <c r="R533" i="22"/>
  <c r="R537" i="22"/>
  <c r="R546" i="22"/>
  <c r="R538" i="22"/>
  <c r="R531" i="22"/>
  <c r="R544" i="22"/>
  <c r="R543" i="22"/>
  <c r="R535" i="22"/>
  <c r="R542" i="22"/>
  <c r="R534" i="22"/>
  <c r="R539" i="22"/>
  <c r="R540" i="22"/>
  <c r="R532" i="22"/>
  <c r="R545" i="22"/>
  <c r="R536" i="22"/>
  <c r="R525" i="22"/>
  <c r="R517" i="22"/>
  <c r="R509" i="22"/>
  <c r="R519" i="22"/>
  <c r="R511" i="22"/>
  <c r="R523" i="22"/>
  <c r="R515" i="22"/>
  <c r="R530" i="22"/>
  <c r="R522" i="22"/>
  <c r="R514" i="22"/>
  <c r="R510" i="22"/>
  <c r="R520" i="22"/>
  <c r="R512" i="22"/>
  <c r="R527" i="22"/>
  <c r="R524" i="22"/>
  <c r="R516" i="22"/>
  <c r="R508" i="22"/>
  <c r="R529" i="22"/>
  <c r="R521" i="22"/>
  <c r="R513" i="22"/>
  <c r="R526" i="22"/>
  <c r="R518" i="22"/>
  <c r="R507" i="22"/>
  <c r="R528" i="22"/>
  <c r="R501" i="22"/>
  <c r="R506" i="22"/>
  <c r="R503" i="22"/>
  <c r="R502" i="22"/>
  <c r="R499" i="22"/>
  <c r="R504" i="22"/>
  <c r="R500" i="22"/>
  <c r="R505" i="22"/>
  <c r="R453" i="22"/>
  <c r="R461" i="22"/>
  <c r="R469" i="22"/>
  <c r="R477" i="22"/>
  <c r="R485" i="22"/>
  <c r="R493" i="22"/>
  <c r="R489" i="22"/>
  <c r="R475" i="22"/>
  <c r="R484" i="22"/>
  <c r="R454" i="22"/>
  <c r="R462" i="22"/>
  <c r="R470" i="22"/>
  <c r="R478" i="22"/>
  <c r="R486" i="22"/>
  <c r="R494" i="22"/>
  <c r="R481" i="22"/>
  <c r="R460" i="22"/>
  <c r="R455" i="22"/>
  <c r="R463" i="22"/>
  <c r="R471" i="22"/>
  <c r="R479" i="22"/>
  <c r="R487" i="22"/>
  <c r="R495" i="22"/>
  <c r="R465" i="22"/>
  <c r="R483" i="22"/>
  <c r="R476" i="22"/>
  <c r="R456" i="22"/>
  <c r="R464" i="22"/>
  <c r="R472" i="22"/>
  <c r="R480" i="22"/>
  <c r="R488" i="22"/>
  <c r="R496" i="22"/>
  <c r="R473" i="22"/>
  <c r="R497" i="22"/>
  <c r="R468" i="22"/>
  <c r="R457" i="22"/>
  <c r="R458" i="22"/>
  <c r="R466" i="22"/>
  <c r="R474" i="22"/>
  <c r="R482" i="22"/>
  <c r="R490" i="22"/>
  <c r="R498" i="22"/>
  <c r="R459" i="22"/>
  <c r="R467" i="22"/>
  <c r="R491" i="22"/>
  <c r="R492" i="22"/>
  <c r="R452" i="22"/>
  <c r="R451" i="22"/>
  <c r="R355" i="22"/>
  <c r="R445" i="22"/>
  <c r="R450" i="22"/>
  <c r="R442" i="22"/>
  <c r="R434" i="22"/>
  <c r="R426" i="22"/>
  <c r="R418" i="22"/>
  <c r="R410" i="22"/>
  <c r="R402" i="22"/>
  <c r="R394" i="22"/>
  <c r="R386" i="22"/>
  <c r="R447" i="22"/>
  <c r="R444" i="22"/>
  <c r="R436" i="22"/>
  <c r="R428" i="22"/>
  <c r="R420" i="22"/>
  <c r="R412" i="22"/>
  <c r="R404" i="22"/>
  <c r="R396" i="22"/>
  <c r="R388" i="22"/>
  <c r="R380" i="22"/>
  <c r="R372" i="22"/>
  <c r="R364" i="22"/>
  <c r="R356" i="22"/>
  <c r="R441" i="22"/>
  <c r="R433" i="22"/>
  <c r="R425" i="22"/>
  <c r="R417" i="22"/>
  <c r="R409" i="22"/>
  <c r="R401" i="22"/>
  <c r="R393" i="22"/>
  <c r="R385" i="22"/>
  <c r="R377" i="22"/>
  <c r="R369" i="22"/>
  <c r="R378" i="22"/>
  <c r="R362" i="22"/>
  <c r="R423" i="22"/>
  <c r="R399" i="22"/>
  <c r="R383" i="22"/>
  <c r="R449" i="22"/>
  <c r="R361" i="22"/>
  <c r="R367" i="22"/>
  <c r="R446" i="22"/>
  <c r="R438" i="22"/>
  <c r="R430" i="22"/>
  <c r="R422" i="22"/>
  <c r="R414" i="22"/>
  <c r="R406" i="22"/>
  <c r="R398" i="22"/>
  <c r="R390" i="22"/>
  <c r="R382" i="22"/>
  <c r="R374" i="22"/>
  <c r="R366" i="22"/>
  <c r="R358" i="22"/>
  <c r="R435" i="22"/>
  <c r="R427" i="22"/>
  <c r="R419" i="22"/>
  <c r="R411" i="22"/>
  <c r="R403" i="22"/>
  <c r="R395" i="22"/>
  <c r="R387" i="22"/>
  <c r="R379" i="22"/>
  <c r="R371" i="22"/>
  <c r="R363" i="22"/>
  <c r="R365" i="22"/>
  <c r="R431" i="22"/>
  <c r="R415" i="22"/>
  <c r="R407" i="22"/>
  <c r="R359" i="22"/>
  <c r="R443" i="22"/>
  <c r="R448" i="22"/>
  <c r="R440" i="22"/>
  <c r="R432" i="22"/>
  <c r="R424" i="22"/>
  <c r="R416" i="22"/>
  <c r="R408" i="22"/>
  <c r="R400" i="22"/>
  <c r="R392" i="22"/>
  <c r="R384" i="22"/>
  <c r="R376" i="22"/>
  <c r="R368" i="22"/>
  <c r="R360" i="22"/>
  <c r="R437" i="22"/>
  <c r="R429" i="22"/>
  <c r="R421" i="22"/>
  <c r="R413" i="22"/>
  <c r="R405" i="22"/>
  <c r="R397" i="22"/>
  <c r="R389" i="22"/>
  <c r="R381" i="22"/>
  <c r="R373" i="22"/>
  <c r="R357" i="22"/>
  <c r="R370" i="22"/>
  <c r="R439" i="22"/>
  <c r="R391" i="22"/>
  <c r="R375" i="22"/>
  <c r="R297" i="22"/>
  <c r="R306" i="22"/>
  <c r="D40" i="9"/>
  <c r="E40" i="9" s="1"/>
  <c r="E39" i="9"/>
  <c r="R692" i="22"/>
  <c r="R676" i="22"/>
  <c r="R74" i="22"/>
  <c r="V428" i="27" s="1"/>
  <c r="AJ428" i="27" s="1"/>
  <c r="R138" i="22"/>
  <c r="R190" i="22"/>
  <c r="R254" i="22"/>
  <c r="R320" i="22"/>
  <c r="R672" i="22"/>
  <c r="R91" i="22"/>
  <c r="R155" i="22"/>
  <c r="R207" i="22"/>
  <c r="R271" i="22"/>
  <c r="R337" i="22"/>
  <c r="R689" i="22"/>
  <c r="R108" i="22"/>
  <c r="R224" i="22"/>
  <c r="R288" i="22"/>
  <c r="R354" i="22"/>
  <c r="R70" i="22"/>
  <c r="R93" i="22"/>
  <c r="R157" i="22"/>
  <c r="R209" i="22"/>
  <c r="R273" i="22"/>
  <c r="R339" i="22"/>
  <c r="R691" i="22"/>
  <c r="R72" i="22"/>
  <c r="R136" i="22"/>
  <c r="R188" i="22"/>
  <c r="R252" i="22"/>
  <c r="R318" i="22"/>
  <c r="R670" i="22"/>
  <c r="R105" i="22"/>
  <c r="R221" i="22"/>
  <c r="R285" i="22"/>
  <c r="R351" i="22"/>
  <c r="R242" i="22"/>
  <c r="R333" i="22"/>
  <c r="R671" i="22"/>
  <c r="R87" i="22"/>
  <c r="R283" i="22"/>
  <c r="R663" i="22"/>
  <c r="R127" i="22"/>
  <c r="R211" i="22"/>
  <c r="R48" i="22"/>
  <c r="V446" i="27" s="1"/>
  <c r="AJ446" i="27" s="1"/>
  <c r="R7" i="22"/>
  <c r="R22" i="22"/>
  <c r="R45" i="22"/>
  <c r="R57" i="22"/>
  <c r="R12" i="22"/>
  <c r="V41" i="27"/>
  <c r="AJ41" i="27" s="1"/>
  <c r="R219" i="22"/>
  <c r="R684" i="22"/>
  <c r="R47" i="22"/>
  <c r="V378" i="27" s="1"/>
  <c r="AJ378" i="27" s="1"/>
  <c r="R6" i="22"/>
  <c r="R34" i="22"/>
  <c r="R46" i="22"/>
  <c r="R707" i="22"/>
  <c r="R234" i="22"/>
  <c r="R150" i="22"/>
  <c r="R82" i="22"/>
  <c r="R146" i="22"/>
  <c r="R198" i="22"/>
  <c r="R262" i="22"/>
  <c r="R328" i="22"/>
  <c r="R680" i="22"/>
  <c r="R99" i="22"/>
  <c r="R163" i="22"/>
  <c r="R215" i="22"/>
  <c r="R279" i="22"/>
  <c r="R345" i="22"/>
  <c r="R697" i="22"/>
  <c r="R116" i="22"/>
  <c r="R232" i="22"/>
  <c r="R296" i="22"/>
  <c r="R650" i="22"/>
  <c r="R118" i="22"/>
  <c r="R101" i="22"/>
  <c r="R165" i="22"/>
  <c r="R217" i="22"/>
  <c r="R281" i="22"/>
  <c r="R347" i="22"/>
  <c r="R699" i="22"/>
  <c r="V231" i="27" s="1"/>
  <c r="AJ231" i="27" s="1"/>
  <c r="R80" i="22"/>
  <c r="R144" i="22"/>
  <c r="R196" i="22"/>
  <c r="R260" i="22"/>
  <c r="R326" i="22"/>
  <c r="R678" i="22"/>
  <c r="R113" i="22"/>
  <c r="R229" i="22"/>
  <c r="R293" i="22"/>
  <c r="R647" i="22"/>
  <c r="R210" i="22"/>
  <c r="R300" i="22"/>
  <c r="R645" i="22"/>
  <c r="R669" i="22"/>
  <c r="R142" i="22"/>
  <c r="R251" i="22"/>
  <c r="R348" i="22"/>
  <c r="R71" i="22"/>
  <c r="R179" i="22"/>
  <c r="R40" i="22"/>
  <c r="R55" i="22"/>
  <c r="V415" i="27" s="1"/>
  <c r="AJ415" i="27" s="1"/>
  <c r="R42" i="22"/>
  <c r="R14" i="22"/>
  <c r="R37" i="22"/>
  <c r="R17" i="22"/>
  <c r="R4" i="22"/>
  <c r="R19" i="22"/>
  <c r="V57" i="27" s="1"/>
  <c r="AJ57" i="27" s="1"/>
  <c r="R644" i="22"/>
  <c r="R159" i="22"/>
  <c r="R33" i="22"/>
  <c r="R29" i="22"/>
  <c r="R11" i="22"/>
  <c r="R26" i="22"/>
  <c r="R51" i="22"/>
  <c r="R667" i="22"/>
  <c r="R100" i="22"/>
  <c r="R706" i="22"/>
  <c r="R693" i="22"/>
  <c r="R652" i="22"/>
  <c r="R90" i="22"/>
  <c r="V449" i="27" s="1"/>
  <c r="AJ449" i="27" s="1"/>
  <c r="R154" i="22"/>
  <c r="R206" i="22"/>
  <c r="R270" i="22"/>
  <c r="R336" i="22"/>
  <c r="R688" i="22"/>
  <c r="R107" i="22"/>
  <c r="R223" i="22"/>
  <c r="R287" i="22"/>
  <c r="R353" i="22"/>
  <c r="R60" i="22"/>
  <c r="R124" i="22"/>
  <c r="R176" i="22"/>
  <c r="R240" i="22"/>
  <c r="R305" i="22"/>
  <c r="R658" i="22"/>
  <c r="R126" i="22"/>
  <c r="R109" i="22"/>
  <c r="R225" i="22"/>
  <c r="R289" i="22"/>
  <c r="R643" i="22"/>
  <c r="R62" i="22"/>
  <c r="R88" i="22"/>
  <c r="V440" i="27" s="1"/>
  <c r="AJ440" i="27" s="1"/>
  <c r="R152" i="22"/>
  <c r="R204" i="22"/>
  <c r="R268" i="22"/>
  <c r="R334" i="22"/>
  <c r="R686" i="22"/>
  <c r="R121" i="22"/>
  <c r="R173" i="22"/>
  <c r="R237" i="22"/>
  <c r="R302" i="22"/>
  <c r="R655" i="22"/>
  <c r="R178" i="22"/>
  <c r="R267" i="22"/>
  <c r="R325" i="22"/>
  <c r="R79" i="22"/>
  <c r="R316" i="22"/>
  <c r="R32" i="22"/>
  <c r="R52" i="22"/>
  <c r="R315" i="22"/>
  <c r="R135" i="22"/>
  <c r="R664" i="22"/>
  <c r="R194" i="22"/>
  <c r="R705" i="22"/>
  <c r="R299" i="22"/>
  <c r="R95" i="22"/>
  <c r="R98" i="22"/>
  <c r="R162" i="22"/>
  <c r="R214" i="22"/>
  <c r="R278" i="22"/>
  <c r="R344" i="22"/>
  <c r="R696" i="22"/>
  <c r="R115" i="22"/>
  <c r="R231" i="22"/>
  <c r="R295" i="22"/>
  <c r="R649" i="22"/>
  <c r="R68" i="22"/>
  <c r="R132" i="22"/>
  <c r="R184" i="22"/>
  <c r="R248" i="22"/>
  <c r="R314" i="22"/>
  <c r="R666" i="22"/>
  <c r="R134" i="22"/>
  <c r="R117" i="22"/>
  <c r="R169" i="22"/>
  <c r="R233" i="22"/>
  <c r="R298" i="22"/>
  <c r="R651" i="22"/>
  <c r="R86" i="22"/>
  <c r="R96" i="22"/>
  <c r="R160" i="22"/>
  <c r="R212" i="22"/>
  <c r="R276" i="22"/>
  <c r="R342" i="22"/>
  <c r="R65" i="22"/>
  <c r="R129" i="22"/>
  <c r="R181" i="22"/>
  <c r="R245" i="22"/>
  <c r="R311" i="22"/>
  <c r="R679" i="22"/>
  <c r="R111" i="22"/>
  <c r="R235" i="22"/>
  <c r="R291" i="22"/>
  <c r="R324" i="22"/>
  <c r="R143" i="22"/>
  <c r="R187" i="22"/>
  <c r="R282" i="22"/>
  <c r="R661" i="22"/>
  <c r="R119" i="22"/>
  <c r="V44" i="27"/>
  <c r="AJ44" i="27" s="1"/>
  <c r="R39" i="22"/>
  <c r="R54" i="22"/>
  <c r="R50" i="22"/>
  <c r="R44" i="22"/>
  <c r="R41" i="22"/>
  <c r="V411" i="27" s="1"/>
  <c r="AJ411" i="27" s="1"/>
  <c r="R3" i="22"/>
  <c r="R352" i="22"/>
  <c r="R304" i="22"/>
  <c r="R76" i="22"/>
  <c r="R140" i="22"/>
  <c r="R192" i="22"/>
  <c r="R322" i="22"/>
  <c r="R674" i="22"/>
  <c r="R61" i="22"/>
  <c r="R125" i="22"/>
  <c r="R241" i="22"/>
  <c r="R307" i="22"/>
  <c r="R659" i="22"/>
  <c r="R94" i="22"/>
  <c r="R104" i="22"/>
  <c r="R168" i="22"/>
  <c r="R220" i="22"/>
  <c r="R284" i="22"/>
  <c r="R73" i="22"/>
  <c r="V427" i="27" s="1"/>
  <c r="AJ427" i="27" s="1"/>
  <c r="R137" i="22"/>
  <c r="R189" i="22"/>
  <c r="R253" i="22"/>
  <c r="R660" i="22"/>
  <c r="R158" i="22"/>
  <c r="R203" i="22"/>
  <c r="R290" i="22"/>
  <c r="R687" i="22"/>
  <c r="R167" i="22"/>
  <c r="R341" i="22"/>
  <c r="R63" i="22"/>
  <c r="V195" i="27" s="1"/>
  <c r="AJ195" i="27" s="1"/>
  <c r="R24" i="22"/>
  <c r="R21" i="22"/>
  <c r="R36" i="22"/>
  <c r="R185" i="22"/>
  <c r="R292" i="22"/>
  <c r="R646" i="22"/>
  <c r="R81" i="22"/>
  <c r="V381" i="27" s="1"/>
  <c r="AJ381" i="27" s="1"/>
  <c r="R197" i="22"/>
  <c r="R327" i="22"/>
  <c r="R700" i="22"/>
  <c r="R171" i="22"/>
  <c r="R668" i="22"/>
  <c r="R218" i="22"/>
  <c r="R16" i="22"/>
  <c r="R38" i="22"/>
  <c r="R28" i="22"/>
  <c r="R43" i="22"/>
  <c r="R130" i="22"/>
  <c r="R147" i="22"/>
  <c r="R681" i="22"/>
  <c r="R216" i="22"/>
  <c r="R346" i="22"/>
  <c r="R85" i="22"/>
  <c r="V384" i="27" s="1"/>
  <c r="AJ384" i="27" s="1"/>
  <c r="R201" i="22"/>
  <c r="R64" i="22"/>
  <c r="V450" i="27" s="1"/>
  <c r="AJ450" i="27" s="1"/>
  <c r="R244" i="22"/>
  <c r="R662" i="22"/>
  <c r="R213" i="22"/>
  <c r="R103" i="22"/>
  <c r="R317" i="22"/>
  <c r="R166" i="22"/>
  <c r="R10" i="22"/>
  <c r="R704" i="22"/>
  <c r="R266" i="22"/>
  <c r="R332" i="22"/>
  <c r="R106" i="22"/>
  <c r="R222" i="22"/>
  <c r="R286" i="22"/>
  <c r="R59" i="22"/>
  <c r="R123" i="22"/>
  <c r="R175" i="22"/>
  <c r="R239" i="22"/>
  <c r="R657" i="22"/>
  <c r="R256" i="22"/>
  <c r="R177" i="22"/>
  <c r="R350" i="22"/>
  <c r="R319" i="22"/>
  <c r="R259" i="22"/>
  <c r="R250" i="22"/>
  <c r="R31" i="22"/>
  <c r="V308" i="27" s="1"/>
  <c r="AJ308" i="27" s="1"/>
  <c r="R102" i="22"/>
  <c r="R261" i="22"/>
  <c r="R227" i="22"/>
  <c r="R309" i="22"/>
  <c r="R49" i="22"/>
  <c r="R182" i="22"/>
  <c r="R683" i="22"/>
  <c r="R274" i="22"/>
  <c r="R15" i="22"/>
  <c r="R703" i="22"/>
  <c r="R202" i="22"/>
  <c r="R2" i="22"/>
  <c r="R114" i="22"/>
  <c r="R230" i="22"/>
  <c r="R294" i="22"/>
  <c r="R648" i="22"/>
  <c r="R67" i="22"/>
  <c r="R131" i="22"/>
  <c r="R183" i="22"/>
  <c r="R247" i="22"/>
  <c r="R313" i="22"/>
  <c r="R665" i="22"/>
  <c r="R84" i="22"/>
  <c r="V383" i="27" s="1"/>
  <c r="AJ383" i="27" s="1"/>
  <c r="R148" i="22"/>
  <c r="R200" i="22"/>
  <c r="R264" i="22"/>
  <c r="R330" i="22"/>
  <c r="R682" i="22"/>
  <c r="R69" i="22"/>
  <c r="R133" i="22"/>
  <c r="R249" i="22"/>
  <c r="R112" i="22"/>
  <c r="R228" i="22"/>
  <c r="R145" i="22"/>
  <c r="R340" i="22"/>
  <c r="R258" i="22"/>
  <c r="R18" i="22"/>
  <c r="V45" i="27" s="1"/>
  <c r="AJ45" i="27" s="1"/>
  <c r="R13" i="22"/>
  <c r="R246" i="22"/>
  <c r="R331" i="22"/>
  <c r="R343" i="22"/>
  <c r="R56" i="22"/>
  <c r="R702" i="22"/>
  <c r="R695" i="22"/>
  <c r="R58" i="22"/>
  <c r="R122" i="22"/>
  <c r="R174" i="22"/>
  <c r="R238" i="22"/>
  <c r="R303" i="22"/>
  <c r="R656" i="22"/>
  <c r="R75" i="22"/>
  <c r="R139" i="22"/>
  <c r="R191" i="22"/>
  <c r="R255" i="22"/>
  <c r="R321" i="22"/>
  <c r="R673" i="22"/>
  <c r="R92" i="22"/>
  <c r="R156" i="22"/>
  <c r="R208" i="22"/>
  <c r="R272" i="22"/>
  <c r="R338" i="22"/>
  <c r="R690" i="22"/>
  <c r="R77" i="22"/>
  <c r="R141" i="22"/>
  <c r="R193" i="22"/>
  <c r="R257" i="22"/>
  <c r="R323" i="22"/>
  <c r="R675" i="22"/>
  <c r="R110" i="22"/>
  <c r="R120" i="22"/>
  <c r="R172" i="22"/>
  <c r="R236" i="22"/>
  <c r="R301" i="22"/>
  <c r="R654" i="22"/>
  <c r="R89" i="22"/>
  <c r="V431" i="27" s="1"/>
  <c r="AJ431" i="27" s="1"/>
  <c r="R153" i="22"/>
  <c r="R205" i="22"/>
  <c r="R269" i="22"/>
  <c r="R335" i="22"/>
  <c r="R308" i="22"/>
  <c r="R677" i="22"/>
  <c r="R151" i="22"/>
  <c r="R195" i="22"/>
  <c r="R226" i="22"/>
  <c r="R349" i="22"/>
  <c r="R78" i="22"/>
  <c r="R186" i="22"/>
  <c r="R275" i="22"/>
  <c r="R25" i="22"/>
  <c r="R8" i="22"/>
  <c r="R23" i="22"/>
  <c r="R30" i="22"/>
  <c r="R9" i="22"/>
  <c r="R5" i="22"/>
  <c r="R35" i="22"/>
  <c r="R170" i="22"/>
  <c r="R312" i="22"/>
  <c r="R83" i="22"/>
  <c r="R199" i="22"/>
  <c r="R329" i="22"/>
  <c r="R164" i="22"/>
  <c r="R280" i="22"/>
  <c r="R698" i="22"/>
  <c r="R149" i="22"/>
  <c r="R265" i="22"/>
  <c r="R128" i="22"/>
  <c r="R180" i="22"/>
  <c r="R310" i="22"/>
  <c r="R97" i="22"/>
  <c r="R277" i="22"/>
  <c r="R653" i="22"/>
  <c r="R685" i="22"/>
  <c r="R243" i="22"/>
  <c r="R53" i="22"/>
  <c r="R20" i="22"/>
  <c r="R701" i="22"/>
  <c r="R66" i="22"/>
  <c r="R263" i="22"/>
  <c r="R161" i="22"/>
  <c r="R27" i="22"/>
  <c r="G32" i="24"/>
  <c r="V114" i="27" l="1"/>
  <c r="V29" i="27"/>
  <c r="AJ29" i="27" s="1"/>
  <c r="V40" i="27"/>
  <c r="AJ40" i="27" s="1"/>
  <c r="V35" i="27"/>
  <c r="AJ35" i="27" s="1"/>
  <c r="V31" i="27"/>
  <c r="AJ31" i="27" s="1"/>
  <c r="V464" i="27"/>
  <c r="AJ464" i="27" s="1"/>
  <c r="V42" i="27"/>
  <c r="AJ42" i="27" s="1"/>
  <c r="V38" i="27"/>
  <c r="AJ38" i="27" s="1"/>
  <c r="V36" i="27"/>
  <c r="AJ36" i="27" s="1"/>
  <c r="V37" i="27"/>
  <c r="AJ37" i="27" s="1"/>
  <c r="V32" i="27"/>
  <c r="AJ32" i="27" s="1"/>
  <c r="V43" i="27"/>
  <c r="AJ43" i="27" s="1"/>
  <c r="V33" i="27"/>
  <c r="AJ33" i="27" s="1"/>
  <c r="V34" i="27"/>
  <c r="AJ34" i="27" s="1"/>
  <c r="V30" i="27"/>
  <c r="AJ30" i="27" s="1"/>
  <c r="V39" i="27"/>
  <c r="AJ39" i="27" s="1"/>
  <c r="V142" i="27"/>
  <c r="AJ142" i="27" s="1"/>
  <c r="V124" i="27"/>
  <c r="AJ124" i="27" s="1"/>
  <c r="V13" i="27"/>
  <c r="AJ13" i="27" s="1"/>
  <c r="V111" i="27"/>
  <c r="AJ111" i="27" s="1"/>
  <c r="V109" i="27"/>
  <c r="AJ109" i="27" s="1"/>
  <c r="V110" i="27"/>
  <c r="AJ110" i="27" s="1"/>
  <c r="V112" i="27"/>
  <c r="AJ112" i="27" s="1"/>
  <c r="V463" i="27"/>
  <c r="AJ463" i="27" s="1"/>
  <c r="V59" i="27"/>
  <c r="AJ59" i="27" s="1"/>
  <c r="V462" i="27"/>
  <c r="AJ462" i="27" s="1"/>
  <c r="V58" i="27"/>
  <c r="AJ58" i="27" s="1"/>
  <c r="V103" i="27"/>
  <c r="AJ103" i="27" s="1"/>
  <c r="V56" i="27"/>
  <c r="AJ56" i="27" s="1"/>
  <c r="V465" i="27"/>
  <c r="AJ465" i="27" s="1"/>
  <c r="V468" i="27"/>
  <c r="AJ468" i="27" s="1"/>
  <c r="V467" i="27"/>
  <c r="AJ467" i="27" s="1"/>
  <c r="V466" i="27"/>
  <c r="AJ466" i="27" s="1"/>
  <c r="V459" i="27"/>
  <c r="AJ459" i="27" s="1"/>
  <c r="V460" i="27"/>
  <c r="AJ460" i="27" s="1"/>
  <c r="V461" i="27"/>
  <c r="AJ461" i="27" s="1"/>
  <c r="V453" i="27"/>
  <c r="AJ453" i="27" s="1"/>
  <c r="V457" i="27"/>
  <c r="AJ457" i="27" s="1"/>
  <c r="V454" i="27"/>
  <c r="AJ454" i="27" s="1"/>
  <c r="V458" i="27"/>
  <c r="AJ458" i="27" s="1"/>
  <c r="V456" i="27"/>
  <c r="AJ456" i="27" s="1"/>
  <c r="V455" i="27"/>
  <c r="AJ455" i="27" s="1"/>
  <c r="V452" i="27"/>
  <c r="AJ452" i="27" s="1"/>
  <c r="V439" i="27"/>
  <c r="AJ439" i="27" s="1"/>
  <c r="V437" i="27"/>
  <c r="AJ437" i="27" s="1"/>
  <c r="V438" i="27"/>
  <c r="AJ438" i="27" s="1"/>
  <c r="V403" i="27"/>
  <c r="AJ403" i="27" s="1"/>
  <c r="V162" i="27"/>
  <c r="AJ162" i="27" s="1"/>
  <c r="V392" i="27"/>
  <c r="AJ392" i="27" s="1"/>
  <c r="V409" i="27"/>
  <c r="AJ409" i="27" s="1"/>
  <c r="V426" i="27"/>
  <c r="AJ426" i="27" s="1"/>
  <c r="V448" i="27"/>
  <c r="AJ448" i="27" s="1"/>
  <c r="V447" i="27"/>
  <c r="AJ447" i="27" s="1"/>
  <c r="V442" i="27"/>
  <c r="AJ442" i="27" s="1"/>
  <c r="V436" i="27"/>
  <c r="AJ436" i="27" s="1"/>
  <c r="V441" i="27"/>
  <c r="AJ441" i="27" s="1"/>
  <c r="V434" i="27"/>
  <c r="AJ434" i="27" s="1"/>
  <c r="V433" i="27"/>
  <c r="AJ433" i="27" s="1"/>
  <c r="V432" i="27"/>
  <c r="AJ432" i="27" s="1"/>
  <c r="V430" i="27"/>
  <c r="AJ430" i="27" s="1"/>
  <c r="V429" i="27"/>
  <c r="AJ429" i="27" s="1"/>
  <c r="V425" i="27"/>
  <c r="AJ425" i="27" s="1"/>
  <c r="V435" i="27"/>
  <c r="AJ435" i="27" s="1"/>
  <c r="V420" i="27"/>
  <c r="AJ420" i="27" s="1"/>
  <c r="V424" i="27"/>
  <c r="AJ424" i="27" s="1"/>
  <c r="V423" i="27"/>
  <c r="AJ423" i="27" s="1"/>
  <c r="V422" i="27"/>
  <c r="AJ422" i="27" s="1"/>
  <c r="V413" i="27"/>
  <c r="AJ413" i="27" s="1"/>
  <c r="V421" i="27"/>
  <c r="AJ421" i="27" s="1"/>
  <c r="V382" i="27"/>
  <c r="AJ382" i="27" s="1"/>
  <c r="V419" i="27"/>
  <c r="AJ419" i="27" s="1"/>
  <c r="V417" i="27"/>
  <c r="AJ417" i="27" s="1"/>
  <c r="V418" i="27"/>
  <c r="AJ418" i="27" s="1"/>
  <c r="V385" i="27"/>
  <c r="AJ385" i="27" s="1"/>
  <c r="V416" i="27"/>
  <c r="AJ416" i="27" s="1"/>
  <c r="V414" i="27"/>
  <c r="AJ414" i="27" s="1"/>
  <c r="V347" i="27"/>
  <c r="AJ347" i="27" s="1"/>
  <c r="V412" i="27"/>
  <c r="AJ412" i="27" s="1"/>
  <c r="V410" i="27"/>
  <c r="AJ410" i="27" s="1"/>
  <c r="V408" i="27"/>
  <c r="AJ408" i="27" s="1"/>
  <c r="V406" i="27"/>
  <c r="AJ406" i="27" s="1"/>
  <c r="V407" i="27"/>
  <c r="AJ407" i="27" s="1"/>
  <c r="V405" i="27"/>
  <c r="AJ405" i="27" s="1"/>
  <c r="V404" i="27"/>
  <c r="AJ404" i="27" s="1"/>
  <c r="V340" i="27"/>
  <c r="AJ340" i="27" s="1"/>
  <c r="V402" i="27"/>
  <c r="AJ402" i="27" s="1"/>
  <c r="V400" i="27"/>
  <c r="AJ400" i="27" s="1"/>
  <c r="V401" i="27"/>
  <c r="AJ401" i="27" s="1"/>
  <c r="V388" i="27"/>
  <c r="AJ388" i="27" s="1"/>
  <c r="V399" i="27"/>
  <c r="AJ399" i="27" s="1"/>
  <c r="V387" i="27"/>
  <c r="AJ387" i="27" s="1"/>
  <c r="V398" i="27"/>
  <c r="AJ398" i="27" s="1"/>
  <c r="V386" i="27"/>
  <c r="AJ386" i="27" s="1"/>
  <c r="V397" i="27"/>
  <c r="AJ397" i="27" s="1"/>
  <c r="V396" i="27"/>
  <c r="AJ396" i="27" s="1"/>
  <c r="V394" i="27"/>
  <c r="AJ394" i="27" s="1"/>
  <c r="V393" i="27"/>
  <c r="AJ393" i="27" s="1"/>
  <c r="V395" i="27"/>
  <c r="AJ395" i="27" s="1"/>
  <c r="V390" i="27"/>
  <c r="AJ390" i="27" s="1"/>
  <c r="V364" i="27"/>
  <c r="AJ364" i="27" s="1"/>
  <c r="V391" i="27"/>
  <c r="AJ391" i="27" s="1"/>
  <c r="V339" i="27"/>
  <c r="AJ339" i="27" s="1"/>
  <c r="V389" i="27"/>
  <c r="AJ389" i="27" s="1"/>
  <c r="V92" i="27"/>
  <c r="AJ92" i="27" s="1"/>
  <c r="V380" i="27"/>
  <c r="AJ380" i="27" s="1"/>
  <c r="V379" i="27"/>
  <c r="AJ379" i="27" s="1"/>
  <c r="V374" i="27"/>
  <c r="AJ374" i="27" s="1"/>
  <c r="V377" i="27"/>
  <c r="AJ377" i="27" s="1"/>
  <c r="V373" i="27"/>
  <c r="AJ373" i="27" s="1"/>
  <c r="V376" i="27"/>
  <c r="AJ376" i="27" s="1"/>
  <c r="V370" i="27"/>
  <c r="AJ370" i="27" s="1"/>
  <c r="V375" i="27"/>
  <c r="AJ375" i="27" s="1"/>
  <c r="V369" i="27"/>
  <c r="AJ369" i="27" s="1"/>
  <c r="V93" i="27"/>
  <c r="AJ93" i="27" s="1"/>
  <c r="V368" i="27"/>
  <c r="AJ368" i="27" s="1"/>
  <c r="V214" i="27"/>
  <c r="AJ214" i="27" s="1"/>
  <c r="V367" i="27"/>
  <c r="AJ367" i="27" s="1"/>
  <c r="V363" i="27"/>
  <c r="AJ363" i="27" s="1"/>
  <c r="V358" i="27"/>
  <c r="AJ358" i="27" s="1"/>
  <c r="V365" i="27"/>
  <c r="AJ365" i="27" s="1"/>
  <c r="V359" i="27"/>
  <c r="AJ359" i="27" s="1"/>
  <c r="V366" i="27"/>
  <c r="AJ366" i="27" s="1"/>
  <c r="V362" i="27"/>
  <c r="AJ362" i="27" s="1"/>
  <c r="V354" i="27"/>
  <c r="AJ354" i="27" s="1"/>
  <c r="V361" i="27"/>
  <c r="AJ361" i="27" s="1"/>
  <c r="V353" i="27"/>
  <c r="AJ353" i="27" s="1"/>
  <c r="V360" i="27"/>
  <c r="AJ360" i="27" s="1"/>
  <c r="V357" i="27"/>
  <c r="AJ357" i="27" s="1"/>
  <c r="V341" i="27"/>
  <c r="AJ341" i="27" s="1"/>
  <c r="V356" i="27"/>
  <c r="AJ356" i="27" s="1"/>
  <c r="V338" i="27"/>
  <c r="AJ338" i="27" s="1"/>
  <c r="V355" i="27"/>
  <c r="AJ355" i="27" s="1"/>
  <c r="V351" i="27"/>
  <c r="AJ351" i="27" s="1"/>
  <c r="V352" i="27"/>
  <c r="AJ352" i="27" s="1"/>
  <c r="V350" i="27"/>
  <c r="AJ350" i="27" s="1"/>
  <c r="V348" i="27"/>
  <c r="AJ348" i="27" s="1"/>
  <c r="V349" i="27"/>
  <c r="AJ349" i="27" s="1"/>
  <c r="V346" i="27"/>
  <c r="AJ346" i="27" s="1"/>
  <c r="V345" i="27"/>
  <c r="AJ345" i="27" s="1"/>
  <c r="V328" i="27"/>
  <c r="AJ328" i="27" s="1"/>
  <c r="V343" i="27"/>
  <c r="AJ343" i="27" s="1"/>
  <c r="V327" i="27"/>
  <c r="AJ327" i="27" s="1"/>
  <c r="V342" i="27"/>
  <c r="AJ342" i="27" s="1"/>
  <c r="V334" i="27"/>
  <c r="AJ334" i="27" s="1"/>
  <c r="V344" i="27"/>
  <c r="AJ344" i="27" s="1"/>
  <c r="V323" i="27"/>
  <c r="AJ323" i="27" s="1"/>
  <c r="V337" i="27"/>
  <c r="AJ337" i="27" s="1"/>
  <c r="V322" i="27"/>
  <c r="AJ322" i="27" s="1"/>
  <c r="V336" i="27"/>
  <c r="AJ336" i="27" s="1"/>
  <c r="V326" i="27"/>
  <c r="AJ326" i="27" s="1"/>
  <c r="V333" i="27"/>
  <c r="AJ333" i="27" s="1"/>
  <c r="V332" i="27"/>
  <c r="AJ332" i="27" s="1"/>
  <c r="V330" i="27"/>
  <c r="AJ330" i="27" s="1"/>
  <c r="V331" i="27"/>
  <c r="AJ331" i="27" s="1"/>
  <c r="V316" i="27"/>
  <c r="AJ316" i="27" s="1"/>
  <c r="V329" i="27"/>
  <c r="AJ329" i="27" s="1"/>
  <c r="V311" i="27"/>
  <c r="AJ311" i="27" s="1"/>
  <c r="V325" i="27"/>
  <c r="AJ325" i="27" s="1"/>
  <c r="V309" i="27"/>
  <c r="AJ309" i="27" s="1"/>
  <c r="V324" i="27"/>
  <c r="AJ324" i="27" s="1"/>
  <c r="V202" i="27"/>
  <c r="AJ202" i="27" s="1"/>
  <c r="V320" i="27"/>
  <c r="AJ320" i="27" s="1"/>
  <c r="V238" i="27"/>
  <c r="AJ238" i="27" s="1"/>
  <c r="V321" i="27"/>
  <c r="AJ321" i="27" s="1"/>
  <c r="V319" i="27"/>
  <c r="AJ319" i="27" s="1"/>
  <c r="V303" i="27"/>
  <c r="AJ303" i="27" s="1"/>
  <c r="V317" i="27"/>
  <c r="AJ317" i="27" s="1"/>
  <c r="V301" i="27"/>
  <c r="AJ301" i="27" s="1"/>
  <c r="V315" i="27"/>
  <c r="AJ315" i="27" s="1"/>
  <c r="V304" i="27"/>
  <c r="AJ304" i="27" s="1"/>
  <c r="V318" i="27"/>
  <c r="AJ318" i="27" s="1"/>
  <c r="V298" i="27"/>
  <c r="AJ298" i="27" s="1"/>
  <c r="V312" i="27"/>
  <c r="AJ312" i="27" s="1"/>
  <c r="V299" i="27"/>
  <c r="AJ299" i="27" s="1"/>
  <c r="V313" i="27"/>
  <c r="AJ313" i="27" s="1"/>
  <c r="V294" i="27"/>
  <c r="AJ294" i="27" s="1"/>
  <c r="V307" i="27"/>
  <c r="AJ307" i="27" s="1"/>
  <c r="V297" i="27"/>
  <c r="AJ297" i="27" s="1"/>
  <c r="V310" i="27"/>
  <c r="AJ310" i="27" s="1"/>
  <c r="V293" i="27"/>
  <c r="AJ293" i="27" s="1"/>
  <c r="V306" i="27"/>
  <c r="AJ306" i="27" s="1"/>
  <c r="V300" i="27"/>
  <c r="AJ300" i="27" s="1"/>
  <c r="V314" i="27"/>
  <c r="AJ314" i="27" s="1"/>
  <c r="V305" i="27"/>
  <c r="AJ305" i="27" s="1"/>
  <c r="V289" i="27"/>
  <c r="AJ289" i="27" s="1"/>
  <c r="V296" i="27"/>
  <c r="AJ296" i="27" s="1"/>
  <c r="V292" i="27"/>
  <c r="AJ292" i="27" s="1"/>
  <c r="V302" i="27"/>
  <c r="AJ302" i="27" s="1"/>
  <c r="V288" i="27"/>
  <c r="AJ288" i="27" s="1"/>
  <c r="V295" i="27"/>
  <c r="AJ295" i="27" s="1"/>
  <c r="V284" i="27"/>
  <c r="AJ284" i="27" s="1"/>
  <c r="V290" i="27"/>
  <c r="AJ290" i="27" s="1"/>
  <c r="V286" i="27"/>
  <c r="AJ286" i="27" s="1"/>
  <c r="V291" i="27"/>
  <c r="AJ291" i="27" s="1"/>
  <c r="V263" i="27"/>
  <c r="AJ263" i="27" s="1"/>
  <c r="V285" i="27"/>
  <c r="AJ285" i="27" s="1"/>
  <c r="V276" i="27"/>
  <c r="AJ276" i="27" s="1"/>
  <c r="V287" i="27"/>
  <c r="AJ287" i="27" s="1"/>
  <c r="V282" i="27"/>
  <c r="AJ282" i="27" s="1"/>
  <c r="V259" i="27"/>
  <c r="AJ259" i="27" s="1"/>
  <c r="V283" i="27"/>
  <c r="AJ283" i="27" s="1"/>
  <c r="V245" i="27"/>
  <c r="AJ245" i="27" s="1"/>
  <c r="V281" i="27"/>
  <c r="AJ281" i="27" s="1"/>
  <c r="V267" i="27"/>
  <c r="AJ267" i="27" s="1"/>
  <c r="V277" i="27"/>
  <c r="AJ277" i="27" s="1"/>
  <c r="V270" i="27"/>
  <c r="AJ270" i="27" s="1"/>
  <c r="V280" i="27"/>
  <c r="AJ280" i="27" s="1"/>
  <c r="V268" i="27"/>
  <c r="AJ268" i="27" s="1"/>
  <c r="V278" i="27"/>
  <c r="AJ278" i="27" s="1"/>
  <c r="V269" i="27"/>
  <c r="AJ269" i="27" s="1"/>
  <c r="V279" i="27"/>
  <c r="AJ279" i="27" s="1"/>
  <c r="V260" i="27"/>
  <c r="AJ260" i="27" s="1"/>
  <c r="V275" i="27"/>
  <c r="AJ275" i="27" s="1"/>
  <c r="V274" i="27"/>
  <c r="AJ274" i="27" s="1"/>
  <c r="V272" i="27"/>
  <c r="AJ272" i="27" s="1"/>
  <c r="V273" i="27"/>
  <c r="AJ273" i="27" s="1"/>
  <c r="V271" i="27"/>
  <c r="AJ271" i="27" s="1"/>
  <c r="V266" i="27"/>
  <c r="AJ266" i="27" s="1"/>
  <c r="V244" i="27"/>
  <c r="AJ244" i="27" s="1"/>
  <c r="V265" i="27"/>
  <c r="AJ265" i="27" s="1"/>
  <c r="V264" i="27"/>
  <c r="AJ264" i="27" s="1"/>
  <c r="V262" i="27"/>
  <c r="AJ262" i="27" s="1"/>
  <c r="V251" i="27"/>
  <c r="AJ251" i="27" s="1"/>
  <c r="V261" i="27"/>
  <c r="AJ261" i="27" s="1"/>
  <c r="V258" i="27"/>
  <c r="AJ258" i="27" s="1"/>
  <c r="V253" i="27"/>
  <c r="AJ253" i="27" s="1"/>
  <c r="V257" i="27"/>
  <c r="AJ257" i="27" s="1"/>
  <c r="V252" i="27"/>
  <c r="AJ252" i="27" s="1"/>
  <c r="V256" i="27"/>
  <c r="AJ256" i="27" s="1"/>
  <c r="V255" i="27"/>
  <c r="AJ255" i="27" s="1"/>
  <c r="V233" i="27"/>
  <c r="AJ233" i="27" s="1"/>
  <c r="V254" i="27"/>
  <c r="AJ254" i="27" s="1"/>
  <c r="V247" i="27"/>
  <c r="AJ247" i="27" s="1"/>
  <c r="V250" i="27"/>
  <c r="AJ250" i="27" s="1"/>
  <c r="V210" i="27"/>
  <c r="AJ210" i="27" s="1"/>
  <c r="V249" i="27"/>
  <c r="AJ249" i="27" s="1"/>
  <c r="V232" i="27"/>
  <c r="AJ232" i="27" s="1"/>
  <c r="V248" i="27"/>
  <c r="AJ248" i="27" s="1"/>
  <c r="V246" i="27"/>
  <c r="AJ246" i="27" s="1"/>
  <c r="V243" i="27"/>
  <c r="AJ243" i="27" s="1"/>
  <c r="V240" i="27"/>
  <c r="AJ240" i="27" s="1"/>
  <c r="V242" i="27"/>
  <c r="AJ242" i="27" s="1"/>
  <c r="V241" i="27"/>
  <c r="AJ241" i="27" s="1"/>
  <c r="V239" i="27"/>
  <c r="AJ239" i="27" s="1"/>
  <c r="V237" i="27"/>
  <c r="AJ237" i="27" s="1"/>
  <c r="V235" i="27"/>
  <c r="AJ235" i="27" s="1"/>
  <c r="V236" i="27"/>
  <c r="AJ236" i="27" s="1"/>
  <c r="V234" i="27"/>
  <c r="AJ234" i="27" s="1"/>
  <c r="V230" i="27"/>
  <c r="AJ230" i="27" s="1"/>
  <c r="V227" i="27"/>
  <c r="AJ227" i="27" s="1"/>
  <c r="V229" i="27"/>
  <c r="AJ229" i="27" s="1"/>
  <c r="V228" i="27"/>
  <c r="AJ228" i="27" s="1"/>
  <c r="V225" i="27"/>
  <c r="AJ225" i="27" s="1"/>
  <c r="V226" i="27"/>
  <c r="AJ226" i="27" s="1"/>
  <c r="V224" i="27"/>
  <c r="AJ224" i="27" s="1"/>
  <c r="V222" i="27"/>
  <c r="AJ222" i="27" s="1"/>
  <c r="V223" i="27"/>
  <c r="AJ223" i="27" s="1"/>
  <c r="V220" i="27"/>
  <c r="AJ220" i="27" s="1"/>
  <c r="V221" i="27"/>
  <c r="AJ221" i="27" s="1"/>
  <c r="V96" i="27"/>
  <c r="AJ96" i="27" s="1"/>
  <c r="V217" i="27"/>
  <c r="AJ217" i="27" s="1"/>
  <c r="V215" i="27"/>
  <c r="AJ215" i="27" s="1"/>
  <c r="V218" i="27"/>
  <c r="AJ218" i="27" s="1"/>
  <c r="V216" i="27"/>
  <c r="AJ216" i="27" s="1"/>
  <c r="V219" i="27"/>
  <c r="AJ219" i="27" s="1"/>
  <c r="V209" i="27"/>
  <c r="AJ209" i="27" s="1"/>
  <c r="V213" i="27"/>
  <c r="AJ213" i="27" s="1"/>
  <c r="V207" i="27"/>
  <c r="AJ207" i="27" s="1"/>
  <c r="V211" i="27"/>
  <c r="AJ211" i="27" s="1"/>
  <c r="V208" i="27"/>
  <c r="AJ208" i="27" s="1"/>
  <c r="V212" i="27"/>
  <c r="AJ212" i="27" s="1"/>
  <c r="V183" i="27"/>
  <c r="AJ183" i="27" s="1"/>
  <c r="V205" i="27"/>
  <c r="AJ205" i="27" s="1"/>
  <c r="V206" i="27"/>
  <c r="AJ206" i="27" s="1"/>
  <c r="V204" i="27"/>
  <c r="AJ204" i="27" s="1"/>
  <c r="V203" i="27"/>
  <c r="AJ203" i="27" s="1"/>
  <c r="V200" i="27"/>
  <c r="AJ200" i="27" s="1"/>
  <c r="V201" i="27"/>
  <c r="AJ201" i="27" s="1"/>
  <c r="V198" i="27"/>
  <c r="AJ198" i="27" s="1"/>
  <c r="V199" i="27"/>
  <c r="AJ199" i="27" s="1"/>
  <c r="V193" i="27"/>
  <c r="AJ193" i="27" s="1"/>
  <c r="V194" i="27"/>
  <c r="AJ194" i="27" s="1"/>
  <c r="V196" i="27"/>
  <c r="AJ196" i="27" s="1"/>
  <c r="V197" i="27"/>
  <c r="AJ197" i="27" s="1"/>
  <c r="V192" i="27"/>
  <c r="AJ192" i="27" s="1"/>
  <c r="V190" i="27"/>
  <c r="AJ190" i="27" s="1"/>
  <c r="V191" i="27"/>
  <c r="AJ191" i="27" s="1"/>
  <c r="V189" i="27"/>
  <c r="AJ189" i="27" s="1"/>
  <c r="V188" i="27"/>
  <c r="AJ188" i="27" s="1"/>
  <c r="V187" i="27"/>
  <c r="AJ187" i="27" s="1"/>
  <c r="V186" i="27"/>
  <c r="AJ186" i="27" s="1"/>
  <c r="V185" i="27"/>
  <c r="AJ185" i="27" s="1"/>
  <c r="V154" i="27"/>
  <c r="AJ154" i="27" s="1"/>
  <c r="V184" i="27"/>
  <c r="AJ184" i="27" s="1"/>
  <c r="V182" i="27"/>
  <c r="AJ182" i="27" s="1"/>
  <c r="V181" i="27"/>
  <c r="AJ181" i="27" s="1"/>
  <c r="V180" i="27"/>
  <c r="AJ180" i="27" s="1"/>
  <c r="V179" i="27"/>
  <c r="AJ179" i="27" s="1"/>
  <c r="V177" i="27"/>
  <c r="AJ177" i="27" s="1"/>
  <c r="V178" i="27"/>
  <c r="AJ178" i="27" s="1"/>
  <c r="V176" i="27"/>
  <c r="AJ176" i="27" s="1"/>
  <c r="V174" i="27"/>
  <c r="AJ174" i="27" s="1"/>
  <c r="V175" i="27"/>
  <c r="AJ175" i="27" s="1"/>
  <c r="V173" i="27"/>
  <c r="AJ173" i="27" s="1"/>
  <c r="V172" i="27"/>
  <c r="AJ172" i="27" s="1"/>
  <c r="V170" i="27"/>
  <c r="AJ170" i="27" s="1"/>
  <c r="V169" i="27"/>
  <c r="AJ169" i="27" s="1"/>
  <c r="V171" i="27"/>
  <c r="AJ171" i="27" s="1"/>
  <c r="V168" i="27"/>
  <c r="AJ168" i="27" s="1"/>
  <c r="V167" i="27"/>
  <c r="AJ167" i="27" s="1"/>
  <c r="V164" i="27"/>
  <c r="AJ164" i="27" s="1"/>
  <c r="V166" i="27"/>
  <c r="AJ166" i="27" s="1"/>
  <c r="V159" i="27"/>
  <c r="AJ159" i="27" s="1"/>
  <c r="V165" i="27"/>
  <c r="AJ165" i="27" s="1"/>
  <c r="V160" i="27"/>
  <c r="AJ160" i="27" s="1"/>
  <c r="V163" i="27"/>
  <c r="AJ163" i="27" s="1"/>
  <c r="V161" i="27"/>
  <c r="AJ161" i="27" s="1"/>
  <c r="R694" i="22"/>
  <c r="O10" i="7"/>
  <c r="C18" i="9" l="1"/>
  <c r="C27" i="9"/>
  <c r="C28" i="9"/>
  <c r="C19" i="9"/>
  <c r="G14" i="24"/>
  <c r="G29" i="24"/>
  <c r="G16" i="24"/>
  <c r="G13" i="24"/>
  <c r="G33" i="24"/>
  <c r="G30" i="24"/>
  <c r="V147" i="27"/>
  <c r="V82" i="27"/>
  <c r="V63" i="27"/>
  <c r="V66" i="27"/>
  <c r="V126" i="27"/>
  <c r="G31" i="24"/>
  <c r="G27" i="24"/>
  <c r="G20" i="24"/>
  <c r="G28" i="24"/>
  <c r="G22" i="24"/>
  <c r="G19" i="24"/>
  <c r="G15" i="24"/>
  <c r="G24" i="24"/>
  <c r="V22" i="27"/>
  <c r="V74" i="27"/>
  <c r="V28" i="27"/>
  <c r="V146" i="27"/>
  <c r="V77" i="27"/>
  <c r="V133" i="27"/>
  <c r="G10" i="24"/>
  <c r="G26" i="24"/>
  <c r="G18" i="24"/>
  <c r="G17" i="24"/>
  <c r="G11" i="24"/>
  <c r="G21" i="24"/>
  <c r="V20" i="27"/>
  <c r="V21" i="27"/>
  <c r="V128" i="27"/>
  <c r="V23" i="27"/>
  <c r="G12" i="24"/>
  <c r="G25" i="24"/>
  <c r="G23" i="24"/>
  <c r="V152" i="27"/>
  <c r="V18" i="27"/>
  <c r="V123" i="27"/>
  <c r="V65" i="27"/>
  <c r="V2" i="27"/>
  <c r="V70" i="27"/>
  <c r="V150" i="27"/>
  <c r="V54" i="27"/>
  <c r="V134" i="27"/>
  <c r="V12" i="27"/>
  <c r="V121" i="27"/>
  <c r="V135" i="27"/>
  <c r="V11" i="27"/>
  <c r="V104" i="27"/>
  <c r="V99" i="27"/>
  <c r="V100" i="27"/>
  <c r="V64" i="27"/>
  <c r="V139" i="27"/>
  <c r="V62" i="27"/>
  <c r="V120" i="27"/>
  <c r="V53" i="27"/>
  <c r="V118" i="27"/>
  <c r="V102" i="27"/>
  <c r="V26" i="27"/>
  <c r="V78" i="27"/>
  <c r="V138" i="27"/>
  <c r="V94" i="27"/>
  <c r="V117" i="27"/>
  <c r="V55" i="27"/>
  <c r="V140" i="27"/>
  <c r="V95" i="27"/>
  <c r="V10" i="27"/>
  <c r="V106" i="27"/>
  <c r="V107" i="27"/>
  <c r="V97" i="27"/>
  <c r="V75" i="27"/>
  <c r="V87" i="27"/>
  <c r="V72" i="27"/>
  <c r="V153" i="27"/>
  <c r="V149" i="27"/>
  <c r="V67" i="27"/>
  <c r="AJ67" i="27" s="1"/>
  <c r="V47" i="27"/>
  <c r="V91" i="27"/>
  <c r="V27" i="27"/>
  <c r="V49" i="27"/>
  <c r="V17" i="27"/>
  <c r="V89" i="27"/>
  <c r="V9" i="27"/>
  <c r="V157" i="27"/>
  <c r="V90" i="27"/>
  <c r="V3" i="27"/>
  <c r="V8" i="27"/>
  <c r="V61" i="27"/>
  <c r="V15" i="27"/>
  <c r="V119" i="27"/>
  <c r="V132" i="27"/>
  <c r="V14" i="27"/>
  <c r="V85" i="27"/>
  <c r="V84" i="27"/>
  <c r="V101" i="27"/>
  <c r="V60" i="27"/>
  <c r="V69" i="27"/>
  <c r="V71" i="27"/>
  <c r="V105" i="27"/>
  <c r="V143" i="27"/>
  <c r="V148" i="27"/>
  <c r="V156" i="27"/>
  <c r="V108" i="27"/>
  <c r="V51" i="27"/>
  <c r="V73" i="27"/>
  <c r="V98" i="27"/>
  <c r="V129" i="27"/>
  <c r="V5" i="27"/>
  <c r="V127" i="27"/>
  <c r="V50" i="27"/>
  <c r="V52" i="27"/>
  <c r="V155" i="27"/>
  <c r="V7" i="27"/>
  <c r="V136" i="27"/>
  <c r="V68" i="27"/>
  <c r="AJ68" i="27" s="1"/>
  <c r="V48" i="27"/>
  <c r="V122" i="27"/>
  <c r="V81" i="27"/>
  <c r="V83" i="27"/>
  <c r="V24" i="27"/>
  <c r="AJ24" i="27" s="1"/>
  <c r="V116" i="27"/>
  <c r="V6" i="27"/>
  <c r="V145" i="27"/>
  <c r="V16" i="27"/>
  <c r="V125" i="27"/>
  <c r="V137" i="27"/>
  <c r="V4" i="27"/>
  <c r="V19" i="27"/>
  <c r="V86" i="27"/>
  <c r="V46" i="27"/>
  <c r="V141" i="27"/>
  <c r="V115" i="27"/>
  <c r="V76" i="27"/>
  <c r="V113" i="27"/>
  <c r="V144" i="27"/>
  <c r="V80" i="27"/>
  <c r="V158" i="27"/>
  <c r="V79" i="27"/>
  <c r="V151" i="27"/>
  <c r="U12" i="27"/>
  <c r="AL12" i="27" s="1"/>
  <c r="O15" i="38" s="1"/>
  <c r="V25" i="27"/>
  <c r="V88" i="27"/>
  <c r="AJ88" i="27" l="1"/>
  <c r="AJ25" i="27"/>
  <c r="AJ151" i="27"/>
  <c r="AJ79" i="27"/>
  <c r="AJ114" i="27"/>
  <c r="AJ158" i="27"/>
  <c r="AJ80" i="27"/>
  <c r="AJ144" i="27"/>
  <c r="AJ113" i="27"/>
  <c r="AJ76" i="27"/>
  <c r="AJ115" i="27"/>
  <c r="AJ141" i="27"/>
  <c r="AJ46" i="27"/>
  <c r="AJ86" i="27"/>
  <c r="AJ19" i="27"/>
  <c r="AJ4" i="27"/>
  <c r="AJ137" i="27"/>
  <c r="AJ125" i="27"/>
  <c r="AJ16" i="27"/>
  <c r="AJ145" i="27"/>
  <c r="AJ6" i="27"/>
  <c r="AJ116" i="27"/>
  <c r="AJ83" i="27"/>
  <c r="AJ81" i="27"/>
  <c r="AJ122" i="27"/>
  <c r="AJ48" i="27"/>
  <c r="AJ136" i="27"/>
  <c r="AJ7" i="27"/>
  <c r="AJ155" i="27"/>
  <c r="AJ52" i="27"/>
  <c r="AJ50" i="27"/>
  <c r="AJ127" i="27"/>
  <c r="AJ5" i="27"/>
  <c r="AJ129" i="27"/>
  <c r="AJ98" i="27"/>
  <c r="AJ73" i="27"/>
  <c r="AJ51" i="27"/>
  <c r="AJ108" i="27"/>
  <c r="AJ156" i="27"/>
  <c r="AJ148" i="27"/>
  <c r="AJ143" i="27"/>
  <c r="AJ105" i="27"/>
  <c r="AJ71" i="27"/>
  <c r="AJ69" i="27"/>
  <c r="AJ60" i="27"/>
  <c r="AJ101" i="27"/>
  <c r="AJ84" i="27"/>
  <c r="AJ85" i="27"/>
  <c r="AJ14" i="27"/>
  <c r="AJ132" i="27"/>
  <c r="AJ119" i="27"/>
  <c r="AJ15" i="27"/>
  <c r="AJ61" i="27"/>
  <c r="AJ8" i="27"/>
  <c r="AJ3" i="27"/>
  <c r="AJ90" i="27"/>
  <c r="AJ157" i="27"/>
  <c r="AJ9" i="27"/>
  <c r="AJ89" i="27"/>
  <c r="AJ17" i="27"/>
  <c r="AJ49" i="27"/>
  <c r="AJ27" i="27"/>
  <c r="AJ91" i="27"/>
  <c r="AJ47" i="27"/>
  <c r="AJ149" i="27"/>
  <c r="AJ153" i="27"/>
  <c r="AJ72" i="27"/>
  <c r="AL72" i="27" s="1"/>
  <c r="O49" i="38" s="1"/>
  <c r="AJ87" i="27"/>
  <c r="AJ75" i="27"/>
  <c r="AJ97" i="27"/>
  <c r="AJ107" i="27"/>
  <c r="AJ106" i="27"/>
  <c r="AJ10" i="27"/>
  <c r="AJ95" i="27"/>
  <c r="AJ140" i="27"/>
  <c r="AJ55" i="27"/>
  <c r="AJ117" i="27"/>
  <c r="AJ94" i="27"/>
  <c r="AJ138" i="27"/>
  <c r="AJ78" i="27"/>
  <c r="AJ26" i="27"/>
  <c r="AJ102" i="27"/>
  <c r="AJ118" i="27"/>
  <c r="AJ53" i="27"/>
  <c r="AJ120" i="27"/>
  <c r="AJ62" i="27"/>
  <c r="AJ139" i="27"/>
  <c r="AJ64" i="27"/>
  <c r="AJ100" i="27"/>
  <c r="AJ99" i="27"/>
  <c r="AJ104" i="27"/>
  <c r="AJ11" i="27"/>
  <c r="AJ135" i="27"/>
  <c r="AJ121" i="27"/>
  <c r="AJ12" i="27"/>
  <c r="AJ134" i="27"/>
  <c r="AJ54" i="27"/>
  <c r="AJ150" i="27"/>
  <c r="AJ70" i="27"/>
  <c r="AJ2" i="27"/>
  <c r="AJ65" i="27"/>
  <c r="AJ123" i="27"/>
  <c r="AJ18" i="27"/>
  <c r="AJ152" i="27"/>
  <c r="AJ23" i="27"/>
  <c r="AJ128" i="27"/>
  <c r="AJ21" i="27"/>
  <c r="AJ20" i="27"/>
  <c r="AJ133" i="27"/>
  <c r="AJ77" i="27"/>
  <c r="AJ146" i="27"/>
  <c r="AJ28" i="27"/>
  <c r="AJ74" i="27"/>
  <c r="AJ22" i="27"/>
  <c r="AJ126" i="27"/>
  <c r="AJ66" i="27"/>
  <c r="AJ63" i="27"/>
  <c r="AJ82" i="27"/>
  <c r="AJ147" i="27"/>
  <c r="D24" i="9" l="1"/>
  <c r="E24" i="9" s="1"/>
  <c r="D25" i="9"/>
  <c r="E25" i="9" s="1"/>
  <c r="T131" i="27"/>
  <c r="T130" i="27"/>
  <c r="E14" i="9" l="1"/>
  <c r="E11" i="9"/>
  <c r="D16" i="9"/>
  <c r="E16" i="9" s="1"/>
  <c r="E23" i="9"/>
  <c r="D15" i="9"/>
  <c r="E15" i="9" s="1"/>
  <c r="U130" i="27"/>
  <c r="AL130" i="27" s="1"/>
  <c r="U131" i="27"/>
  <c r="AL131" i="27" s="1"/>
  <c r="V130" i="27"/>
  <c r="V131" i="27"/>
  <c r="O94" i="38" l="1"/>
  <c r="D20" i="9" s="1"/>
  <c r="E26" i="9"/>
  <c r="E17" i="9"/>
  <c r="D13" i="9"/>
  <c r="E13" i="9" s="1"/>
  <c r="D19" i="9"/>
  <c r="E19" i="9" s="1"/>
  <c r="D28" i="9"/>
  <c r="E28" i="9" s="1"/>
  <c r="D12" i="9"/>
  <c r="E12" i="9" s="1"/>
  <c r="AJ130" i="27"/>
  <c r="AJ131" i="27"/>
  <c r="L4" i="8" l="1"/>
  <c r="L10" i="7"/>
  <c r="L4" i="7"/>
  <c r="D21" i="9" s="1"/>
  <c r="D18" i="9"/>
  <c r="E18" i="9" s="1"/>
  <c r="D27" i="9"/>
  <c r="E27" i="9" s="1"/>
  <c r="E21" i="9" l="1"/>
  <c r="D22" i="9"/>
  <c r="E20" i="9"/>
  <c r="E22" i="9" l="1"/>
</calcChain>
</file>

<file path=xl/sharedStrings.xml><?xml version="1.0" encoding="utf-8"?>
<sst xmlns="http://schemas.openxmlformats.org/spreadsheetml/2006/main" count="5655" uniqueCount="717">
  <si>
    <t xml:space="preserve">Month </t>
  </si>
  <si>
    <t xml:space="preserve">Date </t>
  </si>
  <si>
    <t>Operation Year</t>
  </si>
  <si>
    <t>Year Start Date</t>
  </si>
  <si>
    <t>Year End Date</t>
  </si>
  <si>
    <t>Sr. No.</t>
  </si>
  <si>
    <t>Particular</t>
  </si>
  <si>
    <t>Target</t>
  </si>
  <si>
    <t>Measured</t>
  </si>
  <si>
    <t>Deviation</t>
  </si>
  <si>
    <t>Remarks</t>
  </si>
  <si>
    <t>CC*Bugt (Daily)</t>
  </si>
  <si>
    <t>CC*Bugt (MTD)</t>
  </si>
  <si>
    <t>CC*Bugt (YTD)</t>
  </si>
  <si>
    <t>E_Grid Daily (MWh)</t>
  </si>
  <si>
    <t>E_Grid MTD(MWh)</t>
  </si>
  <si>
    <t>E_Grid YTD (MWh)</t>
  </si>
  <si>
    <t>POA Daily</t>
  </si>
  <si>
    <t>POA MTD</t>
  </si>
  <si>
    <t>POA YTD</t>
  </si>
  <si>
    <t>PR Daily</t>
  </si>
  <si>
    <t>PR MTD</t>
  </si>
  <si>
    <t>PR YTD</t>
  </si>
  <si>
    <t>PA Daily</t>
  </si>
  <si>
    <t>PA MTD</t>
  </si>
  <si>
    <t>PA YTD</t>
  </si>
  <si>
    <t>GA Daily</t>
  </si>
  <si>
    <t>GA MTD</t>
  </si>
  <si>
    <t>GA YTD</t>
  </si>
  <si>
    <t>CUF Daily</t>
  </si>
  <si>
    <t>CUF MTD</t>
  </si>
  <si>
    <t>CUF YTD</t>
  </si>
  <si>
    <t>Performance Summary Ghatodi</t>
  </si>
  <si>
    <t>SPV</t>
  </si>
  <si>
    <t>O2RE7</t>
  </si>
  <si>
    <t>O2RE27</t>
  </si>
  <si>
    <t>From</t>
  </si>
  <si>
    <t>To</t>
  </si>
  <si>
    <t>Till Date</t>
  </si>
  <si>
    <t>Year</t>
  </si>
  <si>
    <t>Days</t>
  </si>
  <si>
    <r>
      <rPr>
        <b/>
        <sz val="11"/>
        <color theme="0"/>
        <rFont val="Calibri"/>
        <family val="2"/>
        <scheme val="minor"/>
      </rPr>
      <t>Estimated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</si>
  <si>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r>
      <rPr>
        <b/>
        <sz val="11"/>
        <color theme="0"/>
        <rFont val="Calibri"/>
        <family val="2"/>
        <scheme val="minor"/>
      </rPr>
      <t>Measured POA(kWh/M</t>
    </r>
    <r>
      <rPr>
        <b/>
        <vertAlign val="superscript"/>
        <sz val="11"/>
        <color theme="0"/>
        <rFont val="Calibri"/>
        <family val="2"/>
        <scheme val="minor"/>
      </rPr>
      <t>2</t>
    </r>
    <r>
      <rPr>
        <b/>
        <sz val="11"/>
        <color theme="0"/>
        <rFont val="Calibri"/>
        <family val="2"/>
        <scheme val="minor"/>
      </rPr>
      <t>)</t>
    </r>
  </si>
  <si>
    <t>Budgeted Energy (MWh)</t>
  </si>
  <si>
    <t>Measured Energy (MWh)</t>
  </si>
  <si>
    <t>Target CUF (%)</t>
  </si>
  <si>
    <t>Measured CUF (%)</t>
  </si>
  <si>
    <t>Target GA (%)</t>
  </si>
  <si>
    <t>Measured GA (%)</t>
  </si>
  <si>
    <t>Target PA (%)</t>
  </si>
  <si>
    <t>Measured PA (%)</t>
  </si>
  <si>
    <t>Budgeted PR (MWh)</t>
  </si>
  <si>
    <t>Measured PR(MWh)</t>
  </si>
  <si>
    <t>Month</t>
  </si>
  <si>
    <t>Estimated POA(m/s)</t>
  </si>
  <si>
    <t>Measured POA (m/s)</t>
  </si>
  <si>
    <t>Target PR (%)</t>
  </si>
  <si>
    <t>Measured PR (%)</t>
  </si>
  <si>
    <t>Measured WPR (%)</t>
  </si>
  <si>
    <t>Start Date</t>
  </si>
  <si>
    <t>End Date</t>
  </si>
  <si>
    <t>Row Labels</t>
  </si>
  <si>
    <t>Sum of O2RE7</t>
  </si>
  <si>
    <t>Sum of O2RE27</t>
  </si>
  <si>
    <t>2025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</si>
  <si>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</si>
  <si>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</si>
  <si>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</si>
  <si>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</si>
  <si>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</si>
  <si>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</si>
  <si>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</si>
  <si>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</si>
  <si>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</si>
  <si>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</si>
  <si>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</si>
  <si>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</si>
  <si>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Date</t>
  </si>
  <si>
    <t>Financial Year</t>
  </si>
  <si>
    <t>Calendar Year</t>
  </si>
  <si>
    <t>Month Year</t>
  </si>
  <si>
    <t>Operating Hours</t>
  </si>
  <si>
    <t>GHI-UP (KWh/m2)</t>
  </si>
  <si>
    <t>GHI-Down(KWh/m2)</t>
  </si>
  <si>
    <t>POA-UP(KWh/m2)</t>
  </si>
  <si>
    <t>POA-Down(KWh/m2)</t>
  </si>
  <si>
    <t>Amb_Temp(°C)</t>
  </si>
  <si>
    <t>Mod_Temp(°C)</t>
  </si>
  <si>
    <t>WS_Avg(m/s)</t>
  </si>
  <si>
    <t>WS_Max(m/s)</t>
  </si>
  <si>
    <t>PA(%)</t>
  </si>
  <si>
    <t>MA (%)</t>
  </si>
  <si>
    <t>IGA (%)</t>
  </si>
  <si>
    <t>EGA(%)</t>
  </si>
  <si>
    <t>EMA (%)</t>
  </si>
  <si>
    <t>TA (%)</t>
  </si>
  <si>
    <t>PR(%)</t>
  </si>
  <si>
    <t>WPR(%)</t>
  </si>
  <si>
    <t>CUF(%)</t>
  </si>
  <si>
    <t>Gen_Exp (kWh)</t>
  </si>
  <si>
    <t>Mtr_Export (kWh)</t>
  </si>
  <si>
    <t>Mtr_Import (kWh)</t>
  </si>
  <si>
    <t>Mtr_Net_Exp (KWh)</t>
  </si>
  <si>
    <t>Operational Capacity (MW)</t>
  </si>
  <si>
    <t>Bugt_Resource</t>
  </si>
  <si>
    <t>Bugt_Energy</t>
  </si>
  <si>
    <t>Bugt PR</t>
  </si>
  <si>
    <t>Bugt CUF</t>
  </si>
  <si>
    <t>Bugt_PA</t>
  </si>
  <si>
    <t>Bugt_EGA</t>
  </si>
  <si>
    <t>Expected Energy</t>
  </si>
  <si>
    <t>Actual Energy WPR</t>
  </si>
  <si>
    <t>RA (%)</t>
  </si>
  <si>
    <t>Mod Clean Dry (Num)</t>
  </si>
  <si>
    <t>Mod Clean Wet (Num)</t>
  </si>
  <si>
    <t>Line Loss(%)</t>
  </si>
  <si>
    <t>Reactive Power (%)</t>
  </si>
  <si>
    <t>Bugt Line loss (%) (Wind)</t>
  </si>
  <si>
    <t>Bugt Reactive Power (%) (Wind)</t>
  </si>
  <si>
    <t>Bugt Capacity</t>
  </si>
  <si>
    <t>CC*Bugt</t>
  </si>
  <si>
    <t>Finacial Year</t>
  </si>
  <si>
    <t>Calendor Year</t>
  </si>
  <si>
    <t>Sunrise Time (POA&gt;20 W/m2)</t>
  </si>
  <si>
    <t>Sunset Time (POA&lt;20 W/m2)</t>
  </si>
  <si>
    <t>IS1Inv1</t>
  </si>
  <si>
    <t>IS1Inv2</t>
  </si>
  <si>
    <t>IS2Inv1</t>
  </si>
  <si>
    <t>IS2Inv2</t>
  </si>
  <si>
    <t>IS3Inv1</t>
  </si>
  <si>
    <t>IS4Inv1</t>
  </si>
  <si>
    <t>IS4Inv2</t>
  </si>
  <si>
    <t>Inv Total Gneration (MWh)</t>
  </si>
  <si>
    <t>33 kV Total Export (KWH)</t>
  </si>
  <si>
    <t>33 kV Line Loss (%)</t>
  </si>
  <si>
    <t xml:space="preserve"> Export (33 kV)</t>
  </si>
  <si>
    <t xml:space="preserve"> Net Export</t>
  </si>
  <si>
    <t>Connected DC Capcity (MWp)</t>
  </si>
  <si>
    <t>E_AC (WPR)</t>
  </si>
  <si>
    <t>E_DC (WPR)</t>
  </si>
  <si>
    <t>WPR (%)</t>
  </si>
  <si>
    <t>Operating Year</t>
  </si>
  <si>
    <t xml:space="preserve">Affected Feeder </t>
  </si>
  <si>
    <t>Consumer</t>
  </si>
  <si>
    <t>Plant Equivalent Weightage</t>
  </si>
  <si>
    <t>Breakdown Description</t>
  </si>
  <si>
    <t>Fault Start TimeStamp</t>
  </si>
  <si>
    <t>Work Start TimeStamp</t>
  </si>
  <si>
    <t>Fault Clearance time</t>
  </si>
  <si>
    <t>Response Time</t>
  </si>
  <si>
    <t>Resolution Time</t>
  </si>
  <si>
    <t>Breakdown Time</t>
  </si>
  <si>
    <t>Action taken</t>
  </si>
  <si>
    <t>Status</t>
  </si>
  <si>
    <t>Plant Equivalent breakdown</t>
  </si>
  <si>
    <t>Estimated Energy Loss (kWh)</t>
  </si>
  <si>
    <t>Year_1</t>
  </si>
  <si>
    <t>Year_2</t>
  </si>
  <si>
    <t>Month Name</t>
  </si>
  <si>
    <t>Month Number</t>
  </si>
  <si>
    <t>CY</t>
  </si>
  <si>
    <t>FY</t>
  </si>
  <si>
    <t>No. of Days in Month</t>
  </si>
  <si>
    <t>GHI</t>
  </si>
  <si>
    <t>POA</t>
  </si>
  <si>
    <t>WS</t>
  </si>
  <si>
    <t>Tamb</t>
  </si>
  <si>
    <t>Tmod</t>
  </si>
  <si>
    <t>Egrid (MWh)</t>
  </si>
  <si>
    <t>Bugt_Capacity</t>
  </si>
  <si>
    <t>PR</t>
  </si>
  <si>
    <t>Daily POA</t>
  </si>
  <si>
    <t>Days Operated</t>
  </si>
  <si>
    <t>MTD POA</t>
  </si>
  <si>
    <t>YTD POA</t>
  </si>
  <si>
    <t>Daily Energy (MWh)</t>
  </si>
  <si>
    <t>MTD Energy (MWh)</t>
  </si>
  <si>
    <t>YTD Energy (MWh)</t>
  </si>
  <si>
    <t>Bugt CUF (%)</t>
  </si>
  <si>
    <t>Bugt CUF (%) MTD</t>
  </si>
  <si>
    <t>Bugt CUF (%)YTD</t>
  </si>
  <si>
    <t>Ave. Cap MTD</t>
  </si>
  <si>
    <t>Ave. Cap YTD</t>
  </si>
  <si>
    <t>CC Energy MTD</t>
  </si>
  <si>
    <t>WS MTD</t>
  </si>
  <si>
    <t>WS YTD</t>
  </si>
  <si>
    <t>Bugt PA</t>
  </si>
  <si>
    <t>Bugt EGA</t>
  </si>
  <si>
    <t>Bugt TA</t>
  </si>
  <si>
    <t>Bugt MA</t>
  </si>
  <si>
    <t>Bugt IGA</t>
  </si>
  <si>
    <t>Corelation</t>
  </si>
  <si>
    <t>Bugt Line loss</t>
  </si>
  <si>
    <t>Bugt Reactive Power</t>
  </si>
  <si>
    <t xml:space="preserve"> Capacity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</si>
  <si>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</si>
  <si>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</si>
  <si>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</si>
  <si>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</si>
  <si>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</si>
  <si>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</si>
  <si>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</si>
  <si>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</si>
  <si>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</si>
  <si>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</si>
  <si>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</si>
  <si>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FY26</t>
  </si>
  <si>
    <t>Contractual Year</t>
  </si>
  <si>
    <t>Total Generation Time</t>
  </si>
  <si>
    <t>Inverter  Station Number (if Bd in filed)</t>
  </si>
  <si>
    <t>Inverter number (If Inv, SCb or Str BD)</t>
  </si>
  <si>
    <t>Inverter Module Number (If Inv, SCb or Str BD)</t>
  </si>
  <si>
    <t>SCB Number (If SCB or Str BD)</t>
  </si>
  <si>
    <t>String Type(If String BD)</t>
  </si>
  <si>
    <t>Equipment (If any BD other than PV  array and inv)</t>
  </si>
  <si>
    <t>C1</t>
  </si>
  <si>
    <t>C2</t>
  </si>
  <si>
    <t xml:space="preserve">Affected Equipment </t>
  </si>
  <si>
    <t>DC Capacity Affected (kW)</t>
  </si>
  <si>
    <t>Fault Category</t>
  </si>
  <si>
    <t>Fault Code (As per HMI)</t>
  </si>
  <si>
    <t>Fault Time</t>
  </si>
  <si>
    <t xml:space="preserve">Acknowledgement Time </t>
  </si>
  <si>
    <t>Work Start time on Fault</t>
  </si>
  <si>
    <t>Work Completion time on fault</t>
  </si>
  <si>
    <t xml:space="preserve">Acknow. time </t>
  </si>
  <si>
    <t>Lost PoA(kWh/m2)</t>
  </si>
  <si>
    <t>Approximate Energy Loss (KWh)</t>
  </si>
  <si>
    <t>PTW No.</t>
  </si>
  <si>
    <t>Job Card No.</t>
  </si>
  <si>
    <t>IS2</t>
  </si>
  <si>
    <t>Inv1</t>
  </si>
  <si>
    <t>IDT</t>
  </si>
  <si>
    <t>ICOG Breaker triped due to HV winding tam. High</t>
  </si>
  <si>
    <t>Check the Protection relay, fault reset &amp; charge the breaker</t>
  </si>
  <si>
    <t>Close</t>
  </si>
  <si>
    <t>Inv2</t>
  </si>
  <si>
    <t>ICOG Breaker triped Due to AC under voltage</t>
  </si>
  <si>
    <t>IS3</t>
  </si>
  <si>
    <t>IS4</t>
  </si>
  <si>
    <t>Inverter</t>
  </si>
  <si>
    <t>Inverter Trip Due to M_1 _1 Bus over voltage</t>
  </si>
  <si>
    <t xml:space="preserve">Check the field side all SCB's &amp; Inv Bus bar floting &amp; on the inverter </t>
  </si>
  <si>
    <t>MV Panel</t>
  </si>
  <si>
    <t>Due to inverter setting checking work</t>
  </si>
  <si>
    <t>Check the inverter setting &amp; turn On inverter</t>
  </si>
  <si>
    <t>Due to inverter setting Problem</t>
  </si>
  <si>
    <t>Inverter tripped due to grid voltage abnormal</t>
  </si>
  <si>
    <t>Reset the fault &amp; charge the inverter</t>
  </si>
  <si>
    <t>M1</t>
  </si>
  <si>
    <t>ICR-4 Inv-1 MPPT-1 tripped Due to Inductor Current abnormal</t>
  </si>
  <si>
    <t>Work in Progress</t>
  </si>
  <si>
    <t>M2</t>
  </si>
  <si>
    <t>ICR-4 Inv-1 MPPT-2 tripped Due to Inductor Current abnormal</t>
  </si>
  <si>
    <t>ICR-4 Inv-1 MPPT-1 tripped Due to M-1-1 square matrix insulation rasistance abnormal</t>
  </si>
  <si>
    <t>ICR-4 Inv-1 MPPT-2 tripped Due to M-1-1 square matrix insulation rasistance abnormal</t>
  </si>
  <si>
    <t>M3</t>
  </si>
  <si>
    <t>ICR-4 Inv-1 MPPT-3 tripped Due to M-1-1 square matrix insulation rasistance abnormal</t>
  </si>
  <si>
    <t>M4</t>
  </si>
  <si>
    <t>ICR-4 Inv-1 MPPT-4 tripped Due to M-1-1 square matrix insulation rasistance abnormal</t>
  </si>
  <si>
    <t>ICR-4 Inv-1 MPPT-1 tripped Due to M-1-1 hardware bus overvoltage</t>
  </si>
  <si>
    <t>ICR-4 Inv-1 MPPT-2 tripped Due to M-1-1 hardware bus overvoltage</t>
  </si>
  <si>
    <t>SCB3</t>
  </si>
  <si>
    <t>Str_Typ2(550*29)</t>
  </si>
  <si>
    <t xml:space="preserve">String Fuses </t>
  </si>
  <si>
    <t>String fuse blown</t>
  </si>
  <si>
    <t>Fuse Replaced</t>
  </si>
  <si>
    <t>SCB6</t>
  </si>
  <si>
    <t>ICR-4 Inv-1 Replacment &amp; New one inverter installed</t>
  </si>
  <si>
    <t>Inverter Replacment work done</t>
  </si>
  <si>
    <t>ICR-4 IDT Tripped Due to Over Current</t>
  </si>
  <si>
    <t>ICR-4 Inv-1 Inverter Shutdown taken due to Inverter Parameter Checking</t>
  </si>
  <si>
    <t>Check the Parameter &amp; Turn on the Inverter</t>
  </si>
  <si>
    <t>SCB1</t>
  </si>
  <si>
    <t>ICR-4 Inv-1 MPPT-2 Inverter Shutdown taken due to Inverter Parameter Checking</t>
  </si>
  <si>
    <t>ICR-4 Inv-1 MPPT-3 Inverter Shutdown taken due to Inverter Parameter Checking</t>
  </si>
  <si>
    <t>ICR-4 Inv-1 MPPT-4 Inverter Shutdown taken due to Inverter Parameter Checking</t>
  </si>
  <si>
    <t>ICR-1 Inv-1 Grid Voltage Abnormal</t>
  </si>
  <si>
    <t>ICR-1 Inv-1 PV Reverse-Current</t>
  </si>
  <si>
    <t>ICR-1 Inv-2 Grid Voltage Abnormal</t>
  </si>
  <si>
    <t>SCB2</t>
  </si>
  <si>
    <t>PTR</t>
  </si>
  <si>
    <t>PTR Tripped dur to Under Voltage/Over Voltage</t>
  </si>
  <si>
    <t>Reset the fault &amp; charge the PTR</t>
  </si>
  <si>
    <t>Str_Typ2(550*58)</t>
  </si>
  <si>
    <t>Cables</t>
  </si>
  <si>
    <t>String Cable Open</t>
  </si>
  <si>
    <t>Connect the String Cable</t>
  </si>
  <si>
    <t>SCB4</t>
  </si>
  <si>
    <t>MC-4 Connector Open</t>
  </si>
  <si>
    <t>Connect the MC-4 Connector</t>
  </si>
  <si>
    <t>Y-Connector Damage</t>
  </si>
  <si>
    <t>Y-connector replaced</t>
  </si>
  <si>
    <t>Str_Typ1(545*58)</t>
  </si>
  <si>
    <t>Y-Connector open</t>
  </si>
  <si>
    <t>Y-Connector Connected</t>
  </si>
  <si>
    <t>JOB_622</t>
  </si>
  <si>
    <t>SCB5</t>
  </si>
  <si>
    <t>Y-Connector open &amp; MC-4 Connector damage</t>
  </si>
  <si>
    <t>Replace the MC-4 Connector</t>
  </si>
  <si>
    <t>JOB_623</t>
  </si>
  <si>
    <t xml:space="preserve">PTR Tripped due to HV REF fault &amp; MCR Incomer-1 Panel flashover Due low clearance between the panel body and B-phase VDI </t>
  </si>
  <si>
    <t>Panel busbar Position has been checked and adjusted post-flashover reseted the fault &amp; charge the trafo</t>
  </si>
  <si>
    <t xml:space="preserve">Panel busbar Position has been checked and adjusted post-flashover reseted the fault &amp; charge the trafo &amp; Inverter turned on late due to heavy rain. </t>
  </si>
  <si>
    <t>ICR-3 Inv-1 tripped Due to M-1-2 square matrix insulation rasistance abnormal</t>
  </si>
  <si>
    <t xml:space="preserve">6 Sq mm Positive &amp; Negative string cable ground fault  </t>
  </si>
  <si>
    <t>Replaced 40 mtr Posi &amp; 40 mtr. Neg 6 sq mm string cable &amp; Male &amp; Female MC-4 Connector</t>
  </si>
  <si>
    <t>JOB_671</t>
  </si>
  <si>
    <t>PTR Tripped Due To Over voltage/Under Voltage Protection</t>
  </si>
  <si>
    <t xml:space="preserve">Inspection the trafo, checking the relay setting, fault reset &amp; charge the breaker </t>
  </si>
  <si>
    <t>SCB</t>
  </si>
  <si>
    <t>Connectors</t>
  </si>
  <si>
    <t>Module</t>
  </si>
  <si>
    <t>Metering System Grid</t>
  </si>
  <si>
    <t>String fuse faulty</t>
  </si>
  <si>
    <t>Replaced the fuse</t>
  </si>
  <si>
    <t xml:space="preserve">ICR-04 Inv-01 MPPT-03 tripped due to Branch fan fault </t>
  </si>
  <si>
    <t>ICR-04 Inv-01 tripped due to grid overvoltage &amp; rear power cabin fan fault</t>
  </si>
  <si>
    <t>Check the inverter parameters &amp; turn On inverter</t>
  </si>
  <si>
    <t xml:space="preserve">ICR-04 Inv-01 MPPT-04 tripped due to Branch fan fault </t>
  </si>
  <si>
    <t>Replace the Branch fan, Reset the fault &amp; charge the inverter</t>
  </si>
  <si>
    <t>M-1_1 square matrix insulation resistance abnormal</t>
  </si>
  <si>
    <t>Op. Hours</t>
  </si>
  <si>
    <t>Concumaer</t>
  </si>
  <si>
    <t>Breakdown Type</t>
  </si>
  <si>
    <t>POA Lost (kWh/m2)</t>
  </si>
  <si>
    <t>Curtailment Order imit.</t>
  </si>
  <si>
    <t>EGA_Including_CurtailmentOrder</t>
  </si>
  <si>
    <t xml:space="preserve"> </t>
  </si>
  <si>
    <t>b</t>
  </si>
  <si>
    <t>DC Capacity</t>
  </si>
  <si>
    <t>Contrcatual Year</t>
  </si>
  <si>
    <t>Cycle Number</t>
  </si>
  <si>
    <t>Resources</t>
  </si>
  <si>
    <t>ICR1</t>
  </si>
  <si>
    <t>ICR2</t>
  </si>
  <si>
    <t>ICR3</t>
  </si>
  <si>
    <t>ICR4</t>
  </si>
  <si>
    <t>ICR10</t>
  </si>
  <si>
    <t>ICR11</t>
  </si>
  <si>
    <t>ICR12</t>
  </si>
  <si>
    <t>Total NO. Module cleaned</t>
  </si>
  <si>
    <t>Morning Start Time</t>
  </si>
  <si>
    <t>Morning End Time</t>
  </si>
  <si>
    <t>Evening Start Time</t>
  </si>
  <si>
    <t>Evening End time</t>
  </si>
  <si>
    <t>Brush/MOP Replcemnet</t>
  </si>
  <si>
    <t>Water Test Report</t>
  </si>
  <si>
    <t>Remarks for the day</t>
  </si>
  <si>
    <t>ICR5</t>
  </si>
  <si>
    <t>ICR6</t>
  </si>
  <si>
    <t>ICR7</t>
  </si>
  <si>
    <t>ICR8</t>
  </si>
  <si>
    <t>MOP</t>
  </si>
  <si>
    <t>ICR9</t>
  </si>
  <si>
    <t>ICR13</t>
  </si>
  <si>
    <t>ICR14</t>
  </si>
  <si>
    <t>Total No.Table GC done</t>
  </si>
  <si>
    <t>Mrthod of Cutting</t>
  </si>
  <si>
    <t>Bush Cutter</t>
  </si>
  <si>
    <t>55 tables Grass cutting work completed</t>
  </si>
  <si>
    <t>94tables Grass cutting work completed</t>
  </si>
  <si>
    <t>107 Tables Grass Cutting Work Completed</t>
  </si>
  <si>
    <t>85 Tables Grass Cutting Work Completed</t>
  </si>
  <si>
    <t>116 Tables Grass Cutting Work Completed</t>
  </si>
  <si>
    <t>94 Tables Grass Cutting Work Completed</t>
  </si>
  <si>
    <t>58 Tables Grass Cutting Work Completed</t>
  </si>
  <si>
    <t>Labours Absent</t>
  </si>
  <si>
    <t>49 Tables Grass Cutting Work Completed</t>
  </si>
  <si>
    <t>43 Tables &amp; Non PV area Grass Cutting Work Completed</t>
  </si>
  <si>
    <t>58 Tables &amp; Non PV area Grass Cutting Work Completed</t>
  </si>
  <si>
    <t>20 Tables &amp; Non PV area Grass Cutting Work Completed</t>
  </si>
  <si>
    <t>44 Tables &amp; Non PV area Grass Cutting Work Completed</t>
  </si>
  <si>
    <t>70 Tables &amp; Non PV area Grass Cutting Work Completed</t>
  </si>
  <si>
    <t>3 Tables &amp; Non PV area Grass Cutting Work Completed</t>
  </si>
  <si>
    <t>42 Tables &amp; Non PV area Grass Cutting Work Completed</t>
  </si>
  <si>
    <t>75 Tables &amp; Non PV area Grass Cutting Work Completed</t>
  </si>
  <si>
    <t>94 Tables &amp; Non PV area Grass Cutting Work Completed</t>
  </si>
  <si>
    <t>115 Tables &amp; Non PV area Grass Cutting Work Completed</t>
  </si>
  <si>
    <t>77 Tables &amp; Non PV area Grass Cutting Work Completed</t>
  </si>
  <si>
    <t>113 Tables &amp; Non PV area Grass Cutting Work Completed</t>
  </si>
  <si>
    <t>41 Tables &amp; Non PV area Grass Cutting Work Completed</t>
  </si>
  <si>
    <t>12 Tables &amp; Non PV area Grass Cutting Work Completed by Project team</t>
  </si>
  <si>
    <t>29 Tables &amp; Non PV area Grass Cutting Work Completed by Project team</t>
  </si>
  <si>
    <t>25 Tables &amp; Non PV area Grass Cutting Work Completed by Project team</t>
  </si>
  <si>
    <t>23 Tables &amp; Non PV area Grass Cutting Work Completed by Project team</t>
  </si>
  <si>
    <t>28 Tables &amp; Non PV area Grass Cutting Work Completed by Project team</t>
  </si>
  <si>
    <t>30 Tables &amp; Non PV area Grass Cutting Work Completed by Project team</t>
  </si>
  <si>
    <t>31 Tables &amp; Non PV area Grass Cutting Work Completed by Project team</t>
  </si>
  <si>
    <t>35 Tables &amp; Non PV area Grass Cutting Work Completed by Project team</t>
  </si>
  <si>
    <t>Rotavator</t>
  </si>
  <si>
    <t>Manually Grass Cutting</t>
  </si>
  <si>
    <t>55 Tables &amp; along with supporting Non PV area Grass Cutting Work Completed</t>
  </si>
  <si>
    <t>48 Tables &amp; along with supporting Non PV area Grass Cutting Work Completed</t>
  </si>
  <si>
    <t>61 Tables &amp; along with supporting Non PV area Grass Cutting Work Completed</t>
  </si>
  <si>
    <t>59 Tables &amp; along with supporting Non PV area Grass Cutting Work Completed</t>
  </si>
  <si>
    <t>51 Tables &amp; along with supporting Non PV area Grass Cutting Work Completed</t>
  </si>
  <si>
    <t>53 Tables &amp; along with supporting Non PV area Grass Cutting Work Completed</t>
  </si>
  <si>
    <t>32 Tables &amp; along with supporting Non PV area Grass Cutting Work Completed</t>
  </si>
  <si>
    <t>60 Tables &amp; along with supporting Non PV area Grass Cutting Work Completed</t>
  </si>
  <si>
    <t>66 Tables &amp; along with supporting Non PV area Grass Cutting Work Completed</t>
  </si>
  <si>
    <t>68 Tables &amp; along with supporting Non PV area Grass Cutting Work Completed</t>
  </si>
  <si>
    <t>80 Tables &amp; along with supporting Non PV area Grass Cutting Work Completed</t>
  </si>
  <si>
    <t>71 Tables &amp; along with supporting Non PV area Grass Cutting Work Completed</t>
  </si>
  <si>
    <t>21 Tables &amp; along with supporting Non PV area Grass Cutting Work Completed</t>
  </si>
  <si>
    <t>34 Tables &amp; along with supporting Non PV area Grass Cutting Work Completed</t>
  </si>
  <si>
    <t>36 Tables &amp; along with supporting Non PV area Grass Cutting Work Completed</t>
  </si>
  <si>
    <t>46 Tables &amp; along with supporting Non PV area Grass Cutting Work Completed</t>
  </si>
  <si>
    <t>42 Tables &amp; along with supporting Non PV area Grass Cutting Work Completed</t>
  </si>
  <si>
    <t>43 Tables &amp; along with supporting Non PV area Grass Cutting Work Completed</t>
  </si>
  <si>
    <t>64 Tables &amp; along with supporting Non PV area Grass Cutting Work Completed</t>
  </si>
  <si>
    <t>40 Tables &amp; along with supporting Non PV area Grass Cutting Work Completed</t>
  </si>
  <si>
    <t>20 Tables &amp; along with supporting Non PV area Grass Cutting Work Completed</t>
  </si>
  <si>
    <t>10 Tables &amp; along with supporting Non PV area Grass Cutting Work Completed</t>
  </si>
  <si>
    <t>16 Tables &amp; along with supporting Non PV area Grass Cutting Work Completed</t>
  </si>
  <si>
    <t>47 Tables &amp; along with supporting Non PV area Grass Cutting Work Completed</t>
  </si>
  <si>
    <t>28 Tables &amp; along with supporting Non PV area Grass Cutting Work Completed</t>
  </si>
  <si>
    <t>85 Tables &amp; along with supporting Non PV area Grass Cutting Work Completed</t>
  </si>
  <si>
    <t>112 Tables &amp; along with supporting Non PV area Grass Cutting Work Completed</t>
  </si>
  <si>
    <t>115 Tables &amp; along with supporting Non PV area Grass Cutting Work Completed</t>
  </si>
  <si>
    <t>11 Tables &amp; along with supporting Non PV area Grass Cutting Work Completed</t>
  </si>
  <si>
    <t>17 Tables &amp; along with supporting Non PV area Grass Cutting Work Completed</t>
  </si>
  <si>
    <t>31 Tables &amp; along with supporting Non PV area Grass Cutting Work Completed</t>
  </si>
  <si>
    <t>63 Tables &amp; along with supporting Non PV area Grass Cutting Work Completed</t>
  </si>
  <si>
    <t>44 Tables &amp; along with supporting Non PV area Grass Cutting Work Completed</t>
  </si>
  <si>
    <t>33 Tables &amp; along with supporting Non PV area Grass Cutting Work Completed</t>
  </si>
  <si>
    <t>39 Tables &amp; along with supporting Non PV area Grass Cutting Work Completed</t>
  </si>
  <si>
    <t>38 Tables &amp; along with supporting Non PV area Grass Cutting Work Completed</t>
  </si>
  <si>
    <t>35 Tables &amp; along with supporting Non PV area Grass Cutting Work Completed</t>
  </si>
  <si>
    <t>30 Tables &amp; along with supporting Non PV area Grass Cutting Work Completed</t>
  </si>
  <si>
    <t>25 Tables &amp; along with supporting Non PV area Grass Cutting Work Completed</t>
  </si>
  <si>
    <t>45 Tables &amp; along with supporting Non PV area Grass Cutting Work Completed</t>
  </si>
  <si>
    <t>57 Tables &amp; along with supporting Non PV area Grass Cutting Work Completed</t>
  </si>
  <si>
    <t>Inverter Station</t>
  </si>
  <si>
    <t>String Type</t>
  </si>
  <si>
    <t>Equipment</t>
  </si>
  <si>
    <t>Generator</t>
  </si>
  <si>
    <t>Capacity</t>
  </si>
  <si>
    <t>% Plant Equiva. Weightage</t>
  </si>
  <si>
    <t>METERING YARD</t>
  </si>
  <si>
    <t>FEEDER</t>
  </si>
  <si>
    <t>OG</t>
  </si>
  <si>
    <t>TRANSFER</t>
  </si>
  <si>
    <t>Fault Category Plant BD sheet</t>
  </si>
  <si>
    <t>Capcity</t>
  </si>
  <si>
    <t>Customer</t>
  </si>
  <si>
    <t>Metering Yard</t>
  </si>
  <si>
    <t>AC Capcity</t>
  </si>
  <si>
    <t>DC Capcity</t>
  </si>
  <si>
    <t>COD</t>
  </si>
  <si>
    <t>Feeder No</t>
  </si>
  <si>
    <t>Inv</t>
  </si>
  <si>
    <t>Str_Typ1(545*29)</t>
  </si>
  <si>
    <t>Tx</t>
  </si>
  <si>
    <t>Solar_F1</t>
  </si>
  <si>
    <t>Line1</t>
  </si>
  <si>
    <t>TX1</t>
  </si>
  <si>
    <t>Open</t>
  </si>
  <si>
    <t>F1</t>
  </si>
  <si>
    <t>Solar</t>
  </si>
  <si>
    <t>MVP</t>
  </si>
  <si>
    <t>Expecetd DC Capcity</t>
  </si>
  <si>
    <t>OG1</t>
  </si>
  <si>
    <t>Inv3</t>
  </si>
  <si>
    <t>Aux_Tx</t>
  </si>
  <si>
    <t>Running DC Capcity</t>
  </si>
  <si>
    <t>Inv4</t>
  </si>
  <si>
    <t>MCR_MVP_SolarF1</t>
  </si>
  <si>
    <t>MCR_MVP_SolarF2</t>
  </si>
  <si>
    <t>IS2Inv1M1</t>
  </si>
  <si>
    <t>MCR_MVP_SolarF3</t>
  </si>
  <si>
    <t>IS2Inv1M2</t>
  </si>
  <si>
    <t>MCR_MVP_SolarF4</t>
  </si>
  <si>
    <t>IS2Inv1M3</t>
  </si>
  <si>
    <t>Power_Tx1</t>
  </si>
  <si>
    <t>Line_Bay1</t>
  </si>
  <si>
    <t>IS2Inv2M1</t>
  </si>
  <si>
    <t>Metering System Plant</t>
  </si>
  <si>
    <t>IS2Inv2M2</t>
  </si>
  <si>
    <t>Grid System</t>
  </si>
  <si>
    <t>IS2Inv2M3</t>
  </si>
  <si>
    <t>WMS</t>
  </si>
  <si>
    <t>IS3Inv1M1</t>
  </si>
  <si>
    <t>MMS</t>
  </si>
  <si>
    <t>Total</t>
  </si>
  <si>
    <t>IS3Inv1M2</t>
  </si>
  <si>
    <t>Battery Charger_MCR</t>
  </si>
  <si>
    <t>IS3Inv1M3</t>
  </si>
  <si>
    <t>IC_UPS</t>
  </si>
  <si>
    <t>IS3Inv1M4</t>
  </si>
  <si>
    <t>IC_Auxiliary Tranformer</t>
  </si>
  <si>
    <t>IS4Inv1M1</t>
  </si>
  <si>
    <t>IC_Auxiliary DB</t>
  </si>
  <si>
    <t>IS4Inv1M2</t>
  </si>
  <si>
    <t>IC_SCADA Panel</t>
  </si>
  <si>
    <t>IS4Inv1M3</t>
  </si>
  <si>
    <t>Manual Stop</t>
  </si>
  <si>
    <t>IS2Inv1M1SCB1</t>
  </si>
  <si>
    <t>IS2Inv1M1SCB2</t>
  </si>
  <si>
    <t>IS2Inv1M1SCB3</t>
  </si>
  <si>
    <t>IS2Inv1M1SCB4</t>
  </si>
  <si>
    <t>IS2Inv1M1SCB5</t>
  </si>
  <si>
    <t>IS2Inv1M1SCB6</t>
  </si>
  <si>
    <t>IS2Inv1M2SCB1</t>
  </si>
  <si>
    <t>IS2Inv1M2SCB2</t>
  </si>
  <si>
    <t>IS2Inv1M2SCB3</t>
  </si>
  <si>
    <t>IS2Inv1M2SCB4</t>
  </si>
  <si>
    <t>IS2Inv1M2SCB5</t>
  </si>
  <si>
    <t>IS2Inv1M2SCB6</t>
  </si>
  <si>
    <t>IS2Inv1M3SCB1</t>
  </si>
  <si>
    <t>IS2Inv1M3SCB2</t>
  </si>
  <si>
    <t>IS2Inv1M3SCB3</t>
  </si>
  <si>
    <t>IS2Inv1M3SCB4</t>
  </si>
  <si>
    <t>IS2Inv1M3SCB5</t>
  </si>
  <si>
    <t>IS2Inv1M3SCB6</t>
  </si>
  <si>
    <t>IS2Inv2M1SCB1</t>
  </si>
  <si>
    <t>IS2Inv2M1SCB2</t>
  </si>
  <si>
    <t>IS2Inv2M1SCB3</t>
  </si>
  <si>
    <t>IS2Inv2M1SCB4</t>
  </si>
  <si>
    <t>IS2Inv2M1SCB5</t>
  </si>
  <si>
    <t>IS2Inv2M1SCB6</t>
  </si>
  <si>
    <t>IS2Inv2M2SCB1</t>
  </si>
  <si>
    <t>IS2Inv2M2SCB2</t>
  </si>
  <si>
    <t>IS2Inv2M2SCB3</t>
  </si>
  <si>
    <t>IS2Inv2M2SCB4</t>
  </si>
  <si>
    <t>IS2Inv2M2SCB5</t>
  </si>
  <si>
    <t>IS2Inv2M2SCB6</t>
  </si>
  <si>
    <t>IS2Inv2M3SCB1</t>
  </si>
  <si>
    <t>IS2Inv2M3SCB2</t>
  </si>
  <si>
    <t>IS2Inv2M3SCB3</t>
  </si>
  <si>
    <t>IS2Inv2M3SCB4</t>
  </si>
  <si>
    <t>IS2Inv2M3SCB5</t>
  </si>
  <si>
    <t>IS2Inv2M3SCB6</t>
  </si>
  <si>
    <t>IS3Inv1M1SCB1</t>
  </si>
  <si>
    <t>IS3Inv1M1SCB2</t>
  </si>
  <si>
    <t>IS3Inv1M1SCB3</t>
  </si>
  <si>
    <t>IS3Inv1M1SCB4</t>
  </si>
  <si>
    <t>IS3Inv1M1SCB5</t>
  </si>
  <si>
    <t>IS3Inv1M1SCB6</t>
  </si>
  <si>
    <t>IS3Inv1M2SCB1</t>
  </si>
  <si>
    <t>IS3Inv1M2SCB2</t>
  </si>
  <si>
    <t>IS3Inv1M2SCB3</t>
  </si>
  <si>
    <t>IS3Inv1M2SCB4</t>
  </si>
  <si>
    <t>IS3Inv1M2SCB5</t>
  </si>
  <si>
    <t>IS3Inv1M2SCB6</t>
  </si>
  <si>
    <t>IS3Inv1M3SCB1</t>
  </si>
  <si>
    <t>IS3Inv1M3SCB2</t>
  </si>
  <si>
    <t>IS3Inv1M3SCB3</t>
  </si>
  <si>
    <t>IS3Inv1M3SCB4</t>
  </si>
  <si>
    <t>IS3Inv1M3SCB5</t>
  </si>
  <si>
    <t>IS3Inv1M3SCB6</t>
  </si>
  <si>
    <t>IS3Inv1M4SCB1</t>
  </si>
  <si>
    <t>IS3Inv1M4SCB2</t>
  </si>
  <si>
    <t>IS3Inv1M4SCB3</t>
  </si>
  <si>
    <t>IS3Inv1M4SCB4</t>
  </si>
  <si>
    <t>IS3Inv1M4SCB5</t>
  </si>
  <si>
    <t>IS3Inv1M4SCB6</t>
  </si>
  <si>
    <t>IS4Inv1M1SCB1</t>
  </si>
  <si>
    <t>IS4Inv1M1SCB2</t>
  </si>
  <si>
    <t>IS4Inv1M1SCB3</t>
  </si>
  <si>
    <t>IS4Inv1M1SCB4</t>
  </si>
  <si>
    <t>IS4Inv1M1SCB5</t>
  </si>
  <si>
    <t>IS4Inv1M1SCB6</t>
  </si>
  <si>
    <t>IS4Inv1M2SCB1</t>
  </si>
  <si>
    <t>IS4Inv1M2SCB2</t>
  </si>
  <si>
    <t>IS4Inv1M2SCB3</t>
  </si>
  <si>
    <t>IS4Inv1M2SCB4</t>
  </si>
  <si>
    <t>IS4Inv1M2SCB5</t>
  </si>
  <si>
    <t>IS4Inv1M2SCB6</t>
  </si>
  <si>
    <t>IS4Inv1M3SCB1</t>
  </si>
  <si>
    <t>IS4Inv1M3SCB2</t>
  </si>
  <si>
    <t>IS4Inv1M3SCB3</t>
  </si>
  <si>
    <t>IS4Inv1M3SCB4</t>
  </si>
  <si>
    <t>IS4Inv1M3SCB5</t>
  </si>
  <si>
    <t>IS4Inv1M3SCB6</t>
  </si>
  <si>
    <t>Sr. No</t>
  </si>
  <si>
    <t>Plant Name</t>
  </si>
  <si>
    <t>Categoty</t>
  </si>
  <si>
    <t>Equipment Name</t>
  </si>
  <si>
    <t>Inverter No.</t>
  </si>
  <si>
    <t>Duration in MIN</t>
  </si>
  <si>
    <t>Total Breakdown Hrs.</t>
  </si>
  <si>
    <t>Avg POA During BD time</t>
  </si>
  <si>
    <t>Lost POA</t>
  </si>
  <si>
    <t xml:space="preserve">Total POA </t>
  </si>
  <si>
    <t>Net POA</t>
  </si>
  <si>
    <t>Loss of Capacity in KWp</t>
  </si>
  <si>
    <t>Estimated PR % (Pvsyst)</t>
  </si>
  <si>
    <t>Loss of Generation kWh</t>
  </si>
  <si>
    <t>Remark</t>
  </si>
  <si>
    <t>Current Load befor Load Sheeding (AC MW)</t>
  </si>
  <si>
    <t>Load to be maintain (AC Mw)</t>
  </si>
  <si>
    <t>O/G Panel Tripped due to ICR-2 VCB Breaker Checking</t>
  </si>
  <si>
    <t>Check the ICR-2 breaker &amp; charge the O/G breaker panel</t>
  </si>
  <si>
    <t>JOB_684</t>
  </si>
  <si>
    <t>JOB_704</t>
  </si>
  <si>
    <t>JOB_705</t>
  </si>
  <si>
    <t>JOB_706</t>
  </si>
  <si>
    <t>JOB_707</t>
  </si>
  <si>
    <t>JOB_708</t>
  </si>
  <si>
    <t>JOB_709</t>
  </si>
  <si>
    <t>JOB_710</t>
  </si>
  <si>
    <t>JOB_717</t>
  </si>
  <si>
    <t>JOB_733</t>
  </si>
  <si>
    <t>Performance Summary Washi Solar</t>
  </si>
  <si>
    <t>Washi Solar Performance Summary-YTD</t>
  </si>
  <si>
    <t>Washi Performance Summary Solar</t>
  </si>
  <si>
    <t>IS3Inv2M1</t>
  </si>
  <si>
    <t>IS3Inv2M2</t>
  </si>
  <si>
    <t>IS3Inv2M3</t>
  </si>
  <si>
    <t>IS5Inv1M1</t>
  </si>
  <si>
    <t>IS5Inv1M2</t>
  </si>
  <si>
    <t>IS5Inv1M3</t>
  </si>
  <si>
    <t>IS5Inv2M1</t>
  </si>
  <si>
    <t>IS5Inv2M2</t>
  </si>
  <si>
    <t>IS5Inv2M3</t>
  </si>
  <si>
    <t>Washi Ph1</t>
  </si>
  <si>
    <t>Curtailment</t>
  </si>
  <si>
    <t>All Inverter</t>
  </si>
  <si>
    <t>Plant</t>
  </si>
  <si>
    <t>Not available</t>
  </si>
  <si>
    <t>IS3Inv2M4</t>
  </si>
  <si>
    <t>O2RE9</t>
  </si>
  <si>
    <t>O2RE19</t>
  </si>
  <si>
    <t>POA_UP_IS2 (KWh/m2)</t>
  </si>
  <si>
    <t>GHI_UP_IS2 (KWh/m2)</t>
  </si>
  <si>
    <t>AT_IS2 (°C)</t>
  </si>
  <si>
    <t>MT_IS2 (°C)</t>
  </si>
  <si>
    <t>RH_IS2 (%)</t>
  </si>
  <si>
    <t>Rain_IS2 (mm)</t>
  </si>
  <si>
    <t>WS_Avg_IS2 (m/s)</t>
  </si>
  <si>
    <t>WS_Max_IS2 (m/s)</t>
  </si>
  <si>
    <t>O2RE192</t>
  </si>
  <si>
    <t>33 kV_F1_Ex (O2RE9)</t>
  </si>
  <si>
    <t>33kV_OG1_Ex (O2RE9)</t>
  </si>
  <si>
    <t>33kV_Aux1_Im (O2RE9)</t>
  </si>
  <si>
    <t>33 kV_F2_Ex (O2RE19)</t>
  </si>
  <si>
    <t>33kV_OG2_Ex (O2RE19)</t>
  </si>
  <si>
    <t>33kV_Aux2_Im (O2RE19)</t>
  </si>
  <si>
    <t>ISInv1</t>
  </si>
  <si>
    <t>ISInv2</t>
  </si>
  <si>
    <t>ISInv3</t>
  </si>
  <si>
    <t>ISInv4</t>
  </si>
  <si>
    <t>ISInv5</t>
  </si>
  <si>
    <t>ISInv6</t>
  </si>
  <si>
    <t>ISInv7</t>
  </si>
  <si>
    <t>ISInv8</t>
  </si>
  <si>
    <t>33 kV_Solar_F1_O2RE9_Energy (kWh)</t>
  </si>
  <si>
    <t>33kV_OG1_O2RE9_Energy (KWh)</t>
  </si>
  <si>
    <t>33kV_Aux1_O2RE9_Im(KWh)</t>
  </si>
  <si>
    <t>33kV_Aux1_O2RE9_Im(KWh)2</t>
  </si>
  <si>
    <t>33 kV_Solar_F2_O2RE19_Energy (kWh)</t>
  </si>
  <si>
    <t>33kV_OG2_O2RE19_Energy (KWh)</t>
  </si>
  <si>
    <t>33kV_Aux2_O2RE19_Im(KWh)</t>
  </si>
  <si>
    <t>IS5</t>
  </si>
  <si>
    <t>IS3Inv2M1SCB1</t>
  </si>
  <si>
    <t>IS3Inv2M1SCB2</t>
  </si>
  <si>
    <t>IS3Inv2M1SCB3</t>
  </si>
  <si>
    <t>IS3Inv2M1SCB4</t>
  </si>
  <si>
    <t>IS3Inv2M1SCB5</t>
  </si>
  <si>
    <t>IS3Inv2M1SCB6</t>
  </si>
  <si>
    <t>IS3Inv2M2SCB1</t>
  </si>
  <si>
    <t>IS3Inv2M2SCB2</t>
  </si>
  <si>
    <t>IS3Inv2M2SCB3</t>
  </si>
  <si>
    <t>IS3Inv2M2SCB4</t>
  </si>
  <si>
    <t>IS3Inv2M2SCB5</t>
  </si>
  <si>
    <t>IS3Inv2M2SCB6</t>
  </si>
  <si>
    <t>IS3Inv2M3SCB1</t>
  </si>
  <si>
    <t>IS3Inv2M3SCB2</t>
  </si>
  <si>
    <t>IS3Inv2M3SCB3</t>
  </si>
  <si>
    <t>IS3Inv2M3SCB4</t>
  </si>
  <si>
    <t>IS3Inv2M3SCB5</t>
  </si>
  <si>
    <t>IS3Inv2M3SCB6</t>
  </si>
  <si>
    <t>IS3Inv2M4SCB1</t>
  </si>
  <si>
    <t>IS3Inv2M4SCB2</t>
  </si>
  <si>
    <t>IS3Inv2M4SCB3</t>
  </si>
  <si>
    <t>IS3Inv2M4SCB4</t>
  </si>
  <si>
    <t>IS3Inv2M4SCB5</t>
  </si>
  <si>
    <t>IS3Inv2M4SCB6</t>
  </si>
  <si>
    <t>IS5Inv1M1SCB1</t>
  </si>
  <si>
    <t>IS5Inv1M1SCB2</t>
  </si>
  <si>
    <t>IS5Inv1M1SCB3</t>
  </si>
  <si>
    <t>IS5Inv1M1SCB4</t>
  </si>
  <si>
    <t>IS5Inv1M1SCB5</t>
  </si>
  <si>
    <t>IS5Inv1M1SCB6</t>
  </si>
  <si>
    <t>IS5Inv1M2SCB1</t>
  </si>
  <si>
    <t>IS5Inv1M2SCB2</t>
  </si>
  <si>
    <t>IS5Inv1M2SCB3</t>
  </si>
  <si>
    <t>IS5Inv1M2SCB4</t>
  </si>
  <si>
    <t>IS5Inv1M2SCB5</t>
  </si>
  <si>
    <t>IS5Inv1M2SCB6</t>
  </si>
  <si>
    <t>IS5Inv1M3SCB1</t>
  </si>
  <si>
    <t>IS5Inv1M3SCB2</t>
  </si>
  <si>
    <t>IS5Inv1M3SCB3</t>
  </si>
  <si>
    <t>IS5Inv1M3SCB4</t>
  </si>
  <si>
    <t>IS5Inv1M3SCB5</t>
  </si>
  <si>
    <t>IS5Inv1M3SCB6</t>
  </si>
  <si>
    <t>IS5Inv2M1SCB1</t>
  </si>
  <si>
    <t>IS5Inv2M1SCB2</t>
  </si>
  <si>
    <t>IS5Inv2M1SCB3</t>
  </si>
  <si>
    <t>IS5Inv2M1SCB4</t>
  </si>
  <si>
    <t>IS5Inv2M1SCB5</t>
  </si>
  <si>
    <t>IS5Inv2M1SCB6</t>
  </si>
  <si>
    <t>IS5Inv2M2SCB1</t>
  </si>
  <si>
    <t>IS5Inv2M2SCB2</t>
  </si>
  <si>
    <t>IS5Inv2M2SCB3</t>
  </si>
  <si>
    <t>IS5Inv2M2SCB4</t>
  </si>
  <si>
    <t>IS5Inv2M2SCB5</t>
  </si>
  <si>
    <t>IS5Inv2M2SCB6</t>
  </si>
  <si>
    <t>IS5Inv2M3SCB1</t>
  </si>
  <si>
    <t>IS5Inv2M3SCB2</t>
  </si>
  <si>
    <t>IS5Inv2M3SCB3</t>
  </si>
  <si>
    <t>IS5Inv2M3SCB4</t>
  </si>
  <si>
    <t>IS5Inv2M3SCB5</t>
  </si>
  <si>
    <t>IS5Inv2M3SCB6</t>
  </si>
  <si>
    <t>Solar_F2</t>
  </si>
  <si>
    <t>Avg 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</si>
</sst>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 * #,##0.00_ ;_ * \-#,##0.00_ ;_ * &quot;-&quot;??_ ;_ @_ "/>
    <numFmt numFmtId="164" formatCode="_(* #,##0.00_);_(* \(#,##0.00\);_(* &quot;-&quot;??_);_(@_)"/>
    <numFmt numFmtId="165" formatCode="0.0"/>
    <numFmt numFmtId="166" formatCode="0.0%"/>
    <numFmt numFmtId="167" formatCode="_ * #,##0_ ;_ * \-#,##0_ ;_ * &quot;-&quot;??_ ;_ @_ "/>
    <numFmt numFmtId="168" formatCode="[$-409]d/mmm/yy;@"/>
    <numFmt numFmtId="169" formatCode="h:mm;@"/>
    <numFmt numFmtId="170" formatCode="0.000"/>
    <numFmt numFmtId="171" formatCode="[$-409]mmm/yy;@"/>
    <numFmt numFmtId="172" formatCode="[$-409]d\-mmm\-yy;@"/>
    <numFmt numFmtId="173" formatCode="[$-F400]h:mm:ss\ AM/PM"/>
    <numFmt numFmtId="174" formatCode="0.000_);[Red]\(0.000\)"/>
    <numFmt numFmtId="175" formatCode="0.00_);[Red]\(0.00\)"/>
    <numFmt numFmtId="176" formatCode="[$-409]mmm\-yy;@"/>
    <numFmt numFmtId="177" formatCode="[$-409]dd/mmm/yy;@"/>
    <numFmt numFmtId="178" formatCode="h:mm"/>
    <numFmt numFmtId="179" formatCode="d\-mmm\-yy"/>
  </numFmts>
  <fonts count="6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Helvetica Neue"/>
      <family val="2"/>
    </font>
    <font>
      <sz val="10"/>
      <name val="Palatino Linotype"/>
      <family val="1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Hadassah Friedlaender"/>
      <family val="1"/>
      <charset val="177"/>
    </font>
    <font>
      <b/>
      <sz val="10"/>
      <color theme="0"/>
      <name val="Hadassah Friedlaender"/>
      <family val="1"/>
      <charset val="177"/>
    </font>
    <font>
      <sz val="10"/>
      <name val="Hadassah Friedlaender"/>
      <family val="1"/>
      <charset val="177"/>
    </font>
    <font>
      <sz val="10"/>
      <color theme="1"/>
      <name val="Hadassah Friedlaender"/>
      <family val="1"/>
      <charset val="177"/>
    </font>
    <font>
      <b/>
      <sz val="10"/>
      <name val="Hadassah Friedlaender"/>
      <family val="1"/>
      <charset val="177"/>
    </font>
    <font>
      <sz val="10"/>
      <name val="Arial"/>
      <family val="2"/>
    </font>
    <font>
      <sz val="11"/>
      <color indexed="8"/>
      <name val="Calibri"/>
      <family val="2"/>
    </font>
    <font>
      <b/>
      <vertAlign val="superscript"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Palatino Linotype"/>
      <family val="1"/>
      <charset val="134"/>
    </font>
    <font>
      <sz val="11"/>
      <color indexed="8"/>
      <name val="Calibri"/>
      <family val="2"/>
      <charset val="134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Helvetica Neue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theme="0"/>
      <name val="Calibri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theme="9"/>
      </patternFill>
    </fill>
  </fills>
  <borders count="7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  <border>
      <left style="thin">
        <color theme="2" tint="-9.9917600024414813E-2"/>
      </left>
      <right/>
      <top/>
      <bottom style="thin">
        <color theme="2" tint="-9.9917600024414813E-2"/>
      </bottom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/>
      <diagonal/>
    </border>
    <border>
      <left style="thin">
        <color theme="2" tint="-9.9917600024414813E-2"/>
      </left>
      <right/>
      <top/>
      <bottom/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  <border>
      <left style="thin">
        <color theme="2" tint="-9.9887081514938816E-2"/>
      </left>
      <right style="thin">
        <color theme="2" tint="-9.9887081514938816E-2"/>
      </right>
      <top/>
      <bottom style="thin">
        <color theme="2" tint="-9.9887081514938816E-2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hair">
        <color theme="5"/>
      </top>
      <bottom style="hair">
        <color theme="5"/>
      </bottom>
      <diagonal/>
    </border>
    <border>
      <left/>
      <right/>
      <top style="hair">
        <color theme="5"/>
      </top>
      <bottom style="hair">
        <color theme="5"/>
      </bottom>
      <diagonal/>
    </border>
    <border>
      <left/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double">
        <color theme="5" tint="0.59996337778862885"/>
      </right>
      <top/>
      <bottom style="medium">
        <color auto="1"/>
      </bottom>
      <diagonal/>
    </border>
    <border>
      <left style="double">
        <color theme="5" tint="0.599963377788628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theme="5" tint="0.59996337778862885"/>
      </left>
      <right style="double">
        <color theme="5" tint="0.59996337778862885"/>
      </right>
      <top/>
      <bottom/>
      <diagonal/>
    </border>
    <border>
      <left style="medium">
        <color auto="1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medium">
        <color auto="1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medium">
        <color auto="1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hair">
        <color theme="5"/>
      </bottom>
      <diagonal/>
    </border>
    <border>
      <left style="medium">
        <color auto="1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medium">
        <color auto="1"/>
      </bottom>
      <diagonal/>
    </border>
    <border>
      <left style="hair">
        <color theme="5"/>
      </left>
      <right style="medium">
        <color auto="1"/>
      </right>
      <top style="hair">
        <color theme="5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/>
      <bottom style="hair">
        <color auto="1"/>
      </bottom>
      <diagonal/>
    </border>
    <border>
      <left style="dotted">
        <color theme="5" tint="0.59996337778862885"/>
      </left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dotted">
        <color theme="5" tint="0.59996337778862885"/>
      </right>
      <top style="hair">
        <color auto="1"/>
      </top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17600024414813E-2"/>
      </left>
      <right style="thin">
        <color theme="2" tint="-9.9917600024414813E-2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99">
    <xf numFmtId="0" fontId="0" fillId="0" borderId="0"/>
    <xf numFmtId="164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164" fontId="34" fillId="0" borderId="0" applyFont="0" applyFill="0" applyBorder="0" applyAlignment="0" applyProtection="0"/>
    <xf numFmtId="0" fontId="34" fillId="0" borderId="0"/>
    <xf numFmtId="0" fontId="31" fillId="0" borderId="0"/>
    <xf numFmtId="0" fontId="34" fillId="0" borderId="0"/>
    <xf numFmtId="0" fontId="34" fillId="0" borderId="0"/>
    <xf numFmtId="0" fontId="34" fillId="0" borderId="0"/>
    <xf numFmtId="0" fontId="32" fillId="0" borderId="0">
      <alignment vertical="center"/>
    </xf>
    <xf numFmtId="0" fontId="21" fillId="0" borderId="0"/>
    <xf numFmtId="0" fontId="34" fillId="0" borderId="0"/>
    <xf numFmtId="9" fontId="3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0" fontId="16" fillId="0" borderId="0"/>
    <xf numFmtId="0" fontId="36" fillId="0" borderId="0">
      <alignment vertical="center"/>
    </xf>
    <xf numFmtId="9" fontId="36" fillId="0" borderId="0" applyFont="0" applyFill="0" applyBorder="0" applyAlignment="0" applyProtection="0">
      <alignment vertical="center"/>
    </xf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3" fillId="0" borderId="0"/>
    <xf numFmtId="0" fontId="38" fillId="0" borderId="0" applyNumberFormat="0" applyFill="0" applyBorder="0" applyAlignment="0" applyProtection="0"/>
    <xf numFmtId="0" fontId="39" fillId="0" borderId="47" applyNumberFormat="0" applyFill="0" applyAlignment="0" applyProtection="0"/>
    <xf numFmtId="0" fontId="40" fillId="0" borderId="48" applyNumberFormat="0" applyFill="0" applyAlignment="0" applyProtection="0"/>
    <xf numFmtId="0" fontId="41" fillId="0" borderId="49" applyNumberFormat="0" applyFill="0" applyAlignment="0" applyProtection="0"/>
    <xf numFmtId="0" fontId="41" fillId="0" borderId="0" applyNumberFormat="0" applyFill="0" applyBorder="0" applyAlignment="0" applyProtection="0"/>
    <xf numFmtId="0" fontId="42" fillId="19" borderId="0" applyNumberFormat="0" applyBorder="0" applyAlignment="0" applyProtection="0"/>
    <xf numFmtId="0" fontId="43" fillId="20" borderId="0" applyNumberFormat="0" applyBorder="0" applyAlignment="0" applyProtection="0"/>
    <xf numFmtId="0" fontId="44" fillId="21" borderId="0" applyNumberFormat="0" applyBorder="0" applyAlignment="0" applyProtection="0"/>
    <xf numFmtId="0" fontId="45" fillId="22" borderId="50" applyNumberFormat="0" applyAlignment="0" applyProtection="0"/>
    <xf numFmtId="0" fontId="46" fillId="23" borderId="51" applyNumberFormat="0" applyAlignment="0" applyProtection="0"/>
    <xf numFmtId="0" fontId="47" fillId="23" borderId="50" applyNumberFormat="0" applyAlignment="0" applyProtection="0"/>
    <xf numFmtId="0" fontId="48" fillId="0" borderId="52" applyNumberFormat="0" applyFill="0" applyAlignment="0" applyProtection="0"/>
    <xf numFmtId="0" fontId="25" fillId="24" borderId="53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55" applyNumberFormat="0" applyFill="0" applyAlignment="0" applyProtection="0"/>
    <xf numFmtId="0" fontId="23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3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3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3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3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23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0" borderId="0"/>
    <xf numFmtId="0" fontId="12" fillId="25" borderId="54" applyNumberFormat="0" applyFont="0" applyAlignment="0" applyProtection="0"/>
    <xf numFmtId="0" fontId="11" fillId="0" borderId="0"/>
    <xf numFmtId="0" fontId="11" fillId="25" borderId="54" applyNumberFormat="0" applyFont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3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7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0" fillId="0" borderId="0"/>
    <xf numFmtId="0" fontId="10" fillId="25" borderId="54" applyNumberFormat="0" applyFont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3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9" fillId="25" borderId="54" applyNumberFormat="0" applyFont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3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7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0" borderId="0"/>
    <xf numFmtId="0" fontId="8" fillId="0" borderId="0"/>
    <xf numFmtId="0" fontId="8" fillId="25" borderId="54" applyNumberFormat="0" applyFont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3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7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7" fillId="25" borderId="54" applyNumberFormat="0" applyFont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3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7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6" fillId="25" borderId="54" applyNumberFormat="0" applyFont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6" fontId="0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1" xfId="3" applyBorder="1"/>
    <xf numFmtId="10" fontId="0" fillId="0" borderId="1" xfId="2" applyNumberFormat="1" applyFont="1" applyBorder="1" applyAlignment="1">
      <alignment horizontal="center"/>
    </xf>
    <xf numFmtId="0" fontId="0" fillId="4" borderId="0" xfId="0" applyFill="1"/>
    <xf numFmtId="0" fontId="0" fillId="4" borderId="1" xfId="0" applyFill="1" applyBorder="1"/>
    <xf numFmtId="164" fontId="0" fillId="0" borderId="0" xfId="1" applyFont="1"/>
    <xf numFmtId="0" fontId="17" fillId="2" borderId="0" xfId="8" applyFont="1" applyFill="1" applyAlignment="1">
      <alignment horizontal="center" vertical="center" wrapText="1"/>
    </xf>
    <xf numFmtId="168" fontId="17" fillId="2" borderId="0" xfId="8" applyNumberFormat="1" applyFont="1" applyFill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20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64" fontId="17" fillId="2" borderId="0" xfId="1" applyFont="1" applyFill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164" fontId="0" fillId="0" borderId="0" xfId="1" applyFont="1" applyAlignment="1">
      <alignment horizontal="center"/>
    </xf>
    <xf numFmtId="10" fontId="0" fillId="0" borderId="0" xfId="2" applyNumberFormat="1" applyFont="1"/>
    <xf numFmtId="1" fontId="0" fillId="0" borderId="0" xfId="0" applyNumberFormat="1" applyAlignment="1">
      <alignment horizontal="center" vertical="center"/>
    </xf>
    <xf numFmtId="0" fontId="17" fillId="2" borderId="6" xfId="9" applyFont="1" applyFill="1" applyBorder="1" applyAlignment="1">
      <alignment horizontal="center" vertical="center" wrapText="1"/>
    </xf>
    <xf numFmtId="168" fontId="17" fillId="2" borderId="7" xfId="9" applyNumberFormat="1" applyFont="1" applyFill="1" applyBorder="1" applyAlignment="1">
      <alignment horizontal="center" vertical="center" wrapText="1"/>
    </xf>
    <xf numFmtId="0" fontId="17" fillId="2" borderId="7" xfId="9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15" fontId="0" fillId="5" borderId="9" xfId="0" applyNumberFormat="1" applyFill="1" applyBorder="1"/>
    <xf numFmtId="0" fontId="0" fillId="0" borderId="9" xfId="0" applyBorder="1" applyAlignment="1">
      <alignment horizontal="center"/>
    </xf>
    <xf numFmtId="0" fontId="0" fillId="5" borderId="9" xfId="0" applyFill="1" applyBorder="1" applyAlignment="1">
      <alignment horizontal="center"/>
    </xf>
    <xf numFmtId="20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166" fontId="0" fillId="0" borderId="9" xfId="14" applyNumberFormat="1" applyFont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5" borderId="10" xfId="0" applyFill="1" applyBorder="1" applyAlignment="1">
      <alignment horizontal="left"/>
    </xf>
    <xf numFmtId="169" fontId="0" fillId="5" borderId="9" xfId="0" applyNumberFormat="1" applyFill="1" applyBorder="1" applyAlignment="1">
      <alignment horizontal="center" vertical="center"/>
    </xf>
    <xf numFmtId="20" fontId="0" fillId="5" borderId="9" xfId="0" applyNumberForma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right" vertical="center"/>
    </xf>
    <xf numFmtId="169" fontId="0" fillId="5" borderId="9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/>
    </xf>
    <xf numFmtId="169" fontId="0" fillId="5" borderId="10" xfId="0" applyNumberFormat="1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0" fontId="17" fillId="2" borderId="11" xfId="9" applyFont="1" applyFill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7" fillId="2" borderId="13" xfId="8" applyFont="1" applyFill="1" applyBorder="1" applyAlignment="1">
      <alignment horizontal="center" vertical="center" wrapText="1"/>
    </xf>
    <xf numFmtId="0" fontId="17" fillId="2" borderId="14" xfId="8" applyFont="1" applyFill="1" applyBorder="1" applyAlignment="1">
      <alignment horizontal="center" vertical="center" wrapText="1"/>
    </xf>
    <xf numFmtId="168" fontId="17" fillId="2" borderId="14" xfId="8" applyNumberFormat="1" applyFont="1" applyFill="1" applyBorder="1" applyAlignment="1">
      <alignment horizontal="center" vertical="center" wrapText="1"/>
    </xf>
    <xf numFmtId="10" fontId="17" fillId="2" borderId="14" xfId="13" applyNumberFormat="1" applyFont="1" applyFill="1" applyBorder="1" applyAlignment="1">
      <alignment horizontal="center" vertical="center" wrapText="1"/>
    </xf>
    <xf numFmtId="10" fontId="17" fillId="2" borderId="15" xfId="13" applyNumberFormat="1" applyFont="1" applyFill="1" applyBorder="1" applyAlignment="1">
      <alignment horizontal="center" vertical="center" wrapText="1"/>
    </xf>
    <xf numFmtId="2" fontId="18" fillId="9" borderId="15" xfId="13" applyNumberFormat="1" applyFont="1" applyFill="1" applyBorder="1" applyAlignment="1">
      <alignment horizontal="center"/>
    </xf>
    <xf numFmtId="170" fontId="18" fillId="9" borderId="15" xfId="13" applyNumberFormat="1" applyFont="1" applyFill="1" applyBorder="1" applyAlignment="1">
      <alignment horizontal="center"/>
    </xf>
    <xf numFmtId="167" fontId="18" fillId="8" borderId="15" xfId="1" applyNumberFormat="1" applyFont="1" applyFill="1" applyBorder="1" applyAlignment="1">
      <alignment horizontal="center"/>
    </xf>
    <xf numFmtId="10" fontId="17" fillId="2" borderId="14" xfId="0" applyNumberFormat="1" applyFont="1" applyFill="1" applyBorder="1" applyAlignment="1">
      <alignment horizontal="center" vertical="center" wrapText="1"/>
    </xf>
    <xf numFmtId="10" fontId="18" fillId="0" borderId="14" xfId="2" applyNumberFormat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164" fontId="18" fillId="0" borderId="0" xfId="1" applyFont="1" applyFill="1" applyAlignment="1">
      <alignment horizontal="center"/>
    </xf>
    <xf numFmtId="171" fontId="18" fillId="8" borderId="16" xfId="0" applyNumberFormat="1" applyFont="1" applyFill="1" applyBorder="1" applyAlignment="1">
      <alignment horizontal="center"/>
    </xf>
    <xf numFmtId="1" fontId="18" fillId="7" borderId="16" xfId="13" applyNumberFormat="1" applyFont="1" applyFill="1" applyBorder="1" applyAlignment="1">
      <alignment horizontal="center"/>
    </xf>
    <xf numFmtId="170" fontId="18" fillId="9" borderId="17" xfId="13" applyNumberFormat="1" applyFont="1" applyFill="1" applyBorder="1" applyAlignment="1">
      <alignment horizontal="center"/>
    </xf>
    <xf numFmtId="170" fontId="18" fillId="9" borderId="14" xfId="13" applyNumberFormat="1" applyFont="1" applyFill="1" applyBorder="1" applyAlignment="1">
      <alignment horizontal="center"/>
    </xf>
    <xf numFmtId="167" fontId="18" fillId="8" borderId="13" xfId="1" applyNumberFormat="1" applyFont="1" applyFill="1" applyBorder="1" applyAlignment="1">
      <alignment horizontal="center"/>
    </xf>
    <xf numFmtId="0" fontId="18" fillId="8" borderId="16" xfId="0" applyFont="1" applyFill="1" applyBorder="1" applyAlignment="1">
      <alignment horizontal="center"/>
    </xf>
    <xf numFmtId="1" fontId="18" fillId="9" borderId="14" xfId="13" applyNumberFormat="1" applyFont="1" applyFill="1" applyBorder="1" applyAlignment="1">
      <alignment horizontal="center"/>
    </xf>
    <xf numFmtId="167" fontId="18" fillId="8" borderId="18" xfId="1" applyNumberFormat="1" applyFont="1" applyFill="1" applyBorder="1" applyAlignment="1">
      <alignment horizontal="center"/>
    </xf>
    <xf numFmtId="167" fontId="0" fillId="0" borderId="0" xfId="0" applyNumberFormat="1"/>
    <xf numFmtId="0" fontId="0" fillId="12" borderId="0" xfId="0" applyFill="1" applyAlignment="1">
      <alignment vertical="center"/>
    </xf>
    <xf numFmtId="15" fontId="0" fillId="13" borderId="0" xfId="0" applyNumberFormat="1" applyFill="1" applyAlignment="1">
      <alignment horizontal="center" vertical="center"/>
    </xf>
    <xf numFmtId="0" fontId="23" fillId="0" borderId="0" xfId="0" applyFont="1"/>
    <xf numFmtId="0" fontId="25" fillId="15" borderId="1" xfId="0" applyFont="1" applyFill="1" applyBorder="1" applyAlignment="1">
      <alignment vertical="center"/>
    </xf>
    <xf numFmtId="0" fontId="25" fillId="15" borderId="1" xfId="0" applyFont="1" applyFill="1" applyBorder="1" applyAlignment="1">
      <alignment horizontal="center" vertical="center" wrapText="1"/>
    </xf>
    <xf numFmtId="17" fontId="23" fillId="15" borderId="1" xfId="0" applyNumberFormat="1" applyFon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66" fontId="0" fillId="3" borderId="1" xfId="2" applyNumberFormat="1" applyFont="1" applyFill="1" applyBorder="1" applyAlignment="1">
      <alignment horizontal="center" vertical="center"/>
    </xf>
    <xf numFmtId="166" fontId="0" fillId="6" borderId="1" xfId="2" applyNumberFormat="1" applyFont="1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0" fontId="25" fillId="15" borderId="1" xfId="0" applyFont="1" applyFill="1" applyBorder="1" applyAlignment="1">
      <alignment horizontal="center" vertical="center"/>
    </xf>
    <xf numFmtId="0" fontId="27" fillId="16" borderId="25" xfId="0" applyFont="1" applyFill="1" applyBorder="1"/>
    <xf numFmtId="171" fontId="28" fillId="8" borderId="26" xfId="6" applyNumberFormat="1" applyFont="1" applyFill="1" applyBorder="1" applyAlignment="1">
      <alignment horizontal="left" vertical="center"/>
    </xf>
    <xf numFmtId="171" fontId="28" fillId="8" borderId="26" xfId="6" applyNumberFormat="1" applyFont="1" applyFill="1" applyBorder="1" applyAlignment="1">
      <alignment vertical="center"/>
    </xf>
    <xf numFmtId="171" fontId="28" fillId="8" borderId="27" xfId="6" applyNumberFormat="1" applyFont="1" applyFill="1" applyBorder="1" applyAlignment="1">
      <alignment vertical="center"/>
    </xf>
    <xf numFmtId="168" fontId="28" fillId="8" borderId="26" xfId="6" applyNumberFormat="1" applyFont="1" applyFill="1" applyBorder="1" applyAlignment="1">
      <alignment horizontal="left" vertical="center"/>
    </xf>
    <xf numFmtId="0" fontId="27" fillId="16" borderId="28" xfId="0" applyFont="1" applyFill="1" applyBorder="1"/>
    <xf numFmtId="168" fontId="28" fillId="8" borderId="29" xfId="6" applyNumberFormat="1" applyFont="1" applyFill="1" applyBorder="1" applyAlignment="1">
      <alignment horizontal="left" vertical="center"/>
    </xf>
    <xf numFmtId="171" fontId="28" fillId="8" borderId="30" xfId="6" applyNumberFormat="1" applyFont="1" applyFill="1" applyBorder="1" applyAlignment="1">
      <alignment vertical="center"/>
    </xf>
    <xf numFmtId="171" fontId="28" fillId="8" borderId="31" xfId="6" applyNumberFormat="1" applyFont="1" applyFill="1" applyBorder="1" applyAlignment="1">
      <alignment vertical="center"/>
    </xf>
    <xf numFmtId="0" fontId="29" fillId="8" borderId="32" xfId="0" applyFont="1" applyFill="1" applyBorder="1"/>
    <xf numFmtId="168" fontId="30" fillId="8" borderId="32" xfId="6" applyNumberFormat="1" applyFont="1" applyFill="1" applyBorder="1" applyAlignment="1">
      <alignment horizontal="left" vertical="center"/>
    </xf>
    <xf numFmtId="0" fontId="27" fillId="16" borderId="33" xfId="0" applyFont="1" applyFill="1" applyBorder="1" applyAlignment="1">
      <alignment horizontal="center" vertical="center" wrapText="1"/>
    </xf>
    <xf numFmtId="0" fontId="27" fillId="16" borderId="34" xfId="0" applyFont="1" applyFill="1" applyBorder="1" applyAlignment="1">
      <alignment horizontal="center" vertical="center" wrapText="1"/>
    </xf>
    <xf numFmtId="0" fontId="27" fillId="16" borderId="35" xfId="0" applyFont="1" applyFill="1" applyBorder="1" applyAlignment="1">
      <alignment horizontal="center" vertical="center" wrapText="1"/>
    </xf>
    <xf numFmtId="0" fontId="29" fillId="8" borderId="37" xfId="0" applyFont="1" applyFill="1" applyBorder="1"/>
    <xf numFmtId="1" fontId="28" fillId="8" borderId="37" xfId="2" applyNumberFormat="1" applyFont="1" applyFill="1" applyBorder="1" applyAlignment="1">
      <alignment horizontal="center" vertical="center"/>
    </xf>
    <xf numFmtId="10" fontId="29" fillId="8" borderId="37" xfId="15" applyNumberFormat="1" applyFont="1" applyFill="1" applyBorder="1" applyAlignment="1">
      <alignment horizontal="center"/>
    </xf>
    <xf numFmtId="0" fontId="29" fillId="8" borderId="40" xfId="0" applyFont="1" applyFill="1" applyBorder="1"/>
    <xf numFmtId="1" fontId="28" fillId="8" borderId="40" xfId="2" applyNumberFormat="1" applyFont="1" applyFill="1" applyBorder="1" applyAlignment="1">
      <alignment horizontal="center" vertical="center"/>
    </xf>
    <xf numFmtId="1" fontId="29" fillId="8" borderId="40" xfId="2" applyNumberFormat="1" applyFont="1" applyFill="1" applyBorder="1" applyAlignment="1">
      <alignment horizontal="center"/>
    </xf>
    <xf numFmtId="10" fontId="29" fillId="8" borderId="40" xfId="15" applyNumberFormat="1" applyFont="1" applyFill="1" applyBorder="1" applyAlignment="1">
      <alignment horizontal="center"/>
    </xf>
    <xf numFmtId="0" fontId="29" fillId="8" borderId="41" xfId="0" applyFont="1" applyFill="1" applyBorder="1"/>
    <xf numFmtId="0" fontId="29" fillId="8" borderId="43" xfId="0" applyFont="1" applyFill="1" applyBorder="1"/>
    <xf numFmtId="1" fontId="28" fillId="8" borderId="43" xfId="2" applyNumberFormat="1" applyFont="1" applyFill="1" applyBorder="1" applyAlignment="1">
      <alignment horizontal="center" vertical="center"/>
    </xf>
    <xf numFmtId="1" fontId="29" fillId="8" borderId="43" xfId="2" applyNumberFormat="1" applyFont="1" applyFill="1" applyBorder="1" applyAlignment="1">
      <alignment horizontal="center"/>
    </xf>
    <xf numFmtId="10" fontId="29" fillId="8" borderId="43" xfId="15" applyNumberFormat="1" applyFont="1" applyFill="1" applyBorder="1" applyAlignment="1">
      <alignment horizontal="center"/>
    </xf>
    <xf numFmtId="166" fontId="28" fillId="8" borderId="37" xfId="2" applyNumberFormat="1" applyFont="1" applyFill="1" applyBorder="1" applyAlignment="1">
      <alignment horizontal="center" vertical="center"/>
    </xf>
    <xf numFmtId="166" fontId="29" fillId="8" borderId="37" xfId="2" applyNumberFormat="1" applyFont="1" applyFill="1" applyBorder="1" applyAlignment="1">
      <alignment horizontal="center"/>
    </xf>
    <xf numFmtId="166" fontId="28" fillId="8" borderId="40" xfId="2" applyNumberFormat="1" applyFont="1" applyFill="1" applyBorder="1" applyAlignment="1">
      <alignment horizontal="center" vertical="center"/>
    </xf>
    <xf numFmtId="166" fontId="29" fillId="8" borderId="40" xfId="2" applyNumberFormat="1" applyFont="1" applyFill="1" applyBorder="1" applyAlignment="1">
      <alignment horizontal="center"/>
    </xf>
    <xf numFmtId="166" fontId="28" fillId="8" borderId="43" xfId="2" applyNumberFormat="1" applyFont="1" applyFill="1" applyBorder="1" applyAlignment="1">
      <alignment horizontal="center" vertical="center"/>
    </xf>
    <xf numFmtId="166" fontId="29" fillId="8" borderId="43" xfId="2" applyNumberFormat="1" applyFont="1" applyFill="1" applyBorder="1" applyAlignment="1">
      <alignment horizontal="center"/>
    </xf>
    <xf numFmtId="173" fontId="22" fillId="10" borderId="19" xfId="10" applyNumberFormat="1" applyFont="1" applyFill="1" applyBorder="1" applyAlignment="1">
      <alignment horizontal="center" vertical="center"/>
    </xf>
    <xf numFmtId="170" fontId="18" fillId="17" borderId="45" xfId="13" applyNumberFormat="1" applyFont="1" applyFill="1" applyBorder="1" applyAlignment="1">
      <alignment horizontal="center"/>
    </xf>
    <xf numFmtId="0" fontId="52" fillId="2" borderId="9" xfId="8" applyFont="1" applyFill="1" applyBorder="1" applyAlignment="1">
      <alignment horizontal="center" vertical="center" wrapText="1"/>
    </xf>
    <xf numFmtId="168" fontId="52" fillId="2" borderId="9" xfId="8" applyNumberFormat="1" applyFont="1" applyFill="1" applyBorder="1" applyAlignment="1">
      <alignment horizontal="center" vertical="center" wrapText="1"/>
    </xf>
    <xf numFmtId="0" fontId="0" fillId="17" borderId="56" xfId="0" applyFill="1" applyBorder="1" applyAlignment="1">
      <alignment horizontal="center"/>
    </xf>
    <xf numFmtId="168" fontId="53" fillId="17" borderId="57" xfId="0" applyNumberFormat="1" applyFont="1" applyFill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20" fontId="0" fillId="17" borderId="56" xfId="0" applyNumberFormat="1" applyFill="1" applyBorder="1" applyAlignment="1">
      <alignment horizontal="center"/>
    </xf>
    <xf numFmtId="0" fontId="0" fillId="17" borderId="56" xfId="0" applyFill="1" applyBorder="1" applyAlignment="1">
      <alignment horizontal="left"/>
    </xf>
    <xf numFmtId="0" fontId="0" fillId="17" borderId="59" xfId="0" applyFill="1" applyBorder="1" applyAlignment="1">
      <alignment horizontal="center"/>
    </xf>
    <xf numFmtId="20" fontId="0" fillId="17" borderId="59" xfId="0" applyNumberFormat="1" applyFill="1" applyBorder="1" applyAlignment="1">
      <alignment horizontal="center"/>
    </xf>
    <xf numFmtId="0" fontId="0" fillId="17" borderId="59" xfId="0" applyFill="1" applyBorder="1" applyAlignment="1">
      <alignment horizontal="center" vertical="center"/>
    </xf>
    <xf numFmtId="0" fontId="0" fillId="17" borderId="59" xfId="0" applyFill="1" applyBorder="1" applyAlignment="1">
      <alignment horizontal="left" vertical="center"/>
    </xf>
    <xf numFmtId="0" fontId="0" fillId="17" borderId="59" xfId="0" applyFill="1" applyBorder="1" applyAlignment="1">
      <alignment horizontal="left"/>
    </xf>
    <xf numFmtId="1" fontId="18" fillId="7" borderId="19" xfId="13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7" fillId="2" borderId="0" xfId="8" applyFont="1" applyFill="1" applyAlignment="1">
      <alignment vertical="center" wrapText="1"/>
    </xf>
    <xf numFmtId="2" fontId="0" fillId="0" borderId="0" xfId="0" applyNumberFormat="1"/>
    <xf numFmtId="1" fontId="28" fillId="8" borderId="26" xfId="6" applyNumberFormat="1" applyFont="1" applyFill="1" applyBorder="1" applyAlignment="1">
      <alignment horizontal="left" vertical="center"/>
    </xf>
    <xf numFmtId="0" fontId="0" fillId="12" borderId="0" xfId="0" applyFill="1" applyAlignment="1">
      <alignment horizontal="center" vertical="center"/>
    </xf>
    <xf numFmtId="1" fontId="23" fillId="15" borderId="1" xfId="0" applyNumberFormat="1" applyFont="1" applyFill="1" applyBorder="1" applyAlignment="1">
      <alignment horizontal="center" vertical="center"/>
    </xf>
    <xf numFmtId="0" fontId="34" fillId="8" borderId="0" xfId="5" applyFill="1" applyAlignment="1">
      <alignment horizontal="center"/>
    </xf>
    <xf numFmtId="0" fontId="34" fillId="8" borderId="0" xfId="5" applyFill="1"/>
    <xf numFmtId="0" fontId="34" fillId="8" borderId="0" xfId="5" applyFill="1" applyAlignment="1">
      <alignment horizontal="right"/>
    </xf>
    <xf numFmtId="172" fontId="22" fillId="10" borderId="19" xfId="10" applyNumberFormat="1" applyFont="1" applyFill="1" applyBorder="1" applyAlignment="1">
      <alignment horizontal="center" vertical="center"/>
    </xf>
    <xf numFmtId="172" fontId="22" fillId="10" borderId="16" xfId="10" applyNumberFormat="1" applyFont="1" applyFill="1" applyBorder="1" applyAlignment="1">
      <alignment horizontal="center" vertical="center"/>
    </xf>
    <xf numFmtId="170" fontId="18" fillId="10" borderId="19" xfId="0" applyNumberFormat="1" applyFont="1" applyFill="1" applyBorder="1" applyAlignment="1">
      <alignment horizontal="center"/>
    </xf>
    <xf numFmtId="0" fontId="18" fillId="8" borderId="19" xfId="0" applyFont="1" applyFill="1" applyBorder="1" applyAlignment="1">
      <alignment horizontal="center"/>
    </xf>
    <xf numFmtId="171" fontId="18" fillId="8" borderId="19" xfId="0" applyNumberFormat="1" applyFont="1" applyFill="1" applyBorder="1" applyAlignment="1">
      <alignment horizontal="center"/>
    </xf>
    <xf numFmtId="170" fontId="18" fillId="10" borderId="19" xfId="13" applyNumberFormat="1" applyFont="1" applyFill="1" applyBorder="1" applyAlignment="1">
      <alignment horizontal="center"/>
    </xf>
    <xf numFmtId="1" fontId="18" fillId="0" borderId="19" xfId="13" applyNumberFormat="1" applyFont="1" applyFill="1" applyBorder="1" applyAlignment="1">
      <alignment horizontal="center"/>
    </xf>
    <xf numFmtId="173" fontId="22" fillId="10" borderId="16" xfId="10" applyNumberFormat="1" applyFont="1" applyFill="1" applyBorder="1" applyAlignment="1">
      <alignment horizontal="center" vertical="center"/>
    </xf>
    <xf numFmtId="1" fontId="18" fillId="11" borderId="20" xfId="13" applyNumberFormat="1" applyFont="1" applyFill="1" applyBorder="1" applyAlignment="1">
      <alignment horizontal="center"/>
    </xf>
    <xf numFmtId="1" fontId="18" fillId="0" borderId="19" xfId="0" applyNumberFormat="1" applyFont="1" applyBorder="1" applyAlignment="1">
      <alignment horizontal="center"/>
    </xf>
    <xf numFmtId="2" fontId="18" fillId="10" borderId="19" xfId="0" applyNumberFormat="1" applyFont="1" applyFill="1" applyBorder="1" applyAlignment="1">
      <alignment horizontal="center"/>
    </xf>
    <xf numFmtId="170" fontId="18" fillId="10" borderId="16" xfId="0" applyNumberFormat="1" applyFont="1" applyFill="1" applyBorder="1" applyAlignment="1">
      <alignment horizontal="center"/>
    </xf>
    <xf numFmtId="0" fontId="18" fillId="10" borderId="19" xfId="0" applyFont="1" applyFill="1" applyBorder="1" applyAlignment="1">
      <alignment horizontal="center"/>
    </xf>
    <xf numFmtId="174" fontId="18" fillId="10" borderId="19" xfId="0" applyNumberFormat="1" applyFont="1" applyFill="1" applyBorder="1" applyAlignment="1">
      <alignment horizontal="center"/>
    </xf>
    <xf numFmtId="175" fontId="18" fillId="10" borderId="19" xfId="0" applyNumberFormat="1" applyFont="1" applyFill="1" applyBorder="1" applyAlignment="1">
      <alignment vertical="center"/>
    </xf>
    <xf numFmtId="0" fontId="18" fillId="18" borderId="46" xfId="0" applyFont="1" applyFill="1" applyBorder="1" applyAlignment="1">
      <alignment horizontal="center"/>
    </xf>
    <xf numFmtId="175" fontId="18" fillId="18" borderId="46" xfId="0" applyNumberFormat="1" applyFont="1" applyFill="1" applyBorder="1" applyAlignment="1">
      <alignment vertical="center"/>
    </xf>
    <xf numFmtId="0" fontId="0" fillId="50" borderId="60" xfId="0" applyFill="1" applyBorder="1" applyAlignment="1">
      <alignment horizontal="center" vertical="center"/>
    </xf>
    <xf numFmtId="15" fontId="0" fillId="5" borderId="10" xfId="0" applyNumberFormat="1" applyFill="1" applyBorder="1"/>
    <xf numFmtId="1" fontId="18" fillId="7" borderId="15" xfId="13" applyNumberFormat="1" applyFont="1" applyFill="1" applyBorder="1" applyAlignment="1">
      <alignment horizontal="center"/>
    </xf>
    <xf numFmtId="1" fontId="18" fillId="7" borderId="17" xfId="13" applyNumberFormat="1" applyFont="1" applyFill="1" applyBorder="1" applyAlignment="1">
      <alignment horizontal="center"/>
    </xf>
    <xf numFmtId="1" fontId="18" fillId="7" borderId="14" xfId="13" applyNumberFormat="1" applyFont="1" applyFill="1" applyBorder="1" applyAlignment="1">
      <alignment horizontal="center"/>
    </xf>
    <xf numFmtId="1" fontId="18" fillId="7" borderId="0" xfId="13" applyNumberFormat="1" applyFont="1" applyFill="1" applyBorder="1" applyAlignment="1">
      <alignment horizontal="center"/>
    </xf>
    <xf numFmtId="1" fontId="18" fillId="7" borderId="61" xfId="13" applyNumberFormat="1" applyFont="1" applyFill="1" applyBorder="1" applyAlignment="1">
      <alignment horizontal="center"/>
    </xf>
    <xf numFmtId="173" fontId="22" fillId="10" borderId="19" xfId="0" applyNumberFormat="1" applyFont="1" applyFill="1" applyBorder="1" applyAlignment="1">
      <alignment horizontal="center" vertical="center"/>
    </xf>
    <xf numFmtId="15" fontId="0" fillId="50" borderId="60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0" fontId="0" fillId="51" borderId="60" xfId="0" applyFill="1" applyBorder="1" applyAlignment="1">
      <alignment horizontal="center" vertical="center"/>
    </xf>
    <xf numFmtId="15" fontId="0" fillId="51" borderId="60" xfId="0" applyNumberFormat="1" applyFill="1" applyBorder="1" applyAlignment="1">
      <alignment horizontal="center" vertical="center"/>
    </xf>
    <xf numFmtId="0" fontId="0" fillId="52" borderId="0" xfId="0" applyFill="1" applyAlignment="1">
      <alignment horizontal="center" vertical="center"/>
    </xf>
    <xf numFmtId="0" fontId="0" fillId="52" borderId="0" xfId="0" applyFill="1" applyAlignment="1">
      <alignment horizontal="center"/>
    </xf>
    <xf numFmtId="2" fontId="0" fillId="52" borderId="0" xfId="0" applyNumberFormat="1" applyFill="1" applyAlignment="1">
      <alignment horizontal="center"/>
    </xf>
    <xf numFmtId="0" fontId="0" fillId="52" borderId="0" xfId="0" applyFill="1"/>
    <xf numFmtId="20" fontId="20" fillId="52" borderId="0" xfId="0" applyNumberFormat="1" applyFont="1" applyFill="1" applyAlignment="1">
      <alignment horizontal="center"/>
    </xf>
    <xf numFmtId="20" fontId="0" fillId="52" borderId="0" xfId="0" applyNumberFormat="1" applyFill="1" applyAlignment="1">
      <alignment horizontal="center"/>
    </xf>
    <xf numFmtId="2" fontId="20" fillId="52" borderId="0" xfId="0" applyNumberFormat="1" applyFont="1" applyFill="1" applyAlignment="1">
      <alignment horizontal="center"/>
    </xf>
    <xf numFmtId="0" fontId="20" fillId="52" borderId="0" xfId="0" applyFont="1" applyFill="1" applyAlignment="1">
      <alignment horizontal="left"/>
    </xf>
    <xf numFmtId="2" fontId="0" fillId="52" borderId="0" xfId="0" applyNumberFormat="1" applyFill="1" applyAlignment="1">
      <alignment horizontal="right"/>
    </xf>
    <xf numFmtId="164" fontId="0" fillId="52" borderId="0" xfId="1" applyFont="1" applyFill="1" applyAlignment="1">
      <alignment horizontal="center"/>
    </xf>
    <xf numFmtId="164" fontId="0" fillId="52" borderId="0" xfId="1" applyFont="1" applyFill="1"/>
    <xf numFmtId="10" fontId="0" fillId="52" borderId="0" xfId="0" applyNumberFormat="1" applyFill="1"/>
    <xf numFmtId="0" fontId="29" fillId="8" borderId="39" xfId="0" applyFont="1" applyFill="1" applyBorder="1" applyAlignment="1">
      <alignment horizontal="center" vertical="center"/>
    </xf>
    <xf numFmtId="2" fontId="22" fillId="10" borderId="19" xfId="10" applyNumberFormat="1" applyFont="1" applyFill="1" applyBorder="1" applyAlignment="1">
      <alignment horizontal="center" vertical="center"/>
    </xf>
    <xf numFmtId="2" fontId="22" fillId="10" borderId="16" xfId="10" applyNumberFormat="1" applyFont="1" applyFill="1" applyBorder="1" applyAlignment="1">
      <alignment horizontal="center" vertical="center"/>
    </xf>
    <xf numFmtId="2" fontId="35" fillId="17" borderId="45" xfId="10" applyNumberFormat="1" applyFon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/>
    <xf numFmtId="17" fontId="0" fillId="0" borderId="9" xfId="0" applyNumberFormat="1" applyBorder="1" applyAlignment="1">
      <alignment horizontal="center"/>
    </xf>
    <xf numFmtId="0" fontId="17" fillId="2" borderId="7" xfId="8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 indent="1"/>
    </xf>
    <xf numFmtId="168" fontId="17" fillId="2" borderId="6" xfId="8" applyNumberFormat="1" applyFont="1" applyFill="1" applyBorder="1" applyAlignment="1">
      <alignment horizontal="center" vertical="center" wrapText="1"/>
    </xf>
    <xf numFmtId="15" fontId="0" fillId="0" borderId="8" xfId="0" applyNumberFormat="1" applyBorder="1"/>
    <xf numFmtId="2" fontId="0" fillId="0" borderId="9" xfId="0" applyNumberFormat="1" applyBorder="1" applyAlignment="1">
      <alignment horizontal="center"/>
    </xf>
    <xf numFmtId="166" fontId="0" fillId="0" borderId="9" xfId="2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right" vertical="center"/>
    </xf>
    <xf numFmtId="166" fontId="55" fillId="0" borderId="9" xfId="0" applyNumberFormat="1" applyFont="1" applyBorder="1" applyAlignment="1">
      <alignment horizontal="center"/>
    </xf>
    <xf numFmtId="166" fontId="55" fillId="0" borderId="10" xfId="0" applyNumberFormat="1" applyFont="1" applyBorder="1" applyAlignment="1">
      <alignment horizontal="center"/>
    </xf>
    <xf numFmtId="1" fontId="0" fillId="0" borderId="62" xfId="0" applyNumberForma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" fontId="0" fillId="5" borderId="10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17" fontId="0" fillId="5" borderId="9" xfId="0" applyNumberFormat="1" applyFill="1" applyBorder="1" applyAlignment="1">
      <alignment horizontal="center"/>
    </xf>
    <xf numFmtId="17" fontId="0" fillId="5" borderId="10" xfId="0" applyNumberFormat="1" applyFill="1" applyBorder="1" applyAlignment="1">
      <alignment horizontal="center"/>
    </xf>
    <xf numFmtId="9" fontId="0" fillId="0" borderId="0" xfId="2" applyFont="1"/>
    <xf numFmtId="0" fontId="22" fillId="10" borderId="19" xfId="10" applyFont="1" applyFill="1" applyBorder="1" applyAlignment="1">
      <alignment horizontal="center" vertical="center"/>
    </xf>
    <xf numFmtId="14" fontId="0" fillId="0" borderId="0" xfId="0" applyNumberFormat="1"/>
    <xf numFmtId="2" fontId="28" fillId="8" borderId="37" xfId="2" applyNumberFormat="1" applyFont="1" applyFill="1" applyBorder="1" applyAlignment="1">
      <alignment horizontal="center" vertical="center"/>
    </xf>
    <xf numFmtId="2" fontId="29" fillId="8" borderId="37" xfId="2" applyNumberFormat="1" applyFont="1" applyFill="1" applyBorder="1" applyAlignment="1">
      <alignment horizontal="center"/>
    </xf>
    <xf numFmtId="2" fontId="28" fillId="8" borderId="40" xfId="2" applyNumberFormat="1" applyFont="1" applyFill="1" applyBorder="1" applyAlignment="1">
      <alignment horizontal="center" vertical="center"/>
    </xf>
    <xf numFmtId="2" fontId="29" fillId="8" borderId="40" xfId="2" applyNumberFormat="1" applyFont="1" applyFill="1" applyBorder="1" applyAlignment="1">
      <alignment horizontal="center"/>
    </xf>
    <xf numFmtId="2" fontId="28" fillId="8" borderId="43" xfId="2" applyNumberFormat="1" applyFont="1" applyFill="1" applyBorder="1" applyAlignment="1">
      <alignment horizontal="center" vertical="center"/>
    </xf>
    <xf numFmtId="2" fontId="29" fillId="8" borderId="43" xfId="2" applyNumberFormat="1" applyFont="1" applyFill="1" applyBorder="1" applyAlignment="1">
      <alignment horizontal="center"/>
    </xf>
    <xf numFmtId="0" fontId="25" fillId="53" borderId="63" xfId="0" applyFont="1" applyFill="1" applyBorder="1" applyAlignment="1">
      <alignment horizontal="center" vertical="center" wrapText="1"/>
    </xf>
    <xf numFmtId="0" fontId="25" fillId="53" borderId="64" xfId="0" applyFont="1" applyFill="1" applyBorder="1" applyAlignment="1">
      <alignment horizontal="center" vertical="center" wrapText="1"/>
    </xf>
    <xf numFmtId="1" fontId="34" fillId="8" borderId="0" xfId="5" applyNumberFormat="1" applyFill="1"/>
    <xf numFmtId="168" fontId="17" fillId="0" borderId="65" xfId="4493" applyNumberFormat="1" applyFont="1" applyBorder="1" applyAlignment="1">
      <alignment horizontal="center" vertical="center" wrapText="1"/>
    </xf>
    <xf numFmtId="0" fontId="17" fillId="0" borderId="65" xfId="4493" applyFont="1" applyBorder="1" applyAlignment="1">
      <alignment horizontal="center" vertical="center" wrapText="1"/>
    </xf>
    <xf numFmtId="0" fontId="25" fillId="0" borderId="65" xfId="4494" applyFont="1" applyBorder="1" applyAlignment="1">
      <alignment horizontal="center" vertical="center" wrapText="1"/>
    </xf>
    <xf numFmtId="9" fontId="25" fillId="0" borderId="65" xfId="4495" applyFont="1" applyFill="1" applyBorder="1" applyAlignment="1">
      <alignment horizontal="center" vertical="center" wrapText="1"/>
    </xf>
    <xf numFmtId="0" fontId="4" fillId="0" borderId="0" xfId="4494"/>
    <xf numFmtId="15" fontId="4" fillId="0" borderId="0" xfId="4494" applyNumberFormat="1" applyAlignment="1">
      <alignment horizontal="center" vertical="center"/>
    </xf>
    <xf numFmtId="1" fontId="4" fillId="0" borderId="0" xfId="4494" applyNumberFormat="1" applyAlignment="1">
      <alignment horizontal="center" vertical="center"/>
    </xf>
    <xf numFmtId="0" fontId="4" fillId="0" borderId="0" xfId="4494" applyAlignment="1">
      <alignment horizontal="center" vertical="center"/>
    </xf>
    <xf numFmtId="17" fontId="4" fillId="0" borderId="0" xfId="4494" applyNumberFormat="1" applyAlignment="1">
      <alignment horizontal="center" vertical="center"/>
    </xf>
    <xf numFmtId="2" fontId="0" fillId="0" borderId="0" xfId="4496" applyNumberFormat="1" applyFont="1" applyFill="1" applyAlignment="1">
      <alignment horizontal="center" vertical="center"/>
    </xf>
    <xf numFmtId="165" fontId="0" fillId="0" borderId="0" xfId="4496" applyNumberFormat="1" applyFont="1" applyFill="1" applyBorder="1" applyAlignment="1">
      <alignment horizontal="center" vertical="center"/>
    </xf>
    <xf numFmtId="9" fontId="0" fillId="0" borderId="0" xfId="4496" applyFont="1" applyFill="1" applyAlignment="1">
      <alignment horizontal="center" vertical="center"/>
    </xf>
    <xf numFmtId="10" fontId="55" fillId="0" borderId="0" xfId="4496" applyNumberFormat="1" applyFont="1" applyFill="1" applyAlignment="1">
      <alignment horizontal="center" vertical="center"/>
    </xf>
    <xf numFmtId="166" fontId="0" fillId="0" borderId="0" xfId="4496" applyNumberFormat="1" applyFont="1" applyFill="1" applyAlignment="1">
      <alignment horizontal="center" vertical="center"/>
    </xf>
    <xf numFmtId="10" fontId="0" fillId="0" borderId="0" xfId="4496" applyNumberFormat="1" applyFont="1" applyFill="1" applyAlignment="1">
      <alignment horizontal="center" vertical="center"/>
    </xf>
    <xf numFmtId="165" fontId="4" fillId="0" borderId="0" xfId="4494" applyNumberFormat="1" applyAlignment="1">
      <alignment horizontal="center" vertical="center"/>
    </xf>
    <xf numFmtId="10" fontId="0" fillId="0" borderId="0" xfId="4495" applyNumberFormat="1" applyFont="1" applyFill="1" applyAlignment="1">
      <alignment horizontal="center" vertical="center"/>
    </xf>
    <xf numFmtId="9" fontId="0" fillId="0" borderId="0" xfId="4495" applyFont="1" applyFill="1" applyAlignment="1">
      <alignment horizontal="center" vertical="center"/>
    </xf>
    <xf numFmtId="9" fontId="0" fillId="0" borderId="0" xfId="4495" applyFont="1"/>
    <xf numFmtId="0" fontId="25" fillId="0" borderId="66" xfId="4494" applyFont="1" applyBorder="1" applyAlignment="1">
      <alignment horizontal="center" vertical="center" wrapText="1"/>
    </xf>
    <xf numFmtId="0" fontId="25" fillId="0" borderId="66" xfId="4493" applyFont="1" applyBorder="1" applyAlignment="1">
      <alignment horizontal="center" vertical="center" wrapText="1"/>
    </xf>
    <xf numFmtId="2" fontId="4" fillId="0" borderId="0" xfId="4494" applyNumberFormat="1" applyAlignment="1">
      <alignment horizontal="center" vertical="center"/>
    </xf>
    <xf numFmtId="1" fontId="0" fillId="0" borderId="67" xfId="4497" applyNumberFormat="1" applyFont="1" applyFill="1" applyBorder="1" applyAlignment="1">
      <alignment horizontal="center" vertical="center"/>
    </xf>
    <xf numFmtId="1" fontId="0" fillId="0" borderId="68" xfId="4497" applyNumberFormat="1" applyFont="1" applyFill="1" applyBorder="1" applyAlignment="1">
      <alignment horizontal="center" vertical="center"/>
    </xf>
    <xf numFmtId="17" fontId="0" fillId="0" borderId="67" xfId="4497" applyNumberFormat="1" applyFont="1" applyFill="1" applyBorder="1" applyAlignment="1">
      <alignment horizontal="center" vertical="center"/>
    </xf>
    <xf numFmtId="0" fontId="0" fillId="0" borderId="67" xfId="4497" applyNumberFormat="1" applyFont="1" applyFill="1" applyBorder="1" applyAlignment="1">
      <alignment horizontal="center" vertical="center"/>
    </xf>
    <xf numFmtId="0" fontId="4" fillId="0" borderId="67" xfId="4494" applyBorder="1" applyAlignment="1">
      <alignment horizontal="center" vertical="center"/>
    </xf>
    <xf numFmtId="2" fontId="4" fillId="0" borderId="68" xfId="4494" applyNumberFormat="1" applyBorder="1" applyAlignment="1">
      <alignment horizontal="center" vertical="center"/>
    </xf>
    <xf numFmtId="165" fontId="4" fillId="0" borderId="67" xfId="4494" applyNumberFormat="1" applyBorder="1" applyAlignment="1">
      <alignment horizontal="center" vertical="center"/>
    </xf>
    <xf numFmtId="1" fontId="4" fillId="0" borderId="67" xfId="4494" applyNumberFormat="1" applyBorder="1" applyAlignment="1">
      <alignment horizontal="center" vertical="center"/>
    </xf>
    <xf numFmtId="10" fontId="0" fillId="0" borderId="67" xfId="4496" applyNumberFormat="1" applyFont="1" applyFill="1" applyBorder="1" applyAlignment="1">
      <alignment horizontal="center" vertical="center"/>
    </xf>
    <xf numFmtId="2" fontId="4" fillId="0" borderId="67" xfId="4494" applyNumberFormat="1" applyBorder="1" applyAlignment="1">
      <alignment horizontal="center" vertical="center"/>
    </xf>
    <xf numFmtId="0" fontId="18" fillId="0" borderId="66" xfId="4495" applyNumberFormat="1" applyFont="1" applyFill="1" applyBorder="1" applyAlignment="1">
      <alignment horizontal="center" vertical="center"/>
    </xf>
    <xf numFmtId="0" fontId="0" fillId="0" borderId="68" xfId="4497" applyNumberFormat="1" applyFont="1" applyFill="1" applyBorder="1" applyAlignment="1">
      <alignment horizontal="center" vertical="center"/>
    </xf>
    <xf numFmtId="0" fontId="4" fillId="0" borderId="68" xfId="4494" applyBorder="1" applyAlignment="1">
      <alignment horizontal="center" vertical="center"/>
    </xf>
    <xf numFmtId="165" fontId="4" fillId="0" borderId="68" xfId="4494" applyNumberFormat="1" applyBorder="1" applyAlignment="1">
      <alignment horizontal="center" vertical="center"/>
    </xf>
    <xf numFmtId="1" fontId="4" fillId="0" borderId="68" xfId="4494" applyNumberFormat="1" applyBorder="1" applyAlignment="1">
      <alignment horizontal="center" vertical="center"/>
    </xf>
    <xf numFmtId="10" fontId="0" fillId="0" borderId="68" xfId="4496" applyNumberFormat="1" applyFont="1" applyFill="1" applyBorder="1" applyAlignment="1">
      <alignment horizontal="center" vertical="center"/>
    </xf>
    <xf numFmtId="1" fontId="18" fillId="0" borderId="66" xfId="4495" applyNumberFormat="1" applyFont="1" applyFill="1" applyBorder="1" applyAlignment="1">
      <alignment horizontal="center" vertical="center"/>
    </xf>
    <xf numFmtId="171" fontId="28" fillId="8" borderId="26" xfId="6" applyNumberFormat="1" applyFont="1" applyFill="1" applyBorder="1" applyAlignment="1" applyProtection="1">
      <alignment horizontal="left" vertical="center"/>
      <protection locked="0"/>
    </xf>
    <xf numFmtId="168" fontId="28" fillId="8" borderId="26" xfId="6" applyNumberFormat="1" applyFont="1" applyFill="1" applyBorder="1" applyAlignment="1" applyProtection="1">
      <alignment horizontal="left" vertical="center"/>
      <protection locked="0"/>
    </xf>
    <xf numFmtId="1" fontId="29" fillId="8" borderId="38" xfId="0" applyNumberFormat="1" applyFont="1" applyFill="1" applyBorder="1" applyProtection="1">
      <protection locked="0"/>
    </xf>
    <xf numFmtId="0" fontId="29" fillId="8" borderId="41" xfId="0" applyFont="1" applyFill="1" applyBorder="1" applyProtection="1">
      <protection locked="0"/>
    </xf>
    <xf numFmtId="0" fontId="29" fillId="8" borderId="44" xfId="0" applyFont="1" applyFill="1" applyBorder="1" applyProtection="1">
      <protection locked="0"/>
    </xf>
    <xf numFmtId="9" fontId="0" fillId="0" borderId="9" xfId="2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5" borderId="9" xfId="0" applyFill="1" applyBorder="1" applyAlignment="1">
      <alignment vertical="center"/>
    </xf>
    <xf numFmtId="166" fontId="0" fillId="0" borderId="9" xfId="14" applyNumberFormat="1" applyFont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1" fontId="0" fillId="0" borderId="12" xfId="0" applyNumberFormat="1" applyBorder="1" applyAlignment="1">
      <alignment horizontal="center" vertical="center"/>
    </xf>
    <xf numFmtId="1" fontId="0" fillId="0" borderId="69" xfId="0" applyNumberFormat="1" applyBorder="1" applyAlignment="1">
      <alignment horizontal="center"/>
    </xf>
    <xf numFmtId="1" fontId="62" fillId="7" borderId="19" xfId="0" applyNumberFormat="1" applyFont="1" applyFill="1" applyBorder="1" applyAlignment="1">
      <alignment horizontal="center"/>
    </xf>
    <xf numFmtId="0" fontId="3" fillId="5" borderId="9" xfId="0" applyFont="1" applyFill="1" applyBorder="1"/>
    <xf numFmtId="0" fontId="3" fillId="5" borderId="10" xfId="0" applyFont="1" applyFill="1" applyBorder="1" applyAlignment="1">
      <alignment horizontal="left"/>
    </xf>
    <xf numFmtId="0" fontId="3" fillId="5" borderId="10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left"/>
    </xf>
    <xf numFmtId="0" fontId="3" fillId="17" borderId="56" xfId="0" applyFont="1" applyFill="1" applyBorder="1" applyAlignment="1">
      <alignment horizontal="center"/>
    </xf>
    <xf numFmtId="0" fontId="3" fillId="17" borderId="59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0" xfId="0" applyFont="1"/>
    <xf numFmtId="0" fontId="51" fillId="0" borderId="70" xfId="0" applyFont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3" fontId="0" fillId="0" borderId="1" xfId="4498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73" fontId="22" fillId="8" borderId="19" xfId="1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/>
    </xf>
    <xf numFmtId="179" fontId="0" fillId="5" borderId="9" xfId="0" applyNumberFormat="1" applyFill="1" applyBorder="1"/>
    <xf numFmtId="166" fontId="63" fillId="0" borderId="9" xfId="14" applyNumberFormat="1" applyFont="1" applyBorder="1" applyAlignment="1">
      <alignment horizontal="center"/>
    </xf>
    <xf numFmtId="178" fontId="0" fillId="5" borderId="9" xfId="0" applyNumberFormat="1" applyFill="1" applyBorder="1" applyAlignment="1">
      <alignment horizontal="center" vertical="center"/>
    </xf>
    <xf numFmtId="1" fontId="0" fillId="8" borderId="9" xfId="0" applyNumberFormat="1" applyFill="1" applyBorder="1" applyAlignment="1">
      <alignment horizontal="center"/>
    </xf>
    <xf numFmtId="170" fontId="18" fillId="17" borderId="0" xfId="13" applyNumberFormat="1" applyFont="1" applyFill="1" applyBorder="1" applyAlignment="1">
      <alignment horizontal="center"/>
    </xf>
    <xf numFmtId="0" fontId="18" fillId="18" borderId="0" xfId="0" applyFont="1" applyFill="1" applyAlignment="1">
      <alignment horizontal="center"/>
    </xf>
    <xf numFmtId="0" fontId="26" fillId="16" borderId="22" xfId="0" applyFont="1" applyFill="1" applyBorder="1" applyAlignment="1">
      <alignment horizontal="center" vertical="center"/>
    </xf>
    <xf numFmtId="0" fontId="26" fillId="16" borderId="23" xfId="0" applyFont="1" applyFill="1" applyBorder="1" applyAlignment="1">
      <alignment horizontal="center" vertical="center"/>
    </xf>
    <xf numFmtId="0" fontId="26" fillId="16" borderId="24" xfId="0" applyFont="1" applyFill="1" applyBorder="1" applyAlignment="1">
      <alignment horizontal="center" vertical="center"/>
    </xf>
    <xf numFmtId="0" fontId="29" fillId="8" borderId="36" xfId="0" applyFont="1" applyFill="1" applyBorder="1" applyAlignment="1">
      <alignment horizontal="center" vertical="center"/>
    </xf>
    <xf numFmtId="0" fontId="29" fillId="8" borderId="39" xfId="0" applyFont="1" applyFill="1" applyBorder="1" applyAlignment="1">
      <alignment horizontal="center" vertical="center"/>
    </xf>
    <xf numFmtId="0" fontId="29" fillId="8" borderId="42" xfId="0" applyFont="1" applyFill="1" applyBorder="1" applyAlignment="1">
      <alignment horizontal="center" vertical="center"/>
    </xf>
    <xf numFmtId="0" fontId="24" fillId="14" borderId="3" xfId="0" applyFont="1" applyFill="1" applyBorder="1" applyAlignment="1">
      <alignment horizontal="center" vertical="center"/>
    </xf>
    <xf numFmtId="0" fontId="24" fillId="14" borderId="21" xfId="0" applyFont="1" applyFill="1" applyBorder="1" applyAlignment="1">
      <alignment horizontal="center" vertical="center"/>
    </xf>
    <xf numFmtId="0" fontId="0" fillId="8" borderId="0" xfId="0" applyFill="1" applyAlignment="1">
      <alignment horizontal="left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64" fillId="2" borderId="7" xfId="8" applyFont="1" applyFill="1" applyBorder="1" applyAlignment="1">
      <alignment horizontal="center" vertical="center" wrapText="1"/>
    </xf>
  </cellXfs>
  <cellStyles count="4499">
    <cellStyle name="20% - Accent1" xfId="71" builtinId="30" customBuiltin="1"/>
    <cellStyle name="20% - Accent1 10" xfId="2307" xr:uid="{00000000-0005-0000-0000-000001000000}"/>
    <cellStyle name="20% - Accent1 2" xfId="98" xr:uid="{00000000-0005-0000-0000-000002000000}"/>
    <cellStyle name="20% - Accent1 2 2" xfId="309" xr:uid="{00000000-0005-0000-0000-000003000000}"/>
    <cellStyle name="20% - Accent1 2 2 2" xfId="519" xr:uid="{00000000-0005-0000-0000-000004000000}"/>
    <cellStyle name="20% - Accent1 2 2 2 2" xfId="1380" xr:uid="{00000000-0005-0000-0000-000005000000}"/>
    <cellStyle name="20% - Accent1 2 2 2 2 2" xfId="3610" xr:uid="{00000000-0005-0000-0000-000006000000}"/>
    <cellStyle name="20% - Accent1 2 2 2 3" xfId="1801" xr:uid="{00000000-0005-0000-0000-000007000000}"/>
    <cellStyle name="20% - Accent1 2 2 2 3 2" xfId="4031" xr:uid="{00000000-0005-0000-0000-000008000000}"/>
    <cellStyle name="20% - Accent1 2 2 2 4" xfId="2222" xr:uid="{00000000-0005-0000-0000-000009000000}"/>
    <cellStyle name="20% - Accent1 2 2 2 4 2" xfId="4452" xr:uid="{00000000-0005-0000-0000-00000A000000}"/>
    <cellStyle name="20% - Accent1 2 2 2 5" xfId="960" xr:uid="{00000000-0005-0000-0000-00000B000000}"/>
    <cellStyle name="20% - Accent1 2 2 2 5 2" xfId="3190" xr:uid="{00000000-0005-0000-0000-00000C000000}"/>
    <cellStyle name="20% - Accent1 2 2 2 6" xfId="2749" xr:uid="{00000000-0005-0000-0000-00000D000000}"/>
    <cellStyle name="20% - Accent1 2 2 3" xfId="1170" xr:uid="{00000000-0005-0000-0000-00000E000000}"/>
    <cellStyle name="20% - Accent1 2 2 3 2" xfId="3400" xr:uid="{00000000-0005-0000-0000-00000F000000}"/>
    <cellStyle name="20% - Accent1 2 2 4" xfId="1591" xr:uid="{00000000-0005-0000-0000-000010000000}"/>
    <cellStyle name="20% - Accent1 2 2 4 2" xfId="3821" xr:uid="{00000000-0005-0000-0000-000011000000}"/>
    <cellStyle name="20% - Accent1 2 2 5" xfId="2012" xr:uid="{00000000-0005-0000-0000-000012000000}"/>
    <cellStyle name="20% - Accent1 2 2 5 2" xfId="4242" xr:uid="{00000000-0005-0000-0000-000013000000}"/>
    <cellStyle name="20% - Accent1 2 2 6" xfId="750" xr:uid="{00000000-0005-0000-0000-000014000000}"/>
    <cellStyle name="20% - Accent1 2 2 6 2" xfId="2980" xr:uid="{00000000-0005-0000-0000-000015000000}"/>
    <cellStyle name="20% - Accent1 2 2 7" xfId="2539" xr:uid="{00000000-0005-0000-0000-000016000000}"/>
    <cellStyle name="20% - Accent1 2 3" xfId="414" xr:uid="{00000000-0005-0000-0000-000017000000}"/>
    <cellStyle name="20% - Accent1 2 3 2" xfId="1275" xr:uid="{00000000-0005-0000-0000-000018000000}"/>
    <cellStyle name="20% - Accent1 2 3 2 2" xfId="3505" xr:uid="{00000000-0005-0000-0000-000019000000}"/>
    <cellStyle name="20% - Accent1 2 3 3" xfId="1696" xr:uid="{00000000-0005-0000-0000-00001A000000}"/>
    <cellStyle name="20% - Accent1 2 3 3 2" xfId="3926" xr:uid="{00000000-0005-0000-0000-00001B000000}"/>
    <cellStyle name="20% - Accent1 2 3 4" xfId="2117" xr:uid="{00000000-0005-0000-0000-00001C000000}"/>
    <cellStyle name="20% - Accent1 2 3 4 2" xfId="4347" xr:uid="{00000000-0005-0000-0000-00001D000000}"/>
    <cellStyle name="20% - Accent1 2 3 5" xfId="855" xr:uid="{00000000-0005-0000-0000-00001E000000}"/>
    <cellStyle name="20% - Accent1 2 3 5 2" xfId="3085" xr:uid="{00000000-0005-0000-0000-00001F000000}"/>
    <cellStyle name="20% - Accent1 2 3 6" xfId="2644" xr:uid="{00000000-0005-0000-0000-000020000000}"/>
    <cellStyle name="20% - Accent1 2 4" xfId="204" xr:uid="{00000000-0005-0000-0000-000021000000}"/>
    <cellStyle name="20% - Accent1 2 4 2" xfId="1065" xr:uid="{00000000-0005-0000-0000-000022000000}"/>
    <cellStyle name="20% - Accent1 2 4 2 2" xfId="3295" xr:uid="{00000000-0005-0000-0000-000023000000}"/>
    <cellStyle name="20% - Accent1 2 4 3" xfId="2434" xr:uid="{00000000-0005-0000-0000-000024000000}"/>
    <cellStyle name="20% - Accent1 2 5" xfId="1486" xr:uid="{00000000-0005-0000-0000-000025000000}"/>
    <cellStyle name="20% - Accent1 2 5 2" xfId="3716" xr:uid="{00000000-0005-0000-0000-000026000000}"/>
    <cellStyle name="20% - Accent1 2 6" xfId="1907" xr:uid="{00000000-0005-0000-0000-000027000000}"/>
    <cellStyle name="20% - Accent1 2 6 2" xfId="4137" xr:uid="{00000000-0005-0000-0000-000028000000}"/>
    <cellStyle name="20% - Accent1 2 7" xfId="645" xr:uid="{00000000-0005-0000-0000-000029000000}"/>
    <cellStyle name="20% - Accent1 2 7 2" xfId="2875" xr:uid="{00000000-0005-0000-0000-00002A000000}"/>
    <cellStyle name="20% - Accent1 2 8" xfId="2329" xr:uid="{00000000-0005-0000-0000-00002B000000}"/>
    <cellStyle name="20% - Accent1 3" xfId="118" xr:uid="{00000000-0005-0000-0000-00002C000000}"/>
    <cellStyle name="20% - Accent1 3 2" xfId="329" xr:uid="{00000000-0005-0000-0000-00002D000000}"/>
    <cellStyle name="20% - Accent1 3 2 2" xfId="539" xr:uid="{00000000-0005-0000-0000-00002E000000}"/>
    <cellStyle name="20% - Accent1 3 2 2 2" xfId="1400" xr:uid="{00000000-0005-0000-0000-00002F000000}"/>
    <cellStyle name="20% - Accent1 3 2 2 2 2" xfId="3630" xr:uid="{00000000-0005-0000-0000-000030000000}"/>
    <cellStyle name="20% - Accent1 3 2 2 3" xfId="1821" xr:uid="{00000000-0005-0000-0000-000031000000}"/>
    <cellStyle name="20% - Accent1 3 2 2 3 2" xfId="4051" xr:uid="{00000000-0005-0000-0000-000032000000}"/>
    <cellStyle name="20% - Accent1 3 2 2 4" xfId="2242" xr:uid="{00000000-0005-0000-0000-000033000000}"/>
    <cellStyle name="20% - Accent1 3 2 2 4 2" xfId="4472" xr:uid="{00000000-0005-0000-0000-000034000000}"/>
    <cellStyle name="20% - Accent1 3 2 2 5" xfId="980" xr:uid="{00000000-0005-0000-0000-000035000000}"/>
    <cellStyle name="20% - Accent1 3 2 2 5 2" xfId="3210" xr:uid="{00000000-0005-0000-0000-000036000000}"/>
    <cellStyle name="20% - Accent1 3 2 2 6" xfId="2769" xr:uid="{00000000-0005-0000-0000-000037000000}"/>
    <cellStyle name="20% - Accent1 3 2 3" xfId="1190" xr:uid="{00000000-0005-0000-0000-000038000000}"/>
    <cellStyle name="20% - Accent1 3 2 3 2" xfId="3420" xr:uid="{00000000-0005-0000-0000-000039000000}"/>
    <cellStyle name="20% - Accent1 3 2 4" xfId="1611" xr:uid="{00000000-0005-0000-0000-00003A000000}"/>
    <cellStyle name="20% - Accent1 3 2 4 2" xfId="3841" xr:uid="{00000000-0005-0000-0000-00003B000000}"/>
    <cellStyle name="20% - Accent1 3 2 5" xfId="2032" xr:uid="{00000000-0005-0000-0000-00003C000000}"/>
    <cellStyle name="20% - Accent1 3 2 5 2" xfId="4262" xr:uid="{00000000-0005-0000-0000-00003D000000}"/>
    <cellStyle name="20% - Accent1 3 2 6" xfId="770" xr:uid="{00000000-0005-0000-0000-00003E000000}"/>
    <cellStyle name="20% - Accent1 3 2 6 2" xfId="3000" xr:uid="{00000000-0005-0000-0000-00003F000000}"/>
    <cellStyle name="20% - Accent1 3 2 7" xfId="2559" xr:uid="{00000000-0005-0000-0000-000040000000}"/>
    <cellStyle name="20% - Accent1 3 3" xfId="434" xr:uid="{00000000-0005-0000-0000-000041000000}"/>
    <cellStyle name="20% - Accent1 3 3 2" xfId="1295" xr:uid="{00000000-0005-0000-0000-000042000000}"/>
    <cellStyle name="20% - Accent1 3 3 2 2" xfId="3525" xr:uid="{00000000-0005-0000-0000-000043000000}"/>
    <cellStyle name="20% - Accent1 3 3 3" xfId="1716" xr:uid="{00000000-0005-0000-0000-000044000000}"/>
    <cellStyle name="20% - Accent1 3 3 3 2" xfId="3946" xr:uid="{00000000-0005-0000-0000-000045000000}"/>
    <cellStyle name="20% - Accent1 3 3 4" xfId="2137" xr:uid="{00000000-0005-0000-0000-000046000000}"/>
    <cellStyle name="20% - Accent1 3 3 4 2" xfId="4367" xr:uid="{00000000-0005-0000-0000-000047000000}"/>
    <cellStyle name="20% - Accent1 3 3 5" xfId="875" xr:uid="{00000000-0005-0000-0000-000048000000}"/>
    <cellStyle name="20% - Accent1 3 3 5 2" xfId="3105" xr:uid="{00000000-0005-0000-0000-000049000000}"/>
    <cellStyle name="20% - Accent1 3 3 6" xfId="2664" xr:uid="{00000000-0005-0000-0000-00004A000000}"/>
    <cellStyle name="20% - Accent1 3 4" xfId="224" xr:uid="{00000000-0005-0000-0000-00004B000000}"/>
    <cellStyle name="20% - Accent1 3 4 2" xfId="1085" xr:uid="{00000000-0005-0000-0000-00004C000000}"/>
    <cellStyle name="20% - Accent1 3 4 2 2" xfId="3315" xr:uid="{00000000-0005-0000-0000-00004D000000}"/>
    <cellStyle name="20% - Accent1 3 4 3" xfId="2454" xr:uid="{00000000-0005-0000-0000-00004E000000}"/>
    <cellStyle name="20% - Accent1 3 5" xfId="1506" xr:uid="{00000000-0005-0000-0000-00004F000000}"/>
    <cellStyle name="20% - Accent1 3 5 2" xfId="3736" xr:uid="{00000000-0005-0000-0000-000050000000}"/>
    <cellStyle name="20% - Accent1 3 6" xfId="1927" xr:uid="{00000000-0005-0000-0000-000051000000}"/>
    <cellStyle name="20% - Accent1 3 6 2" xfId="4157" xr:uid="{00000000-0005-0000-0000-000052000000}"/>
    <cellStyle name="20% - Accent1 3 7" xfId="665" xr:uid="{00000000-0005-0000-0000-000053000000}"/>
    <cellStyle name="20% - Accent1 3 7 2" xfId="2895" xr:uid="{00000000-0005-0000-0000-000054000000}"/>
    <cellStyle name="20% - Accent1 3 8" xfId="2349" xr:uid="{00000000-0005-0000-0000-000055000000}"/>
    <cellStyle name="20% - Accent1 4" xfId="287" xr:uid="{00000000-0005-0000-0000-000056000000}"/>
    <cellStyle name="20% - Accent1 4 2" xfId="497" xr:uid="{00000000-0005-0000-0000-000057000000}"/>
    <cellStyle name="20% - Accent1 4 2 2" xfId="1358" xr:uid="{00000000-0005-0000-0000-000058000000}"/>
    <cellStyle name="20% - Accent1 4 2 2 2" xfId="3588" xr:uid="{00000000-0005-0000-0000-000059000000}"/>
    <cellStyle name="20% - Accent1 4 2 3" xfId="1779" xr:uid="{00000000-0005-0000-0000-00005A000000}"/>
    <cellStyle name="20% - Accent1 4 2 3 2" xfId="4009" xr:uid="{00000000-0005-0000-0000-00005B000000}"/>
    <cellStyle name="20% - Accent1 4 2 4" xfId="2200" xr:uid="{00000000-0005-0000-0000-00005C000000}"/>
    <cellStyle name="20% - Accent1 4 2 4 2" xfId="4430" xr:uid="{00000000-0005-0000-0000-00005D000000}"/>
    <cellStyle name="20% - Accent1 4 2 5" xfId="938" xr:uid="{00000000-0005-0000-0000-00005E000000}"/>
    <cellStyle name="20% - Accent1 4 2 5 2" xfId="3168" xr:uid="{00000000-0005-0000-0000-00005F000000}"/>
    <cellStyle name="20% - Accent1 4 2 6" xfId="2727" xr:uid="{00000000-0005-0000-0000-000060000000}"/>
    <cellStyle name="20% - Accent1 4 3" xfId="1148" xr:uid="{00000000-0005-0000-0000-000061000000}"/>
    <cellStyle name="20% - Accent1 4 3 2" xfId="3378" xr:uid="{00000000-0005-0000-0000-000062000000}"/>
    <cellStyle name="20% - Accent1 4 4" xfId="1569" xr:uid="{00000000-0005-0000-0000-000063000000}"/>
    <cellStyle name="20% - Accent1 4 4 2" xfId="3799" xr:uid="{00000000-0005-0000-0000-000064000000}"/>
    <cellStyle name="20% - Accent1 4 5" xfId="1990" xr:uid="{00000000-0005-0000-0000-000065000000}"/>
    <cellStyle name="20% - Accent1 4 5 2" xfId="4220" xr:uid="{00000000-0005-0000-0000-000066000000}"/>
    <cellStyle name="20% - Accent1 4 6" xfId="728" xr:uid="{00000000-0005-0000-0000-000067000000}"/>
    <cellStyle name="20% - Accent1 4 6 2" xfId="2958" xr:uid="{00000000-0005-0000-0000-000068000000}"/>
    <cellStyle name="20% - Accent1 4 7" xfId="2517" xr:uid="{00000000-0005-0000-0000-000069000000}"/>
    <cellStyle name="20% - Accent1 5" xfId="392" xr:uid="{00000000-0005-0000-0000-00006A000000}"/>
    <cellStyle name="20% - Accent1 5 2" xfId="1253" xr:uid="{00000000-0005-0000-0000-00006B000000}"/>
    <cellStyle name="20% - Accent1 5 2 2" xfId="3483" xr:uid="{00000000-0005-0000-0000-00006C000000}"/>
    <cellStyle name="20% - Accent1 5 3" xfId="1674" xr:uid="{00000000-0005-0000-0000-00006D000000}"/>
    <cellStyle name="20% - Accent1 5 3 2" xfId="3904" xr:uid="{00000000-0005-0000-0000-00006E000000}"/>
    <cellStyle name="20% - Accent1 5 4" xfId="2095" xr:uid="{00000000-0005-0000-0000-00006F000000}"/>
    <cellStyle name="20% - Accent1 5 4 2" xfId="4325" xr:uid="{00000000-0005-0000-0000-000070000000}"/>
    <cellStyle name="20% - Accent1 5 5" xfId="833" xr:uid="{00000000-0005-0000-0000-000071000000}"/>
    <cellStyle name="20% - Accent1 5 5 2" xfId="3063" xr:uid="{00000000-0005-0000-0000-000072000000}"/>
    <cellStyle name="20% - Accent1 5 6" xfId="2622" xr:uid="{00000000-0005-0000-0000-000073000000}"/>
    <cellStyle name="20% - Accent1 6" xfId="182" xr:uid="{00000000-0005-0000-0000-000074000000}"/>
    <cellStyle name="20% - Accent1 6 2" xfId="1043" xr:uid="{00000000-0005-0000-0000-000075000000}"/>
    <cellStyle name="20% - Accent1 6 2 2" xfId="3273" xr:uid="{00000000-0005-0000-0000-000076000000}"/>
    <cellStyle name="20% - Accent1 6 3" xfId="2412" xr:uid="{00000000-0005-0000-0000-000077000000}"/>
    <cellStyle name="20% - Accent1 7" xfId="560" xr:uid="{00000000-0005-0000-0000-000078000000}"/>
    <cellStyle name="20% - Accent1 7 2" xfId="1464" xr:uid="{00000000-0005-0000-0000-000079000000}"/>
    <cellStyle name="20% - Accent1 7 2 2" xfId="3694" xr:uid="{00000000-0005-0000-0000-00007A000000}"/>
    <cellStyle name="20% - Accent1 7 3" xfId="2790" xr:uid="{00000000-0005-0000-0000-00007B000000}"/>
    <cellStyle name="20% - Accent1 8" xfId="1885" xr:uid="{00000000-0005-0000-0000-00007C000000}"/>
    <cellStyle name="20% - Accent1 8 2" xfId="4115" xr:uid="{00000000-0005-0000-0000-00007D000000}"/>
    <cellStyle name="20% - Accent1 9" xfId="623" xr:uid="{00000000-0005-0000-0000-00007E000000}"/>
    <cellStyle name="20% - Accent1 9 2" xfId="2853" xr:uid="{00000000-0005-0000-0000-00007F000000}"/>
    <cellStyle name="20% - Accent2" xfId="75" builtinId="34" customBuiltin="1"/>
    <cellStyle name="20% - Accent2 10" xfId="2310" xr:uid="{00000000-0005-0000-0000-000081000000}"/>
    <cellStyle name="20% - Accent2 2" xfId="101" xr:uid="{00000000-0005-0000-0000-000082000000}"/>
    <cellStyle name="20% - Accent2 2 2" xfId="312" xr:uid="{00000000-0005-0000-0000-000083000000}"/>
    <cellStyle name="20% - Accent2 2 2 2" xfId="522" xr:uid="{00000000-0005-0000-0000-000084000000}"/>
    <cellStyle name="20% - Accent2 2 2 2 2" xfId="1383" xr:uid="{00000000-0005-0000-0000-000085000000}"/>
    <cellStyle name="20% - Accent2 2 2 2 2 2" xfId="3613" xr:uid="{00000000-0005-0000-0000-000086000000}"/>
    <cellStyle name="20% - Accent2 2 2 2 3" xfId="1804" xr:uid="{00000000-0005-0000-0000-000087000000}"/>
    <cellStyle name="20% - Accent2 2 2 2 3 2" xfId="4034" xr:uid="{00000000-0005-0000-0000-000088000000}"/>
    <cellStyle name="20% - Accent2 2 2 2 4" xfId="2225" xr:uid="{00000000-0005-0000-0000-000089000000}"/>
    <cellStyle name="20% - Accent2 2 2 2 4 2" xfId="4455" xr:uid="{00000000-0005-0000-0000-00008A000000}"/>
    <cellStyle name="20% - Accent2 2 2 2 5" xfId="963" xr:uid="{00000000-0005-0000-0000-00008B000000}"/>
    <cellStyle name="20% - Accent2 2 2 2 5 2" xfId="3193" xr:uid="{00000000-0005-0000-0000-00008C000000}"/>
    <cellStyle name="20% - Accent2 2 2 2 6" xfId="2752" xr:uid="{00000000-0005-0000-0000-00008D000000}"/>
    <cellStyle name="20% - Accent2 2 2 3" xfId="1173" xr:uid="{00000000-0005-0000-0000-00008E000000}"/>
    <cellStyle name="20% - Accent2 2 2 3 2" xfId="3403" xr:uid="{00000000-0005-0000-0000-00008F000000}"/>
    <cellStyle name="20% - Accent2 2 2 4" xfId="1594" xr:uid="{00000000-0005-0000-0000-000090000000}"/>
    <cellStyle name="20% - Accent2 2 2 4 2" xfId="3824" xr:uid="{00000000-0005-0000-0000-000091000000}"/>
    <cellStyle name="20% - Accent2 2 2 5" xfId="2015" xr:uid="{00000000-0005-0000-0000-000092000000}"/>
    <cellStyle name="20% - Accent2 2 2 5 2" xfId="4245" xr:uid="{00000000-0005-0000-0000-000093000000}"/>
    <cellStyle name="20% - Accent2 2 2 6" xfId="753" xr:uid="{00000000-0005-0000-0000-000094000000}"/>
    <cellStyle name="20% - Accent2 2 2 6 2" xfId="2983" xr:uid="{00000000-0005-0000-0000-000095000000}"/>
    <cellStyle name="20% - Accent2 2 2 7" xfId="2542" xr:uid="{00000000-0005-0000-0000-000096000000}"/>
    <cellStyle name="20% - Accent2 2 3" xfId="417" xr:uid="{00000000-0005-0000-0000-000097000000}"/>
    <cellStyle name="20% - Accent2 2 3 2" xfId="1278" xr:uid="{00000000-0005-0000-0000-000098000000}"/>
    <cellStyle name="20% - Accent2 2 3 2 2" xfId="3508" xr:uid="{00000000-0005-0000-0000-000099000000}"/>
    <cellStyle name="20% - Accent2 2 3 3" xfId="1699" xr:uid="{00000000-0005-0000-0000-00009A000000}"/>
    <cellStyle name="20% - Accent2 2 3 3 2" xfId="3929" xr:uid="{00000000-0005-0000-0000-00009B000000}"/>
    <cellStyle name="20% - Accent2 2 3 4" xfId="2120" xr:uid="{00000000-0005-0000-0000-00009C000000}"/>
    <cellStyle name="20% - Accent2 2 3 4 2" xfId="4350" xr:uid="{00000000-0005-0000-0000-00009D000000}"/>
    <cellStyle name="20% - Accent2 2 3 5" xfId="858" xr:uid="{00000000-0005-0000-0000-00009E000000}"/>
    <cellStyle name="20% - Accent2 2 3 5 2" xfId="3088" xr:uid="{00000000-0005-0000-0000-00009F000000}"/>
    <cellStyle name="20% - Accent2 2 3 6" xfId="2647" xr:uid="{00000000-0005-0000-0000-0000A0000000}"/>
    <cellStyle name="20% - Accent2 2 4" xfId="207" xr:uid="{00000000-0005-0000-0000-0000A1000000}"/>
    <cellStyle name="20% - Accent2 2 4 2" xfId="1068" xr:uid="{00000000-0005-0000-0000-0000A2000000}"/>
    <cellStyle name="20% - Accent2 2 4 2 2" xfId="3298" xr:uid="{00000000-0005-0000-0000-0000A3000000}"/>
    <cellStyle name="20% - Accent2 2 4 3" xfId="2437" xr:uid="{00000000-0005-0000-0000-0000A4000000}"/>
    <cellStyle name="20% - Accent2 2 5" xfId="1489" xr:uid="{00000000-0005-0000-0000-0000A5000000}"/>
    <cellStyle name="20% - Accent2 2 5 2" xfId="3719" xr:uid="{00000000-0005-0000-0000-0000A6000000}"/>
    <cellStyle name="20% - Accent2 2 6" xfId="1910" xr:uid="{00000000-0005-0000-0000-0000A7000000}"/>
    <cellStyle name="20% - Accent2 2 6 2" xfId="4140" xr:uid="{00000000-0005-0000-0000-0000A8000000}"/>
    <cellStyle name="20% - Accent2 2 7" xfId="648" xr:uid="{00000000-0005-0000-0000-0000A9000000}"/>
    <cellStyle name="20% - Accent2 2 7 2" xfId="2878" xr:uid="{00000000-0005-0000-0000-0000AA000000}"/>
    <cellStyle name="20% - Accent2 2 8" xfId="2332" xr:uid="{00000000-0005-0000-0000-0000AB000000}"/>
    <cellStyle name="20% - Accent2 3" xfId="121" xr:uid="{00000000-0005-0000-0000-0000AC000000}"/>
    <cellStyle name="20% - Accent2 3 2" xfId="332" xr:uid="{00000000-0005-0000-0000-0000AD000000}"/>
    <cellStyle name="20% - Accent2 3 2 2" xfId="542" xr:uid="{00000000-0005-0000-0000-0000AE000000}"/>
    <cellStyle name="20% - Accent2 3 2 2 2" xfId="1403" xr:uid="{00000000-0005-0000-0000-0000AF000000}"/>
    <cellStyle name="20% - Accent2 3 2 2 2 2" xfId="3633" xr:uid="{00000000-0005-0000-0000-0000B0000000}"/>
    <cellStyle name="20% - Accent2 3 2 2 3" xfId="1824" xr:uid="{00000000-0005-0000-0000-0000B1000000}"/>
    <cellStyle name="20% - Accent2 3 2 2 3 2" xfId="4054" xr:uid="{00000000-0005-0000-0000-0000B2000000}"/>
    <cellStyle name="20% - Accent2 3 2 2 4" xfId="2245" xr:uid="{00000000-0005-0000-0000-0000B3000000}"/>
    <cellStyle name="20% - Accent2 3 2 2 4 2" xfId="4475" xr:uid="{00000000-0005-0000-0000-0000B4000000}"/>
    <cellStyle name="20% - Accent2 3 2 2 5" xfId="983" xr:uid="{00000000-0005-0000-0000-0000B5000000}"/>
    <cellStyle name="20% - Accent2 3 2 2 5 2" xfId="3213" xr:uid="{00000000-0005-0000-0000-0000B6000000}"/>
    <cellStyle name="20% - Accent2 3 2 2 6" xfId="2772" xr:uid="{00000000-0005-0000-0000-0000B7000000}"/>
    <cellStyle name="20% - Accent2 3 2 3" xfId="1193" xr:uid="{00000000-0005-0000-0000-0000B8000000}"/>
    <cellStyle name="20% - Accent2 3 2 3 2" xfId="3423" xr:uid="{00000000-0005-0000-0000-0000B9000000}"/>
    <cellStyle name="20% - Accent2 3 2 4" xfId="1614" xr:uid="{00000000-0005-0000-0000-0000BA000000}"/>
    <cellStyle name="20% - Accent2 3 2 4 2" xfId="3844" xr:uid="{00000000-0005-0000-0000-0000BB000000}"/>
    <cellStyle name="20% - Accent2 3 2 5" xfId="2035" xr:uid="{00000000-0005-0000-0000-0000BC000000}"/>
    <cellStyle name="20% - Accent2 3 2 5 2" xfId="4265" xr:uid="{00000000-0005-0000-0000-0000BD000000}"/>
    <cellStyle name="20% - Accent2 3 2 6" xfId="773" xr:uid="{00000000-0005-0000-0000-0000BE000000}"/>
    <cellStyle name="20% - Accent2 3 2 6 2" xfId="3003" xr:uid="{00000000-0005-0000-0000-0000BF000000}"/>
    <cellStyle name="20% - Accent2 3 2 7" xfId="2562" xr:uid="{00000000-0005-0000-0000-0000C0000000}"/>
    <cellStyle name="20% - Accent2 3 3" xfId="437" xr:uid="{00000000-0005-0000-0000-0000C1000000}"/>
    <cellStyle name="20% - Accent2 3 3 2" xfId="1298" xr:uid="{00000000-0005-0000-0000-0000C2000000}"/>
    <cellStyle name="20% - Accent2 3 3 2 2" xfId="3528" xr:uid="{00000000-0005-0000-0000-0000C3000000}"/>
    <cellStyle name="20% - Accent2 3 3 3" xfId="1719" xr:uid="{00000000-0005-0000-0000-0000C4000000}"/>
    <cellStyle name="20% - Accent2 3 3 3 2" xfId="3949" xr:uid="{00000000-0005-0000-0000-0000C5000000}"/>
    <cellStyle name="20% - Accent2 3 3 4" xfId="2140" xr:uid="{00000000-0005-0000-0000-0000C6000000}"/>
    <cellStyle name="20% - Accent2 3 3 4 2" xfId="4370" xr:uid="{00000000-0005-0000-0000-0000C7000000}"/>
    <cellStyle name="20% - Accent2 3 3 5" xfId="878" xr:uid="{00000000-0005-0000-0000-0000C8000000}"/>
    <cellStyle name="20% - Accent2 3 3 5 2" xfId="3108" xr:uid="{00000000-0005-0000-0000-0000C9000000}"/>
    <cellStyle name="20% - Accent2 3 3 6" xfId="2667" xr:uid="{00000000-0005-0000-0000-0000CA000000}"/>
    <cellStyle name="20% - Accent2 3 4" xfId="227" xr:uid="{00000000-0005-0000-0000-0000CB000000}"/>
    <cellStyle name="20% - Accent2 3 4 2" xfId="1088" xr:uid="{00000000-0005-0000-0000-0000CC000000}"/>
    <cellStyle name="20% - Accent2 3 4 2 2" xfId="3318" xr:uid="{00000000-0005-0000-0000-0000CD000000}"/>
    <cellStyle name="20% - Accent2 3 4 3" xfId="2457" xr:uid="{00000000-0005-0000-0000-0000CE000000}"/>
    <cellStyle name="20% - Accent2 3 5" xfId="1509" xr:uid="{00000000-0005-0000-0000-0000CF000000}"/>
    <cellStyle name="20% - Accent2 3 5 2" xfId="3739" xr:uid="{00000000-0005-0000-0000-0000D0000000}"/>
    <cellStyle name="20% - Accent2 3 6" xfId="1930" xr:uid="{00000000-0005-0000-0000-0000D1000000}"/>
    <cellStyle name="20% - Accent2 3 6 2" xfId="4160" xr:uid="{00000000-0005-0000-0000-0000D2000000}"/>
    <cellStyle name="20% - Accent2 3 7" xfId="668" xr:uid="{00000000-0005-0000-0000-0000D3000000}"/>
    <cellStyle name="20% - Accent2 3 7 2" xfId="2898" xr:uid="{00000000-0005-0000-0000-0000D4000000}"/>
    <cellStyle name="20% - Accent2 3 8" xfId="2352" xr:uid="{00000000-0005-0000-0000-0000D5000000}"/>
    <cellStyle name="20% - Accent2 4" xfId="290" xr:uid="{00000000-0005-0000-0000-0000D6000000}"/>
    <cellStyle name="20% - Accent2 4 2" xfId="500" xr:uid="{00000000-0005-0000-0000-0000D7000000}"/>
    <cellStyle name="20% - Accent2 4 2 2" xfId="1361" xr:uid="{00000000-0005-0000-0000-0000D8000000}"/>
    <cellStyle name="20% - Accent2 4 2 2 2" xfId="3591" xr:uid="{00000000-0005-0000-0000-0000D9000000}"/>
    <cellStyle name="20% - Accent2 4 2 3" xfId="1782" xr:uid="{00000000-0005-0000-0000-0000DA000000}"/>
    <cellStyle name="20% - Accent2 4 2 3 2" xfId="4012" xr:uid="{00000000-0005-0000-0000-0000DB000000}"/>
    <cellStyle name="20% - Accent2 4 2 4" xfId="2203" xr:uid="{00000000-0005-0000-0000-0000DC000000}"/>
    <cellStyle name="20% - Accent2 4 2 4 2" xfId="4433" xr:uid="{00000000-0005-0000-0000-0000DD000000}"/>
    <cellStyle name="20% - Accent2 4 2 5" xfId="941" xr:uid="{00000000-0005-0000-0000-0000DE000000}"/>
    <cellStyle name="20% - Accent2 4 2 5 2" xfId="3171" xr:uid="{00000000-0005-0000-0000-0000DF000000}"/>
    <cellStyle name="20% - Accent2 4 2 6" xfId="2730" xr:uid="{00000000-0005-0000-0000-0000E0000000}"/>
    <cellStyle name="20% - Accent2 4 3" xfId="1151" xr:uid="{00000000-0005-0000-0000-0000E1000000}"/>
    <cellStyle name="20% - Accent2 4 3 2" xfId="3381" xr:uid="{00000000-0005-0000-0000-0000E2000000}"/>
    <cellStyle name="20% - Accent2 4 4" xfId="1572" xr:uid="{00000000-0005-0000-0000-0000E3000000}"/>
    <cellStyle name="20% - Accent2 4 4 2" xfId="3802" xr:uid="{00000000-0005-0000-0000-0000E4000000}"/>
    <cellStyle name="20% - Accent2 4 5" xfId="1993" xr:uid="{00000000-0005-0000-0000-0000E5000000}"/>
    <cellStyle name="20% - Accent2 4 5 2" xfId="4223" xr:uid="{00000000-0005-0000-0000-0000E6000000}"/>
    <cellStyle name="20% - Accent2 4 6" xfId="731" xr:uid="{00000000-0005-0000-0000-0000E7000000}"/>
    <cellStyle name="20% - Accent2 4 6 2" xfId="2961" xr:uid="{00000000-0005-0000-0000-0000E8000000}"/>
    <cellStyle name="20% - Accent2 4 7" xfId="2520" xr:uid="{00000000-0005-0000-0000-0000E9000000}"/>
    <cellStyle name="20% - Accent2 5" xfId="395" xr:uid="{00000000-0005-0000-0000-0000EA000000}"/>
    <cellStyle name="20% - Accent2 5 2" xfId="1256" xr:uid="{00000000-0005-0000-0000-0000EB000000}"/>
    <cellStyle name="20% - Accent2 5 2 2" xfId="3486" xr:uid="{00000000-0005-0000-0000-0000EC000000}"/>
    <cellStyle name="20% - Accent2 5 3" xfId="1677" xr:uid="{00000000-0005-0000-0000-0000ED000000}"/>
    <cellStyle name="20% - Accent2 5 3 2" xfId="3907" xr:uid="{00000000-0005-0000-0000-0000EE000000}"/>
    <cellStyle name="20% - Accent2 5 4" xfId="2098" xr:uid="{00000000-0005-0000-0000-0000EF000000}"/>
    <cellStyle name="20% - Accent2 5 4 2" xfId="4328" xr:uid="{00000000-0005-0000-0000-0000F0000000}"/>
    <cellStyle name="20% - Accent2 5 5" xfId="836" xr:uid="{00000000-0005-0000-0000-0000F1000000}"/>
    <cellStyle name="20% - Accent2 5 5 2" xfId="3066" xr:uid="{00000000-0005-0000-0000-0000F2000000}"/>
    <cellStyle name="20% - Accent2 5 6" xfId="2625" xr:uid="{00000000-0005-0000-0000-0000F3000000}"/>
    <cellStyle name="20% - Accent2 6" xfId="185" xr:uid="{00000000-0005-0000-0000-0000F4000000}"/>
    <cellStyle name="20% - Accent2 6 2" xfId="1046" xr:uid="{00000000-0005-0000-0000-0000F5000000}"/>
    <cellStyle name="20% - Accent2 6 2 2" xfId="3276" xr:uid="{00000000-0005-0000-0000-0000F6000000}"/>
    <cellStyle name="20% - Accent2 6 3" xfId="2415" xr:uid="{00000000-0005-0000-0000-0000F7000000}"/>
    <cellStyle name="20% - Accent2 7" xfId="563" xr:uid="{00000000-0005-0000-0000-0000F8000000}"/>
    <cellStyle name="20% - Accent2 7 2" xfId="1467" xr:uid="{00000000-0005-0000-0000-0000F9000000}"/>
    <cellStyle name="20% - Accent2 7 2 2" xfId="3697" xr:uid="{00000000-0005-0000-0000-0000FA000000}"/>
    <cellStyle name="20% - Accent2 7 3" xfId="2793" xr:uid="{00000000-0005-0000-0000-0000FB000000}"/>
    <cellStyle name="20% - Accent2 8" xfId="1888" xr:uid="{00000000-0005-0000-0000-0000FC000000}"/>
    <cellStyle name="20% - Accent2 8 2" xfId="4118" xr:uid="{00000000-0005-0000-0000-0000FD000000}"/>
    <cellStyle name="20% - Accent2 9" xfId="626" xr:uid="{00000000-0005-0000-0000-0000FE000000}"/>
    <cellStyle name="20% - Accent2 9 2" xfId="2856" xr:uid="{00000000-0005-0000-0000-0000FF000000}"/>
    <cellStyle name="20% - Accent3" xfId="79" builtinId="38" customBuiltin="1"/>
    <cellStyle name="20% - Accent3 10" xfId="2313" xr:uid="{00000000-0005-0000-0000-000001010000}"/>
    <cellStyle name="20% - Accent3 2" xfId="104" xr:uid="{00000000-0005-0000-0000-000002010000}"/>
    <cellStyle name="20% - Accent3 2 2" xfId="315" xr:uid="{00000000-0005-0000-0000-000003010000}"/>
    <cellStyle name="20% - Accent3 2 2 2" xfId="525" xr:uid="{00000000-0005-0000-0000-000004010000}"/>
    <cellStyle name="20% - Accent3 2 2 2 2" xfId="1386" xr:uid="{00000000-0005-0000-0000-000005010000}"/>
    <cellStyle name="20% - Accent3 2 2 2 2 2" xfId="3616" xr:uid="{00000000-0005-0000-0000-000006010000}"/>
    <cellStyle name="20% - Accent3 2 2 2 3" xfId="1807" xr:uid="{00000000-0005-0000-0000-000007010000}"/>
    <cellStyle name="20% - Accent3 2 2 2 3 2" xfId="4037" xr:uid="{00000000-0005-0000-0000-000008010000}"/>
    <cellStyle name="20% - Accent3 2 2 2 4" xfId="2228" xr:uid="{00000000-0005-0000-0000-000009010000}"/>
    <cellStyle name="20% - Accent3 2 2 2 4 2" xfId="4458" xr:uid="{00000000-0005-0000-0000-00000A010000}"/>
    <cellStyle name="20% - Accent3 2 2 2 5" xfId="966" xr:uid="{00000000-0005-0000-0000-00000B010000}"/>
    <cellStyle name="20% - Accent3 2 2 2 5 2" xfId="3196" xr:uid="{00000000-0005-0000-0000-00000C010000}"/>
    <cellStyle name="20% - Accent3 2 2 2 6" xfId="2755" xr:uid="{00000000-0005-0000-0000-00000D010000}"/>
    <cellStyle name="20% - Accent3 2 2 3" xfId="1176" xr:uid="{00000000-0005-0000-0000-00000E010000}"/>
    <cellStyle name="20% - Accent3 2 2 3 2" xfId="3406" xr:uid="{00000000-0005-0000-0000-00000F010000}"/>
    <cellStyle name="20% - Accent3 2 2 4" xfId="1597" xr:uid="{00000000-0005-0000-0000-000010010000}"/>
    <cellStyle name="20% - Accent3 2 2 4 2" xfId="3827" xr:uid="{00000000-0005-0000-0000-000011010000}"/>
    <cellStyle name="20% - Accent3 2 2 5" xfId="2018" xr:uid="{00000000-0005-0000-0000-000012010000}"/>
    <cellStyle name="20% - Accent3 2 2 5 2" xfId="4248" xr:uid="{00000000-0005-0000-0000-000013010000}"/>
    <cellStyle name="20% - Accent3 2 2 6" xfId="756" xr:uid="{00000000-0005-0000-0000-000014010000}"/>
    <cellStyle name="20% - Accent3 2 2 6 2" xfId="2986" xr:uid="{00000000-0005-0000-0000-000015010000}"/>
    <cellStyle name="20% - Accent3 2 2 7" xfId="2545" xr:uid="{00000000-0005-0000-0000-000016010000}"/>
    <cellStyle name="20% - Accent3 2 3" xfId="420" xr:uid="{00000000-0005-0000-0000-000017010000}"/>
    <cellStyle name="20% - Accent3 2 3 2" xfId="1281" xr:uid="{00000000-0005-0000-0000-000018010000}"/>
    <cellStyle name="20% - Accent3 2 3 2 2" xfId="3511" xr:uid="{00000000-0005-0000-0000-000019010000}"/>
    <cellStyle name="20% - Accent3 2 3 3" xfId="1702" xr:uid="{00000000-0005-0000-0000-00001A010000}"/>
    <cellStyle name="20% - Accent3 2 3 3 2" xfId="3932" xr:uid="{00000000-0005-0000-0000-00001B010000}"/>
    <cellStyle name="20% - Accent3 2 3 4" xfId="2123" xr:uid="{00000000-0005-0000-0000-00001C010000}"/>
    <cellStyle name="20% - Accent3 2 3 4 2" xfId="4353" xr:uid="{00000000-0005-0000-0000-00001D010000}"/>
    <cellStyle name="20% - Accent3 2 3 5" xfId="861" xr:uid="{00000000-0005-0000-0000-00001E010000}"/>
    <cellStyle name="20% - Accent3 2 3 5 2" xfId="3091" xr:uid="{00000000-0005-0000-0000-00001F010000}"/>
    <cellStyle name="20% - Accent3 2 3 6" xfId="2650" xr:uid="{00000000-0005-0000-0000-000020010000}"/>
    <cellStyle name="20% - Accent3 2 4" xfId="210" xr:uid="{00000000-0005-0000-0000-000021010000}"/>
    <cellStyle name="20% - Accent3 2 4 2" xfId="1071" xr:uid="{00000000-0005-0000-0000-000022010000}"/>
    <cellStyle name="20% - Accent3 2 4 2 2" xfId="3301" xr:uid="{00000000-0005-0000-0000-000023010000}"/>
    <cellStyle name="20% - Accent3 2 4 3" xfId="2440" xr:uid="{00000000-0005-0000-0000-000024010000}"/>
    <cellStyle name="20% - Accent3 2 5" xfId="1492" xr:uid="{00000000-0005-0000-0000-000025010000}"/>
    <cellStyle name="20% - Accent3 2 5 2" xfId="3722" xr:uid="{00000000-0005-0000-0000-000026010000}"/>
    <cellStyle name="20% - Accent3 2 6" xfId="1913" xr:uid="{00000000-0005-0000-0000-000027010000}"/>
    <cellStyle name="20% - Accent3 2 6 2" xfId="4143" xr:uid="{00000000-0005-0000-0000-000028010000}"/>
    <cellStyle name="20% - Accent3 2 7" xfId="651" xr:uid="{00000000-0005-0000-0000-000029010000}"/>
    <cellStyle name="20% - Accent3 2 7 2" xfId="2881" xr:uid="{00000000-0005-0000-0000-00002A010000}"/>
    <cellStyle name="20% - Accent3 2 8" xfId="2335" xr:uid="{00000000-0005-0000-0000-00002B010000}"/>
    <cellStyle name="20% - Accent3 3" xfId="124" xr:uid="{00000000-0005-0000-0000-00002C010000}"/>
    <cellStyle name="20% - Accent3 3 2" xfId="335" xr:uid="{00000000-0005-0000-0000-00002D010000}"/>
    <cellStyle name="20% - Accent3 3 2 2" xfId="545" xr:uid="{00000000-0005-0000-0000-00002E010000}"/>
    <cellStyle name="20% - Accent3 3 2 2 2" xfId="1406" xr:uid="{00000000-0005-0000-0000-00002F010000}"/>
    <cellStyle name="20% - Accent3 3 2 2 2 2" xfId="3636" xr:uid="{00000000-0005-0000-0000-000030010000}"/>
    <cellStyle name="20% - Accent3 3 2 2 3" xfId="1827" xr:uid="{00000000-0005-0000-0000-000031010000}"/>
    <cellStyle name="20% - Accent3 3 2 2 3 2" xfId="4057" xr:uid="{00000000-0005-0000-0000-000032010000}"/>
    <cellStyle name="20% - Accent3 3 2 2 4" xfId="2248" xr:uid="{00000000-0005-0000-0000-000033010000}"/>
    <cellStyle name="20% - Accent3 3 2 2 4 2" xfId="4478" xr:uid="{00000000-0005-0000-0000-000034010000}"/>
    <cellStyle name="20% - Accent3 3 2 2 5" xfId="986" xr:uid="{00000000-0005-0000-0000-000035010000}"/>
    <cellStyle name="20% - Accent3 3 2 2 5 2" xfId="3216" xr:uid="{00000000-0005-0000-0000-000036010000}"/>
    <cellStyle name="20% - Accent3 3 2 2 6" xfId="2775" xr:uid="{00000000-0005-0000-0000-000037010000}"/>
    <cellStyle name="20% - Accent3 3 2 3" xfId="1196" xr:uid="{00000000-0005-0000-0000-000038010000}"/>
    <cellStyle name="20% - Accent3 3 2 3 2" xfId="3426" xr:uid="{00000000-0005-0000-0000-000039010000}"/>
    <cellStyle name="20% - Accent3 3 2 4" xfId="1617" xr:uid="{00000000-0005-0000-0000-00003A010000}"/>
    <cellStyle name="20% - Accent3 3 2 4 2" xfId="3847" xr:uid="{00000000-0005-0000-0000-00003B010000}"/>
    <cellStyle name="20% - Accent3 3 2 5" xfId="2038" xr:uid="{00000000-0005-0000-0000-00003C010000}"/>
    <cellStyle name="20% - Accent3 3 2 5 2" xfId="4268" xr:uid="{00000000-0005-0000-0000-00003D010000}"/>
    <cellStyle name="20% - Accent3 3 2 6" xfId="776" xr:uid="{00000000-0005-0000-0000-00003E010000}"/>
    <cellStyle name="20% - Accent3 3 2 6 2" xfId="3006" xr:uid="{00000000-0005-0000-0000-00003F010000}"/>
    <cellStyle name="20% - Accent3 3 2 7" xfId="2565" xr:uid="{00000000-0005-0000-0000-000040010000}"/>
    <cellStyle name="20% - Accent3 3 3" xfId="440" xr:uid="{00000000-0005-0000-0000-000041010000}"/>
    <cellStyle name="20% - Accent3 3 3 2" xfId="1301" xr:uid="{00000000-0005-0000-0000-000042010000}"/>
    <cellStyle name="20% - Accent3 3 3 2 2" xfId="3531" xr:uid="{00000000-0005-0000-0000-000043010000}"/>
    <cellStyle name="20% - Accent3 3 3 3" xfId="1722" xr:uid="{00000000-0005-0000-0000-000044010000}"/>
    <cellStyle name="20% - Accent3 3 3 3 2" xfId="3952" xr:uid="{00000000-0005-0000-0000-000045010000}"/>
    <cellStyle name="20% - Accent3 3 3 4" xfId="2143" xr:uid="{00000000-0005-0000-0000-000046010000}"/>
    <cellStyle name="20% - Accent3 3 3 4 2" xfId="4373" xr:uid="{00000000-0005-0000-0000-000047010000}"/>
    <cellStyle name="20% - Accent3 3 3 5" xfId="881" xr:uid="{00000000-0005-0000-0000-000048010000}"/>
    <cellStyle name="20% - Accent3 3 3 5 2" xfId="3111" xr:uid="{00000000-0005-0000-0000-000049010000}"/>
    <cellStyle name="20% - Accent3 3 3 6" xfId="2670" xr:uid="{00000000-0005-0000-0000-00004A010000}"/>
    <cellStyle name="20% - Accent3 3 4" xfId="230" xr:uid="{00000000-0005-0000-0000-00004B010000}"/>
    <cellStyle name="20% - Accent3 3 4 2" xfId="1091" xr:uid="{00000000-0005-0000-0000-00004C010000}"/>
    <cellStyle name="20% - Accent3 3 4 2 2" xfId="3321" xr:uid="{00000000-0005-0000-0000-00004D010000}"/>
    <cellStyle name="20% - Accent3 3 4 3" xfId="2460" xr:uid="{00000000-0005-0000-0000-00004E010000}"/>
    <cellStyle name="20% - Accent3 3 5" xfId="1512" xr:uid="{00000000-0005-0000-0000-00004F010000}"/>
    <cellStyle name="20% - Accent3 3 5 2" xfId="3742" xr:uid="{00000000-0005-0000-0000-000050010000}"/>
    <cellStyle name="20% - Accent3 3 6" xfId="1933" xr:uid="{00000000-0005-0000-0000-000051010000}"/>
    <cellStyle name="20% - Accent3 3 6 2" xfId="4163" xr:uid="{00000000-0005-0000-0000-000052010000}"/>
    <cellStyle name="20% - Accent3 3 7" xfId="671" xr:uid="{00000000-0005-0000-0000-000053010000}"/>
    <cellStyle name="20% - Accent3 3 7 2" xfId="2901" xr:uid="{00000000-0005-0000-0000-000054010000}"/>
    <cellStyle name="20% - Accent3 3 8" xfId="2355" xr:uid="{00000000-0005-0000-0000-000055010000}"/>
    <cellStyle name="20% - Accent3 4" xfId="293" xr:uid="{00000000-0005-0000-0000-000056010000}"/>
    <cellStyle name="20% - Accent3 4 2" xfId="503" xr:uid="{00000000-0005-0000-0000-000057010000}"/>
    <cellStyle name="20% - Accent3 4 2 2" xfId="1364" xr:uid="{00000000-0005-0000-0000-000058010000}"/>
    <cellStyle name="20% - Accent3 4 2 2 2" xfId="3594" xr:uid="{00000000-0005-0000-0000-000059010000}"/>
    <cellStyle name="20% - Accent3 4 2 3" xfId="1785" xr:uid="{00000000-0005-0000-0000-00005A010000}"/>
    <cellStyle name="20% - Accent3 4 2 3 2" xfId="4015" xr:uid="{00000000-0005-0000-0000-00005B010000}"/>
    <cellStyle name="20% - Accent3 4 2 4" xfId="2206" xr:uid="{00000000-0005-0000-0000-00005C010000}"/>
    <cellStyle name="20% - Accent3 4 2 4 2" xfId="4436" xr:uid="{00000000-0005-0000-0000-00005D010000}"/>
    <cellStyle name="20% - Accent3 4 2 5" xfId="944" xr:uid="{00000000-0005-0000-0000-00005E010000}"/>
    <cellStyle name="20% - Accent3 4 2 5 2" xfId="3174" xr:uid="{00000000-0005-0000-0000-00005F010000}"/>
    <cellStyle name="20% - Accent3 4 2 6" xfId="2733" xr:uid="{00000000-0005-0000-0000-000060010000}"/>
    <cellStyle name="20% - Accent3 4 3" xfId="1154" xr:uid="{00000000-0005-0000-0000-000061010000}"/>
    <cellStyle name="20% - Accent3 4 3 2" xfId="3384" xr:uid="{00000000-0005-0000-0000-000062010000}"/>
    <cellStyle name="20% - Accent3 4 4" xfId="1575" xr:uid="{00000000-0005-0000-0000-000063010000}"/>
    <cellStyle name="20% - Accent3 4 4 2" xfId="3805" xr:uid="{00000000-0005-0000-0000-000064010000}"/>
    <cellStyle name="20% - Accent3 4 5" xfId="1996" xr:uid="{00000000-0005-0000-0000-000065010000}"/>
    <cellStyle name="20% - Accent3 4 5 2" xfId="4226" xr:uid="{00000000-0005-0000-0000-000066010000}"/>
    <cellStyle name="20% - Accent3 4 6" xfId="734" xr:uid="{00000000-0005-0000-0000-000067010000}"/>
    <cellStyle name="20% - Accent3 4 6 2" xfId="2964" xr:uid="{00000000-0005-0000-0000-000068010000}"/>
    <cellStyle name="20% - Accent3 4 7" xfId="2523" xr:uid="{00000000-0005-0000-0000-000069010000}"/>
    <cellStyle name="20% - Accent3 5" xfId="398" xr:uid="{00000000-0005-0000-0000-00006A010000}"/>
    <cellStyle name="20% - Accent3 5 2" xfId="1259" xr:uid="{00000000-0005-0000-0000-00006B010000}"/>
    <cellStyle name="20% - Accent3 5 2 2" xfId="3489" xr:uid="{00000000-0005-0000-0000-00006C010000}"/>
    <cellStyle name="20% - Accent3 5 3" xfId="1680" xr:uid="{00000000-0005-0000-0000-00006D010000}"/>
    <cellStyle name="20% - Accent3 5 3 2" xfId="3910" xr:uid="{00000000-0005-0000-0000-00006E010000}"/>
    <cellStyle name="20% - Accent3 5 4" xfId="2101" xr:uid="{00000000-0005-0000-0000-00006F010000}"/>
    <cellStyle name="20% - Accent3 5 4 2" xfId="4331" xr:uid="{00000000-0005-0000-0000-000070010000}"/>
    <cellStyle name="20% - Accent3 5 5" xfId="839" xr:uid="{00000000-0005-0000-0000-000071010000}"/>
    <cellStyle name="20% - Accent3 5 5 2" xfId="3069" xr:uid="{00000000-0005-0000-0000-000072010000}"/>
    <cellStyle name="20% - Accent3 5 6" xfId="2628" xr:uid="{00000000-0005-0000-0000-000073010000}"/>
    <cellStyle name="20% - Accent3 6" xfId="188" xr:uid="{00000000-0005-0000-0000-000074010000}"/>
    <cellStyle name="20% - Accent3 6 2" xfId="1049" xr:uid="{00000000-0005-0000-0000-000075010000}"/>
    <cellStyle name="20% - Accent3 6 2 2" xfId="3279" xr:uid="{00000000-0005-0000-0000-000076010000}"/>
    <cellStyle name="20% - Accent3 6 3" xfId="2418" xr:uid="{00000000-0005-0000-0000-000077010000}"/>
    <cellStyle name="20% - Accent3 7" xfId="566" xr:uid="{00000000-0005-0000-0000-000078010000}"/>
    <cellStyle name="20% - Accent3 7 2" xfId="1470" xr:uid="{00000000-0005-0000-0000-000079010000}"/>
    <cellStyle name="20% - Accent3 7 2 2" xfId="3700" xr:uid="{00000000-0005-0000-0000-00007A010000}"/>
    <cellStyle name="20% - Accent3 7 3" xfId="2796" xr:uid="{00000000-0005-0000-0000-00007B010000}"/>
    <cellStyle name="20% - Accent3 8" xfId="1891" xr:uid="{00000000-0005-0000-0000-00007C010000}"/>
    <cellStyle name="20% - Accent3 8 2" xfId="4121" xr:uid="{00000000-0005-0000-0000-00007D010000}"/>
    <cellStyle name="20% - Accent3 9" xfId="629" xr:uid="{00000000-0005-0000-0000-00007E010000}"/>
    <cellStyle name="20% - Accent3 9 2" xfId="2859" xr:uid="{00000000-0005-0000-0000-00007F010000}"/>
    <cellStyle name="20% - Accent4" xfId="83" builtinId="42" customBuiltin="1"/>
    <cellStyle name="20% - Accent4 10" xfId="2316" xr:uid="{00000000-0005-0000-0000-000081010000}"/>
    <cellStyle name="20% - Accent4 2" xfId="107" xr:uid="{00000000-0005-0000-0000-000082010000}"/>
    <cellStyle name="20% - Accent4 2 2" xfId="318" xr:uid="{00000000-0005-0000-0000-000083010000}"/>
    <cellStyle name="20% - Accent4 2 2 2" xfId="528" xr:uid="{00000000-0005-0000-0000-000084010000}"/>
    <cellStyle name="20% - Accent4 2 2 2 2" xfId="1389" xr:uid="{00000000-0005-0000-0000-000085010000}"/>
    <cellStyle name="20% - Accent4 2 2 2 2 2" xfId="3619" xr:uid="{00000000-0005-0000-0000-000086010000}"/>
    <cellStyle name="20% - Accent4 2 2 2 3" xfId="1810" xr:uid="{00000000-0005-0000-0000-000087010000}"/>
    <cellStyle name="20% - Accent4 2 2 2 3 2" xfId="4040" xr:uid="{00000000-0005-0000-0000-000088010000}"/>
    <cellStyle name="20% - Accent4 2 2 2 4" xfId="2231" xr:uid="{00000000-0005-0000-0000-000089010000}"/>
    <cellStyle name="20% - Accent4 2 2 2 4 2" xfId="4461" xr:uid="{00000000-0005-0000-0000-00008A010000}"/>
    <cellStyle name="20% - Accent4 2 2 2 5" xfId="969" xr:uid="{00000000-0005-0000-0000-00008B010000}"/>
    <cellStyle name="20% - Accent4 2 2 2 5 2" xfId="3199" xr:uid="{00000000-0005-0000-0000-00008C010000}"/>
    <cellStyle name="20% - Accent4 2 2 2 6" xfId="2758" xr:uid="{00000000-0005-0000-0000-00008D010000}"/>
    <cellStyle name="20% - Accent4 2 2 3" xfId="1179" xr:uid="{00000000-0005-0000-0000-00008E010000}"/>
    <cellStyle name="20% - Accent4 2 2 3 2" xfId="3409" xr:uid="{00000000-0005-0000-0000-00008F010000}"/>
    <cellStyle name="20% - Accent4 2 2 4" xfId="1600" xr:uid="{00000000-0005-0000-0000-000090010000}"/>
    <cellStyle name="20% - Accent4 2 2 4 2" xfId="3830" xr:uid="{00000000-0005-0000-0000-000091010000}"/>
    <cellStyle name="20% - Accent4 2 2 5" xfId="2021" xr:uid="{00000000-0005-0000-0000-000092010000}"/>
    <cellStyle name="20% - Accent4 2 2 5 2" xfId="4251" xr:uid="{00000000-0005-0000-0000-000093010000}"/>
    <cellStyle name="20% - Accent4 2 2 6" xfId="759" xr:uid="{00000000-0005-0000-0000-000094010000}"/>
    <cellStyle name="20% - Accent4 2 2 6 2" xfId="2989" xr:uid="{00000000-0005-0000-0000-000095010000}"/>
    <cellStyle name="20% - Accent4 2 2 7" xfId="2548" xr:uid="{00000000-0005-0000-0000-000096010000}"/>
    <cellStyle name="20% - Accent4 2 3" xfId="423" xr:uid="{00000000-0005-0000-0000-000097010000}"/>
    <cellStyle name="20% - Accent4 2 3 2" xfId="1284" xr:uid="{00000000-0005-0000-0000-000098010000}"/>
    <cellStyle name="20% - Accent4 2 3 2 2" xfId="3514" xr:uid="{00000000-0005-0000-0000-000099010000}"/>
    <cellStyle name="20% - Accent4 2 3 3" xfId="1705" xr:uid="{00000000-0005-0000-0000-00009A010000}"/>
    <cellStyle name="20% - Accent4 2 3 3 2" xfId="3935" xr:uid="{00000000-0005-0000-0000-00009B010000}"/>
    <cellStyle name="20% - Accent4 2 3 4" xfId="2126" xr:uid="{00000000-0005-0000-0000-00009C010000}"/>
    <cellStyle name="20% - Accent4 2 3 4 2" xfId="4356" xr:uid="{00000000-0005-0000-0000-00009D010000}"/>
    <cellStyle name="20% - Accent4 2 3 5" xfId="864" xr:uid="{00000000-0005-0000-0000-00009E010000}"/>
    <cellStyle name="20% - Accent4 2 3 5 2" xfId="3094" xr:uid="{00000000-0005-0000-0000-00009F010000}"/>
    <cellStyle name="20% - Accent4 2 3 6" xfId="2653" xr:uid="{00000000-0005-0000-0000-0000A0010000}"/>
    <cellStyle name="20% - Accent4 2 4" xfId="213" xr:uid="{00000000-0005-0000-0000-0000A1010000}"/>
    <cellStyle name="20% - Accent4 2 4 2" xfId="1074" xr:uid="{00000000-0005-0000-0000-0000A2010000}"/>
    <cellStyle name="20% - Accent4 2 4 2 2" xfId="3304" xr:uid="{00000000-0005-0000-0000-0000A3010000}"/>
    <cellStyle name="20% - Accent4 2 4 3" xfId="2443" xr:uid="{00000000-0005-0000-0000-0000A4010000}"/>
    <cellStyle name="20% - Accent4 2 5" xfId="1495" xr:uid="{00000000-0005-0000-0000-0000A5010000}"/>
    <cellStyle name="20% - Accent4 2 5 2" xfId="3725" xr:uid="{00000000-0005-0000-0000-0000A6010000}"/>
    <cellStyle name="20% - Accent4 2 6" xfId="1916" xr:uid="{00000000-0005-0000-0000-0000A7010000}"/>
    <cellStyle name="20% - Accent4 2 6 2" xfId="4146" xr:uid="{00000000-0005-0000-0000-0000A8010000}"/>
    <cellStyle name="20% - Accent4 2 7" xfId="654" xr:uid="{00000000-0005-0000-0000-0000A9010000}"/>
    <cellStyle name="20% - Accent4 2 7 2" xfId="2884" xr:uid="{00000000-0005-0000-0000-0000AA010000}"/>
    <cellStyle name="20% - Accent4 2 8" xfId="2338" xr:uid="{00000000-0005-0000-0000-0000AB010000}"/>
    <cellStyle name="20% - Accent4 3" xfId="127" xr:uid="{00000000-0005-0000-0000-0000AC010000}"/>
    <cellStyle name="20% - Accent4 3 2" xfId="338" xr:uid="{00000000-0005-0000-0000-0000AD010000}"/>
    <cellStyle name="20% - Accent4 3 2 2" xfId="548" xr:uid="{00000000-0005-0000-0000-0000AE010000}"/>
    <cellStyle name="20% - Accent4 3 2 2 2" xfId="1409" xr:uid="{00000000-0005-0000-0000-0000AF010000}"/>
    <cellStyle name="20% - Accent4 3 2 2 2 2" xfId="3639" xr:uid="{00000000-0005-0000-0000-0000B0010000}"/>
    <cellStyle name="20% - Accent4 3 2 2 3" xfId="1830" xr:uid="{00000000-0005-0000-0000-0000B1010000}"/>
    <cellStyle name="20% - Accent4 3 2 2 3 2" xfId="4060" xr:uid="{00000000-0005-0000-0000-0000B2010000}"/>
    <cellStyle name="20% - Accent4 3 2 2 4" xfId="2251" xr:uid="{00000000-0005-0000-0000-0000B3010000}"/>
    <cellStyle name="20% - Accent4 3 2 2 4 2" xfId="4481" xr:uid="{00000000-0005-0000-0000-0000B4010000}"/>
    <cellStyle name="20% - Accent4 3 2 2 5" xfId="989" xr:uid="{00000000-0005-0000-0000-0000B5010000}"/>
    <cellStyle name="20% - Accent4 3 2 2 5 2" xfId="3219" xr:uid="{00000000-0005-0000-0000-0000B6010000}"/>
    <cellStyle name="20% - Accent4 3 2 2 6" xfId="2778" xr:uid="{00000000-0005-0000-0000-0000B7010000}"/>
    <cellStyle name="20% - Accent4 3 2 3" xfId="1199" xr:uid="{00000000-0005-0000-0000-0000B8010000}"/>
    <cellStyle name="20% - Accent4 3 2 3 2" xfId="3429" xr:uid="{00000000-0005-0000-0000-0000B9010000}"/>
    <cellStyle name="20% - Accent4 3 2 4" xfId="1620" xr:uid="{00000000-0005-0000-0000-0000BA010000}"/>
    <cellStyle name="20% - Accent4 3 2 4 2" xfId="3850" xr:uid="{00000000-0005-0000-0000-0000BB010000}"/>
    <cellStyle name="20% - Accent4 3 2 5" xfId="2041" xr:uid="{00000000-0005-0000-0000-0000BC010000}"/>
    <cellStyle name="20% - Accent4 3 2 5 2" xfId="4271" xr:uid="{00000000-0005-0000-0000-0000BD010000}"/>
    <cellStyle name="20% - Accent4 3 2 6" xfId="779" xr:uid="{00000000-0005-0000-0000-0000BE010000}"/>
    <cellStyle name="20% - Accent4 3 2 6 2" xfId="3009" xr:uid="{00000000-0005-0000-0000-0000BF010000}"/>
    <cellStyle name="20% - Accent4 3 2 7" xfId="2568" xr:uid="{00000000-0005-0000-0000-0000C0010000}"/>
    <cellStyle name="20% - Accent4 3 3" xfId="443" xr:uid="{00000000-0005-0000-0000-0000C1010000}"/>
    <cellStyle name="20% - Accent4 3 3 2" xfId="1304" xr:uid="{00000000-0005-0000-0000-0000C2010000}"/>
    <cellStyle name="20% - Accent4 3 3 2 2" xfId="3534" xr:uid="{00000000-0005-0000-0000-0000C3010000}"/>
    <cellStyle name="20% - Accent4 3 3 3" xfId="1725" xr:uid="{00000000-0005-0000-0000-0000C4010000}"/>
    <cellStyle name="20% - Accent4 3 3 3 2" xfId="3955" xr:uid="{00000000-0005-0000-0000-0000C5010000}"/>
    <cellStyle name="20% - Accent4 3 3 4" xfId="2146" xr:uid="{00000000-0005-0000-0000-0000C6010000}"/>
    <cellStyle name="20% - Accent4 3 3 4 2" xfId="4376" xr:uid="{00000000-0005-0000-0000-0000C7010000}"/>
    <cellStyle name="20% - Accent4 3 3 5" xfId="884" xr:uid="{00000000-0005-0000-0000-0000C8010000}"/>
    <cellStyle name="20% - Accent4 3 3 5 2" xfId="3114" xr:uid="{00000000-0005-0000-0000-0000C9010000}"/>
    <cellStyle name="20% - Accent4 3 3 6" xfId="2673" xr:uid="{00000000-0005-0000-0000-0000CA010000}"/>
    <cellStyle name="20% - Accent4 3 4" xfId="233" xr:uid="{00000000-0005-0000-0000-0000CB010000}"/>
    <cellStyle name="20% - Accent4 3 4 2" xfId="1094" xr:uid="{00000000-0005-0000-0000-0000CC010000}"/>
    <cellStyle name="20% - Accent4 3 4 2 2" xfId="3324" xr:uid="{00000000-0005-0000-0000-0000CD010000}"/>
    <cellStyle name="20% - Accent4 3 4 3" xfId="2463" xr:uid="{00000000-0005-0000-0000-0000CE010000}"/>
    <cellStyle name="20% - Accent4 3 5" xfId="1515" xr:uid="{00000000-0005-0000-0000-0000CF010000}"/>
    <cellStyle name="20% - Accent4 3 5 2" xfId="3745" xr:uid="{00000000-0005-0000-0000-0000D0010000}"/>
    <cellStyle name="20% - Accent4 3 6" xfId="1936" xr:uid="{00000000-0005-0000-0000-0000D1010000}"/>
    <cellStyle name="20% - Accent4 3 6 2" xfId="4166" xr:uid="{00000000-0005-0000-0000-0000D2010000}"/>
    <cellStyle name="20% - Accent4 3 7" xfId="674" xr:uid="{00000000-0005-0000-0000-0000D3010000}"/>
    <cellStyle name="20% - Accent4 3 7 2" xfId="2904" xr:uid="{00000000-0005-0000-0000-0000D4010000}"/>
    <cellStyle name="20% - Accent4 3 8" xfId="2358" xr:uid="{00000000-0005-0000-0000-0000D5010000}"/>
    <cellStyle name="20% - Accent4 4" xfId="296" xr:uid="{00000000-0005-0000-0000-0000D6010000}"/>
    <cellStyle name="20% - Accent4 4 2" xfId="506" xr:uid="{00000000-0005-0000-0000-0000D7010000}"/>
    <cellStyle name="20% - Accent4 4 2 2" xfId="1367" xr:uid="{00000000-0005-0000-0000-0000D8010000}"/>
    <cellStyle name="20% - Accent4 4 2 2 2" xfId="3597" xr:uid="{00000000-0005-0000-0000-0000D9010000}"/>
    <cellStyle name="20% - Accent4 4 2 3" xfId="1788" xr:uid="{00000000-0005-0000-0000-0000DA010000}"/>
    <cellStyle name="20% - Accent4 4 2 3 2" xfId="4018" xr:uid="{00000000-0005-0000-0000-0000DB010000}"/>
    <cellStyle name="20% - Accent4 4 2 4" xfId="2209" xr:uid="{00000000-0005-0000-0000-0000DC010000}"/>
    <cellStyle name="20% - Accent4 4 2 4 2" xfId="4439" xr:uid="{00000000-0005-0000-0000-0000DD010000}"/>
    <cellStyle name="20% - Accent4 4 2 5" xfId="947" xr:uid="{00000000-0005-0000-0000-0000DE010000}"/>
    <cellStyle name="20% - Accent4 4 2 5 2" xfId="3177" xr:uid="{00000000-0005-0000-0000-0000DF010000}"/>
    <cellStyle name="20% - Accent4 4 2 6" xfId="2736" xr:uid="{00000000-0005-0000-0000-0000E0010000}"/>
    <cellStyle name="20% - Accent4 4 3" xfId="1157" xr:uid="{00000000-0005-0000-0000-0000E1010000}"/>
    <cellStyle name="20% - Accent4 4 3 2" xfId="3387" xr:uid="{00000000-0005-0000-0000-0000E2010000}"/>
    <cellStyle name="20% - Accent4 4 4" xfId="1578" xr:uid="{00000000-0005-0000-0000-0000E3010000}"/>
    <cellStyle name="20% - Accent4 4 4 2" xfId="3808" xr:uid="{00000000-0005-0000-0000-0000E4010000}"/>
    <cellStyle name="20% - Accent4 4 5" xfId="1999" xr:uid="{00000000-0005-0000-0000-0000E5010000}"/>
    <cellStyle name="20% - Accent4 4 5 2" xfId="4229" xr:uid="{00000000-0005-0000-0000-0000E6010000}"/>
    <cellStyle name="20% - Accent4 4 6" xfId="737" xr:uid="{00000000-0005-0000-0000-0000E7010000}"/>
    <cellStyle name="20% - Accent4 4 6 2" xfId="2967" xr:uid="{00000000-0005-0000-0000-0000E8010000}"/>
    <cellStyle name="20% - Accent4 4 7" xfId="2526" xr:uid="{00000000-0005-0000-0000-0000E9010000}"/>
    <cellStyle name="20% - Accent4 5" xfId="401" xr:uid="{00000000-0005-0000-0000-0000EA010000}"/>
    <cellStyle name="20% - Accent4 5 2" xfId="1262" xr:uid="{00000000-0005-0000-0000-0000EB010000}"/>
    <cellStyle name="20% - Accent4 5 2 2" xfId="3492" xr:uid="{00000000-0005-0000-0000-0000EC010000}"/>
    <cellStyle name="20% - Accent4 5 3" xfId="1683" xr:uid="{00000000-0005-0000-0000-0000ED010000}"/>
    <cellStyle name="20% - Accent4 5 3 2" xfId="3913" xr:uid="{00000000-0005-0000-0000-0000EE010000}"/>
    <cellStyle name="20% - Accent4 5 4" xfId="2104" xr:uid="{00000000-0005-0000-0000-0000EF010000}"/>
    <cellStyle name="20% - Accent4 5 4 2" xfId="4334" xr:uid="{00000000-0005-0000-0000-0000F0010000}"/>
    <cellStyle name="20% - Accent4 5 5" xfId="842" xr:uid="{00000000-0005-0000-0000-0000F1010000}"/>
    <cellStyle name="20% - Accent4 5 5 2" xfId="3072" xr:uid="{00000000-0005-0000-0000-0000F2010000}"/>
    <cellStyle name="20% - Accent4 5 6" xfId="2631" xr:uid="{00000000-0005-0000-0000-0000F3010000}"/>
    <cellStyle name="20% - Accent4 6" xfId="191" xr:uid="{00000000-0005-0000-0000-0000F4010000}"/>
    <cellStyle name="20% - Accent4 6 2" xfId="1052" xr:uid="{00000000-0005-0000-0000-0000F5010000}"/>
    <cellStyle name="20% - Accent4 6 2 2" xfId="3282" xr:uid="{00000000-0005-0000-0000-0000F6010000}"/>
    <cellStyle name="20% - Accent4 6 3" xfId="2421" xr:uid="{00000000-0005-0000-0000-0000F7010000}"/>
    <cellStyle name="20% - Accent4 7" xfId="569" xr:uid="{00000000-0005-0000-0000-0000F8010000}"/>
    <cellStyle name="20% - Accent4 7 2" xfId="1473" xr:uid="{00000000-0005-0000-0000-0000F9010000}"/>
    <cellStyle name="20% - Accent4 7 2 2" xfId="3703" xr:uid="{00000000-0005-0000-0000-0000FA010000}"/>
    <cellStyle name="20% - Accent4 7 3" xfId="2799" xr:uid="{00000000-0005-0000-0000-0000FB010000}"/>
    <cellStyle name="20% - Accent4 8" xfId="1894" xr:uid="{00000000-0005-0000-0000-0000FC010000}"/>
    <cellStyle name="20% - Accent4 8 2" xfId="4124" xr:uid="{00000000-0005-0000-0000-0000FD010000}"/>
    <cellStyle name="20% - Accent4 9" xfId="632" xr:uid="{00000000-0005-0000-0000-0000FE010000}"/>
    <cellStyle name="20% - Accent4 9 2" xfId="2862" xr:uid="{00000000-0005-0000-0000-0000FF010000}"/>
    <cellStyle name="20% - Accent5" xfId="87" builtinId="46" customBuiltin="1"/>
    <cellStyle name="20% - Accent5 10" xfId="2319" xr:uid="{00000000-0005-0000-0000-000001020000}"/>
    <cellStyle name="20% - Accent5 2" xfId="110" xr:uid="{00000000-0005-0000-0000-000002020000}"/>
    <cellStyle name="20% - Accent5 2 2" xfId="321" xr:uid="{00000000-0005-0000-0000-000003020000}"/>
    <cellStyle name="20% - Accent5 2 2 2" xfId="531" xr:uid="{00000000-0005-0000-0000-000004020000}"/>
    <cellStyle name="20% - Accent5 2 2 2 2" xfId="1392" xr:uid="{00000000-0005-0000-0000-000005020000}"/>
    <cellStyle name="20% - Accent5 2 2 2 2 2" xfId="3622" xr:uid="{00000000-0005-0000-0000-000006020000}"/>
    <cellStyle name="20% - Accent5 2 2 2 3" xfId="1813" xr:uid="{00000000-0005-0000-0000-000007020000}"/>
    <cellStyle name="20% - Accent5 2 2 2 3 2" xfId="4043" xr:uid="{00000000-0005-0000-0000-000008020000}"/>
    <cellStyle name="20% - Accent5 2 2 2 4" xfId="2234" xr:uid="{00000000-0005-0000-0000-000009020000}"/>
    <cellStyle name="20% - Accent5 2 2 2 4 2" xfId="4464" xr:uid="{00000000-0005-0000-0000-00000A020000}"/>
    <cellStyle name="20% - Accent5 2 2 2 5" xfId="972" xr:uid="{00000000-0005-0000-0000-00000B020000}"/>
    <cellStyle name="20% - Accent5 2 2 2 5 2" xfId="3202" xr:uid="{00000000-0005-0000-0000-00000C020000}"/>
    <cellStyle name="20% - Accent5 2 2 2 6" xfId="2761" xr:uid="{00000000-0005-0000-0000-00000D020000}"/>
    <cellStyle name="20% - Accent5 2 2 3" xfId="1182" xr:uid="{00000000-0005-0000-0000-00000E020000}"/>
    <cellStyle name="20% - Accent5 2 2 3 2" xfId="3412" xr:uid="{00000000-0005-0000-0000-00000F020000}"/>
    <cellStyle name="20% - Accent5 2 2 4" xfId="1603" xr:uid="{00000000-0005-0000-0000-000010020000}"/>
    <cellStyle name="20% - Accent5 2 2 4 2" xfId="3833" xr:uid="{00000000-0005-0000-0000-000011020000}"/>
    <cellStyle name="20% - Accent5 2 2 5" xfId="2024" xr:uid="{00000000-0005-0000-0000-000012020000}"/>
    <cellStyle name="20% - Accent5 2 2 5 2" xfId="4254" xr:uid="{00000000-0005-0000-0000-000013020000}"/>
    <cellStyle name="20% - Accent5 2 2 6" xfId="762" xr:uid="{00000000-0005-0000-0000-000014020000}"/>
    <cellStyle name="20% - Accent5 2 2 6 2" xfId="2992" xr:uid="{00000000-0005-0000-0000-000015020000}"/>
    <cellStyle name="20% - Accent5 2 2 7" xfId="2551" xr:uid="{00000000-0005-0000-0000-000016020000}"/>
    <cellStyle name="20% - Accent5 2 3" xfId="426" xr:uid="{00000000-0005-0000-0000-000017020000}"/>
    <cellStyle name="20% - Accent5 2 3 2" xfId="1287" xr:uid="{00000000-0005-0000-0000-000018020000}"/>
    <cellStyle name="20% - Accent5 2 3 2 2" xfId="3517" xr:uid="{00000000-0005-0000-0000-000019020000}"/>
    <cellStyle name="20% - Accent5 2 3 3" xfId="1708" xr:uid="{00000000-0005-0000-0000-00001A020000}"/>
    <cellStyle name="20% - Accent5 2 3 3 2" xfId="3938" xr:uid="{00000000-0005-0000-0000-00001B020000}"/>
    <cellStyle name="20% - Accent5 2 3 4" xfId="2129" xr:uid="{00000000-0005-0000-0000-00001C020000}"/>
    <cellStyle name="20% - Accent5 2 3 4 2" xfId="4359" xr:uid="{00000000-0005-0000-0000-00001D020000}"/>
    <cellStyle name="20% - Accent5 2 3 5" xfId="867" xr:uid="{00000000-0005-0000-0000-00001E020000}"/>
    <cellStyle name="20% - Accent5 2 3 5 2" xfId="3097" xr:uid="{00000000-0005-0000-0000-00001F020000}"/>
    <cellStyle name="20% - Accent5 2 3 6" xfId="2656" xr:uid="{00000000-0005-0000-0000-000020020000}"/>
    <cellStyle name="20% - Accent5 2 4" xfId="216" xr:uid="{00000000-0005-0000-0000-000021020000}"/>
    <cellStyle name="20% - Accent5 2 4 2" xfId="1077" xr:uid="{00000000-0005-0000-0000-000022020000}"/>
    <cellStyle name="20% - Accent5 2 4 2 2" xfId="3307" xr:uid="{00000000-0005-0000-0000-000023020000}"/>
    <cellStyle name="20% - Accent5 2 4 3" xfId="2446" xr:uid="{00000000-0005-0000-0000-000024020000}"/>
    <cellStyle name="20% - Accent5 2 5" xfId="1498" xr:uid="{00000000-0005-0000-0000-000025020000}"/>
    <cellStyle name="20% - Accent5 2 5 2" xfId="3728" xr:uid="{00000000-0005-0000-0000-000026020000}"/>
    <cellStyle name="20% - Accent5 2 6" xfId="1919" xr:uid="{00000000-0005-0000-0000-000027020000}"/>
    <cellStyle name="20% - Accent5 2 6 2" xfId="4149" xr:uid="{00000000-0005-0000-0000-000028020000}"/>
    <cellStyle name="20% - Accent5 2 7" xfId="657" xr:uid="{00000000-0005-0000-0000-000029020000}"/>
    <cellStyle name="20% - Accent5 2 7 2" xfId="2887" xr:uid="{00000000-0005-0000-0000-00002A020000}"/>
    <cellStyle name="20% - Accent5 2 8" xfId="2341" xr:uid="{00000000-0005-0000-0000-00002B020000}"/>
    <cellStyle name="20% - Accent5 3" xfId="130" xr:uid="{00000000-0005-0000-0000-00002C020000}"/>
    <cellStyle name="20% - Accent5 3 2" xfId="341" xr:uid="{00000000-0005-0000-0000-00002D020000}"/>
    <cellStyle name="20% - Accent5 3 2 2" xfId="551" xr:uid="{00000000-0005-0000-0000-00002E020000}"/>
    <cellStyle name="20% - Accent5 3 2 2 2" xfId="1412" xr:uid="{00000000-0005-0000-0000-00002F020000}"/>
    <cellStyle name="20% - Accent5 3 2 2 2 2" xfId="3642" xr:uid="{00000000-0005-0000-0000-000030020000}"/>
    <cellStyle name="20% - Accent5 3 2 2 3" xfId="1833" xr:uid="{00000000-0005-0000-0000-000031020000}"/>
    <cellStyle name="20% - Accent5 3 2 2 3 2" xfId="4063" xr:uid="{00000000-0005-0000-0000-000032020000}"/>
    <cellStyle name="20% - Accent5 3 2 2 4" xfId="2254" xr:uid="{00000000-0005-0000-0000-000033020000}"/>
    <cellStyle name="20% - Accent5 3 2 2 4 2" xfId="4484" xr:uid="{00000000-0005-0000-0000-000034020000}"/>
    <cellStyle name="20% - Accent5 3 2 2 5" xfId="992" xr:uid="{00000000-0005-0000-0000-000035020000}"/>
    <cellStyle name="20% - Accent5 3 2 2 5 2" xfId="3222" xr:uid="{00000000-0005-0000-0000-000036020000}"/>
    <cellStyle name="20% - Accent5 3 2 2 6" xfId="2781" xr:uid="{00000000-0005-0000-0000-000037020000}"/>
    <cellStyle name="20% - Accent5 3 2 3" xfId="1202" xr:uid="{00000000-0005-0000-0000-000038020000}"/>
    <cellStyle name="20% - Accent5 3 2 3 2" xfId="3432" xr:uid="{00000000-0005-0000-0000-000039020000}"/>
    <cellStyle name="20% - Accent5 3 2 4" xfId="1623" xr:uid="{00000000-0005-0000-0000-00003A020000}"/>
    <cellStyle name="20% - Accent5 3 2 4 2" xfId="3853" xr:uid="{00000000-0005-0000-0000-00003B020000}"/>
    <cellStyle name="20% - Accent5 3 2 5" xfId="2044" xr:uid="{00000000-0005-0000-0000-00003C020000}"/>
    <cellStyle name="20% - Accent5 3 2 5 2" xfId="4274" xr:uid="{00000000-0005-0000-0000-00003D020000}"/>
    <cellStyle name="20% - Accent5 3 2 6" xfId="782" xr:uid="{00000000-0005-0000-0000-00003E020000}"/>
    <cellStyle name="20% - Accent5 3 2 6 2" xfId="3012" xr:uid="{00000000-0005-0000-0000-00003F020000}"/>
    <cellStyle name="20% - Accent5 3 2 7" xfId="2571" xr:uid="{00000000-0005-0000-0000-000040020000}"/>
    <cellStyle name="20% - Accent5 3 3" xfId="446" xr:uid="{00000000-0005-0000-0000-000041020000}"/>
    <cellStyle name="20% - Accent5 3 3 2" xfId="1307" xr:uid="{00000000-0005-0000-0000-000042020000}"/>
    <cellStyle name="20% - Accent5 3 3 2 2" xfId="3537" xr:uid="{00000000-0005-0000-0000-000043020000}"/>
    <cellStyle name="20% - Accent5 3 3 3" xfId="1728" xr:uid="{00000000-0005-0000-0000-000044020000}"/>
    <cellStyle name="20% - Accent5 3 3 3 2" xfId="3958" xr:uid="{00000000-0005-0000-0000-000045020000}"/>
    <cellStyle name="20% - Accent5 3 3 4" xfId="2149" xr:uid="{00000000-0005-0000-0000-000046020000}"/>
    <cellStyle name="20% - Accent5 3 3 4 2" xfId="4379" xr:uid="{00000000-0005-0000-0000-000047020000}"/>
    <cellStyle name="20% - Accent5 3 3 5" xfId="887" xr:uid="{00000000-0005-0000-0000-000048020000}"/>
    <cellStyle name="20% - Accent5 3 3 5 2" xfId="3117" xr:uid="{00000000-0005-0000-0000-000049020000}"/>
    <cellStyle name="20% - Accent5 3 3 6" xfId="2676" xr:uid="{00000000-0005-0000-0000-00004A020000}"/>
    <cellStyle name="20% - Accent5 3 4" xfId="236" xr:uid="{00000000-0005-0000-0000-00004B020000}"/>
    <cellStyle name="20% - Accent5 3 4 2" xfId="1097" xr:uid="{00000000-0005-0000-0000-00004C020000}"/>
    <cellStyle name="20% - Accent5 3 4 2 2" xfId="3327" xr:uid="{00000000-0005-0000-0000-00004D020000}"/>
    <cellStyle name="20% - Accent5 3 4 3" xfId="2466" xr:uid="{00000000-0005-0000-0000-00004E020000}"/>
    <cellStyle name="20% - Accent5 3 5" xfId="1518" xr:uid="{00000000-0005-0000-0000-00004F020000}"/>
    <cellStyle name="20% - Accent5 3 5 2" xfId="3748" xr:uid="{00000000-0005-0000-0000-000050020000}"/>
    <cellStyle name="20% - Accent5 3 6" xfId="1939" xr:uid="{00000000-0005-0000-0000-000051020000}"/>
    <cellStyle name="20% - Accent5 3 6 2" xfId="4169" xr:uid="{00000000-0005-0000-0000-000052020000}"/>
    <cellStyle name="20% - Accent5 3 7" xfId="677" xr:uid="{00000000-0005-0000-0000-000053020000}"/>
    <cellStyle name="20% - Accent5 3 7 2" xfId="2907" xr:uid="{00000000-0005-0000-0000-000054020000}"/>
    <cellStyle name="20% - Accent5 3 8" xfId="2361" xr:uid="{00000000-0005-0000-0000-000055020000}"/>
    <cellStyle name="20% - Accent5 4" xfId="299" xr:uid="{00000000-0005-0000-0000-000056020000}"/>
    <cellStyle name="20% - Accent5 4 2" xfId="509" xr:uid="{00000000-0005-0000-0000-000057020000}"/>
    <cellStyle name="20% - Accent5 4 2 2" xfId="1370" xr:uid="{00000000-0005-0000-0000-000058020000}"/>
    <cellStyle name="20% - Accent5 4 2 2 2" xfId="3600" xr:uid="{00000000-0005-0000-0000-000059020000}"/>
    <cellStyle name="20% - Accent5 4 2 3" xfId="1791" xr:uid="{00000000-0005-0000-0000-00005A020000}"/>
    <cellStyle name="20% - Accent5 4 2 3 2" xfId="4021" xr:uid="{00000000-0005-0000-0000-00005B020000}"/>
    <cellStyle name="20% - Accent5 4 2 4" xfId="2212" xr:uid="{00000000-0005-0000-0000-00005C020000}"/>
    <cellStyle name="20% - Accent5 4 2 4 2" xfId="4442" xr:uid="{00000000-0005-0000-0000-00005D020000}"/>
    <cellStyle name="20% - Accent5 4 2 5" xfId="950" xr:uid="{00000000-0005-0000-0000-00005E020000}"/>
    <cellStyle name="20% - Accent5 4 2 5 2" xfId="3180" xr:uid="{00000000-0005-0000-0000-00005F020000}"/>
    <cellStyle name="20% - Accent5 4 2 6" xfId="2739" xr:uid="{00000000-0005-0000-0000-000060020000}"/>
    <cellStyle name="20% - Accent5 4 3" xfId="1160" xr:uid="{00000000-0005-0000-0000-000061020000}"/>
    <cellStyle name="20% - Accent5 4 3 2" xfId="3390" xr:uid="{00000000-0005-0000-0000-000062020000}"/>
    <cellStyle name="20% - Accent5 4 4" xfId="1581" xr:uid="{00000000-0005-0000-0000-000063020000}"/>
    <cellStyle name="20% - Accent5 4 4 2" xfId="3811" xr:uid="{00000000-0005-0000-0000-000064020000}"/>
    <cellStyle name="20% - Accent5 4 5" xfId="2002" xr:uid="{00000000-0005-0000-0000-000065020000}"/>
    <cellStyle name="20% - Accent5 4 5 2" xfId="4232" xr:uid="{00000000-0005-0000-0000-000066020000}"/>
    <cellStyle name="20% - Accent5 4 6" xfId="740" xr:uid="{00000000-0005-0000-0000-000067020000}"/>
    <cellStyle name="20% - Accent5 4 6 2" xfId="2970" xr:uid="{00000000-0005-0000-0000-000068020000}"/>
    <cellStyle name="20% - Accent5 4 7" xfId="2529" xr:uid="{00000000-0005-0000-0000-000069020000}"/>
    <cellStyle name="20% - Accent5 5" xfId="404" xr:uid="{00000000-0005-0000-0000-00006A020000}"/>
    <cellStyle name="20% - Accent5 5 2" xfId="1265" xr:uid="{00000000-0005-0000-0000-00006B020000}"/>
    <cellStyle name="20% - Accent5 5 2 2" xfId="3495" xr:uid="{00000000-0005-0000-0000-00006C020000}"/>
    <cellStyle name="20% - Accent5 5 3" xfId="1686" xr:uid="{00000000-0005-0000-0000-00006D020000}"/>
    <cellStyle name="20% - Accent5 5 3 2" xfId="3916" xr:uid="{00000000-0005-0000-0000-00006E020000}"/>
    <cellStyle name="20% - Accent5 5 4" xfId="2107" xr:uid="{00000000-0005-0000-0000-00006F020000}"/>
    <cellStyle name="20% - Accent5 5 4 2" xfId="4337" xr:uid="{00000000-0005-0000-0000-000070020000}"/>
    <cellStyle name="20% - Accent5 5 5" xfId="845" xr:uid="{00000000-0005-0000-0000-000071020000}"/>
    <cellStyle name="20% - Accent5 5 5 2" xfId="3075" xr:uid="{00000000-0005-0000-0000-000072020000}"/>
    <cellStyle name="20% - Accent5 5 6" xfId="2634" xr:uid="{00000000-0005-0000-0000-000073020000}"/>
    <cellStyle name="20% - Accent5 6" xfId="194" xr:uid="{00000000-0005-0000-0000-000074020000}"/>
    <cellStyle name="20% - Accent5 6 2" xfId="1055" xr:uid="{00000000-0005-0000-0000-000075020000}"/>
    <cellStyle name="20% - Accent5 6 2 2" xfId="3285" xr:uid="{00000000-0005-0000-0000-000076020000}"/>
    <cellStyle name="20% - Accent5 6 3" xfId="2424" xr:uid="{00000000-0005-0000-0000-000077020000}"/>
    <cellStyle name="20% - Accent5 7" xfId="572" xr:uid="{00000000-0005-0000-0000-000078020000}"/>
    <cellStyle name="20% - Accent5 7 2" xfId="1476" xr:uid="{00000000-0005-0000-0000-000079020000}"/>
    <cellStyle name="20% - Accent5 7 2 2" xfId="3706" xr:uid="{00000000-0005-0000-0000-00007A020000}"/>
    <cellStyle name="20% - Accent5 7 3" xfId="2802" xr:uid="{00000000-0005-0000-0000-00007B020000}"/>
    <cellStyle name="20% - Accent5 8" xfId="1897" xr:uid="{00000000-0005-0000-0000-00007C020000}"/>
    <cellStyle name="20% - Accent5 8 2" xfId="4127" xr:uid="{00000000-0005-0000-0000-00007D020000}"/>
    <cellStyle name="20% - Accent5 9" xfId="635" xr:uid="{00000000-0005-0000-0000-00007E020000}"/>
    <cellStyle name="20% - Accent5 9 2" xfId="2865" xr:uid="{00000000-0005-0000-0000-00007F020000}"/>
    <cellStyle name="20% - Accent6" xfId="91" builtinId="50" customBuiltin="1"/>
    <cellStyle name="20% - Accent6 10" xfId="2322" xr:uid="{00000000-0005-0000-0000-000081020000}"/>
    <cellStyle name="20% - Accent6 2" xfId="113" xr:uid="{00000000-0005-0000-0000-000082020000}"/>
    <cellStyle name="20% - Accent6 2 2" xfId="324" xr:uid="{00000000-0005-0000-0000-000083020000}"/>
    <cellStyle name="20% - Accent6 2 2 2" xfId="534" xr:uid="{00000000-0005-0000-0000-000084020000}"/>
    <cellStyle name="20% - Accent6 2 2 2 2" xfId="1395" xr:uid="{00000000-0005-0000-0000-000085020000}"/>
    <cellStyle name="20% - Accent6 2 2 2 2 2" xfId="3625" xr:uid="{00000000-0005-0000-0000-000086020000}"/>
    <cellStyle name="20% - Accent6 2 2 2 3" xfId="1816" xr:uid="{00000000-0005-0000-0000-000087020000}"/>
    <cellStyle name="20% - Accent6 2 2 2 3 2" xfId="4046" xr:uid="{00000000-0005-0000-0000-000088020000}"/>
    <cellStyle name="20% - Accent6 2 2 2 4" xfId="2237" xr:uid="{00000000-0005-0000-0000-000089020000}"/>
    <cellStyle name="20% - Accent6 2 2 2 4 2" xfId="4467" xr:uid="{00000000-0005-0000-0000-00008A020000}"/>
    <cellStyle name="20% - Accent6 2 2 2 5" xfId="975" xr:uid="{00000000-0005-0000-0000-00008B020000}"/>
    <cellStyle name="20% - Accent6 2 2 2 5 2" xfId="3205" xr:uid="{00000000-0005-0000-0000-00008C020000}"/>
    <cellStyle name="20% - Accent6 2 2 2 6" xfId="2764" xr:uid="{00000000-0005-0000-0000-00008D020000}"/>
    <cellStyle name="20% - Accent6 2 2 3" xfId="1185" xr:uid="{00000000-0005-0000-0000-00008E020000}"/>
    <cellStyle name="20% - Accent6 2 2 3 2" xfId="3415" xr:uid="{00000000-0005-0000-0000-00008F020000}"/>
    <cellStyle name="20% - Accent6 2 2 4" xfId="1606" xr:uid="{00000000-0005-0000-0000-000090020000}"/>
    <cellStyle name="20% - Accent6 2 2 4 2" xfId="3836" xr:uid="{00000000-0005-0000-0000-000091020000}"/>
    <cellStyle name="20% - Accent6 2 2 5" xfId="2027" xr:uid="{00000000-0005-0000-0000-000092020000}"/>
    <cellStyle name="20% - Accent6 2 2 5 2" xfId="4257" xr:uid="{00000000-0005-0000-0000-000093020000}"/>
    <cellStyle name="20% - Accent6 2 2 6" xfId="765" xr:uid="{00000000-0005-0000-0000-000094020000}"/>
    <cellStyle name="20% - Accent6 2 2 6 2" xfId="2995" xr:uid="{00000000-0005-0000-0000-000095020000}"/>
    <cellStyle name="20% - Accent6 2 2 7" xfId="2554" xr:uid="{00000000-0005-0000-0000-000096020000}"/>
    <cellStyle name="20% - Accent6 2 3" xfId="429" xr:uid="{00000000-0005-0000-0000-000097020000}"/>
    <cellStyle name="20% - Accent6 2 3 2" xfId="1290" xr:uid="{00000000-0005-0000-0000-000098020000}"/>
    <cellStyle name="20% - Accent6 2 3 2 2" xfId="3520" xr:uid="{00000000-0005-0000-0000-000099020000}"/>
    <cellStyle name="20% - Accent6 2 3 3" xfId="1711" xr:uid="{00000000-0005-0000-0000-00009A020000}"/>
    <cellStyle name="20% - Accent6 2 3 3 2" xfId="3941" xr:uid="{00000000-0005-0000-0000-00009B020000}"/>
    <cellStyle name="20% - Accent6 2 3 4" xfId="2132" xr:uid="{00000000-0005-0000-0000-00009C020000}"/>
    <cellStyle name="20% - Accent6 2 3 4 2" xfId="4362" xr:uid="{00000000-0005-0000-0000-00009D020000}"/>
    <cellStyle name="20% - Accent6 2 3 5" xfId="870" xr:uid="{00000000-0005-0000-0000-00009E020000}"/>
    <cellStyle name="20% - Accent6 2 3 5 2" xfId="3100" xr:uid="{00000000-0005-0000-0000-00009F020000}"/>
    <cellStyle name="20% - Accent6 2 3 6" xfId="2659" xr:uid="{00000000-0005-0000-0000-0000A0020000}"/>
    <cellStyle name="20% - Accent6 2 4" xfId="219" xr:uid="{00000000-0005-0000-0000-0000A1020000}"/>
    <cellStyle name="20% - Accent6 2 4 2" xfId="1080" xr:uid="{00000000-0005-0000-0000-0000A2020000}"/>
    <cellStyle name="20% - Accent6 2 4 2 2" xfId="3310" xr:uid="{00000000-0005-0000-0000-0000A3020000}"/>
    <cellStyle name="20% - Accent6 2 4 3" xfId="2449" xr:uid="{00000000-0005-0000-0000-0000A4020000}"/>
    <cellStyle name="20% - Accent6 2 5" xfId="1501" xr:uid="{00000000-0005-0000-0000-0000A5020000}"/>
    <cellStyle name="20% - Accent6 2 5 2" xfId="3731" xr:uid="{00000000-0005-0000-0000-0000A6020000}"/>
    <cellStyle name="20% - Accent6 2 6" xfId="1922" xr:uid="{00000000-0005-0000-0000-0000A7020000}"/>
    <cellStyle name="20% - Accent6 2 6 2" xfId="4152" xr:uid="{00000000-0005-0000-0000-0000A8020000}"/>
    <cellStyle name="20% - Accent6 2 7" xfId="660" xr:uid="{00000000-0005-0000-0000-0000A9020000}"/>
    <cellStyle name="20% - Accent6 2 7 2" xfId="2890" xr:uid="{00000000-0005-0000-0000-0000AA020000}"/>
    <cellStyle name="20% - Accent6 2 8" xfId="2344" xr:uid="{00000000-0005-0000-0000-0000AB020000}"/>
    <cellStyle name="20% - Accent6 3" xfId="133" xr:uid="{00000000-0005-0000-0000-0000AC020000}"/>
    <cellStyle name="20% - Accent6 3 2" xfId="344" xr:uid="{00000000-0005-0000-0000-0000AD020000}"/>
    <cellStyle name="20% - Accent6 3 2 2" xfId="554" xr:uid="{00000000-0005-0000-0000-0000AE020000}"/>
    <cellStyle name="20% - Accent6 3 2 2 2" xfId="1415" xr:uid="{00000000-0005-0000-0000-0000AF020000}"/>
    <cellStyle name="20% - Accent6 3 2 2 2 2" xfId="3645" xr:uid="{00000000-0005-0000-0000-0000B0020000}"/>
    <cellStyle name="20% - Accent6 3 2 2 3" xfId="1836" xr:uid="{00000000-0005-0000-0000-0000B1020000}"/>
    <cellStyle name="20% - Accent6 3 2 2 3 2" xfId="4066" xr:uid="{00000000-0005-0000-0000-0000B2020000}"/>
    <cellStyle name="20% - Accent6 3 2 2 4" xfId="2257" xr:uid="{00000000-0005-0000-0000-0000B3020000}"/>
    <cellStyle name="20% - Accent6 3 2 2 4 2" xfId="4487" xr:uid="{00000000-0005-0000-0000-0000B4020000}"/>
    <cellStyle name="20% - Accent6 3 2 2 5" xfId="995" xr:uid="{00000000-0005-0000-0000-0000B5020000}"/>
    <cellStyle name="20% - Accent6 3 2 2 5 2" xfId="3225" xr:uid="{00000000-0005-0000-0000-0000B6020000}"/>
    <cellStyle name="20% - Accent6 3 2 2 6" xfId="2784" xr:uid="{00000000-0005-0000-0000-0000B7020000}"/>
    <cellStyle name="20% - Accent6 3 2 3" xfId="1205" xr:uid="{00000000-0005-0000-0000-0000B8020000}"/>
    <cellStyle name="20% - Accent6 3 2 3 2" xfId="3435" xr:uid="{00000000-0005-0000-0000-0000B9020000}"/>
    <cellStyle name="20% - Accent6 3 2 4" xfId="1626" xr:uid="{00000000-0005-0000-0000-0000BA020000}"/>
    <cellStyle name="20% - Accent6 3 2 4 2" xfId="3856" xr:uid="{00000000-0005-0000-0000-0000BB020000}"/>
    <cellStyle name="20% - Accent6 3 2 5" xfId="2047" xr:uid="{00000000-0005-0000-0000-0000BC020000}"/>
    <cellStyle name="20% - Accent6 3 2 5 2" xfId="4277" xr:uid="{00000000-0005-0000-0000-0000BD020000}"/>
    <cellStyle name="20% - Accent6 3 2 6" xfId="785" xr:uid="{00000000-0005-0000-0000-0000BE020000}"/>
    <cellStyle name="20% - Accent6 3 2 6 2" xfId="3015" xr:uid="{00000000-0005-0000-0000-0000BF020000}"/>
    <cellStyle name="20% - Accent6 3 2 7" xfId="2574" xr:uid="{00000000-0005-0000-0000-0000C0020000}"/>
    <cellStyle name="20% - Accent6 3 3" xfId="449" xr:uid="{00000000-0005-0000-0000-0000C1020000}"/>
    <cellStyle name="20% - Accent6 3 3 2" xfId="1310" xr:uid="{00000000-0005-0000-0000-0000C2020000}"/>
    <cellStyle name="20% - Accent6 3 3 2 2" xfId="3540" xr:uid="{00000000-0005-0000-0000-0000C3020000}"/>
    <cellStyle name="20% - Accent6 3 3 3" xfId="1731" xr:uid="{00000000-0005-0000-0000-0000C4020000}"/>
    <cellStyle name="20% - Accent6 3 3 3 2" xfId="3961" xr:uid="{00000000-0005-0000-0000-0000C5020000}"/>
    <cellStyle name="20% - Accent6 3 3 4" xfId="2152" xr:uid="{00000000-0005-0000-0000-0000C6020000}"/>
    <cellStyle name="20% - Accent6 3 3 4 2" xfId="4382" xr:uid="{00000000-0005-0000-0000-0000C7020000}"/>
    <cellStyle name="20% - Accent6 3 3 5" xfId="890" xr:uid="{00000000-0005-0000-0000-0000C8020000}"/>
    <cellStyle name="20% - Accent6 3 3 5 2" xfId="3120" xr:uid="{00000000-0005-0000-0000-0000C9020000}"/>
    <cellStyle name="20% - Accent6 3 3 6" xfId="2679" xr:uid="{00000000-0005-0000-0000-0000CA020000}"/>
    <cellStyle name="20% - Accent6 3 4" xfId="239" xr:uid="{00000000-0005-0000-0000-0000CB020000}"/>
    <cellStyle name="20% - Accent6 3 4 2" xfId="1100" xr:uid="{00000000-0005-0000-0000-0000CC020000}"/>
    <cellStyle name="20% - Accent6 3 4 2 2" xfId="3330" xr:uid="{00000000-0005-0000-0000-0000CD020000}"/>
    <cellStyle name="20% - Accent6 3 4 3" xfId="2469" xr:uid="{00000000-0005-0000-0000-0000CE020000}"/>
    <cellStyle name="20% - Accent6 3 5" xfId="1521" xr:uid="{00000000-0005-0000-0000-0000CF020000}"/>
    <cellStyle name="20% - Accent6 3 5 2" xfId="3751" xr:uid="{00000000-0005-0000-0000-0000D0020000}"/>
    <cellStyle name="20% - Accent6 3 6" xfId="1942" xr:uid="{00000000-0005-0000-0000-0000D1020000}"/>
    <cellStyle name="20% - Accent6 3 6 2" xfId="4172" xr:uid="{00000000-0005-0000-0000-0000D2020000}"/>
    <cellStyle name="20% - Accent6 3 7" xfId="680" xr:uid="{00000000-0005-0000-0000-0000D3020000}"/>
    <cellStyle name="20% - Accent6 3 7 2" xfId="2910" xr:uid="{00000000-0005-0000-0000-0000D4020000}"/>
    <cellStyle name="20% - Accent6 3 8" xfId="2364" xr:uid="{00000000-0005-0000-0000-0000D5020000}"/>
    <cellStyle name="20% - Accent6 4" xfId="302" xr:uid="{00000000-0005-0000-0000-0000D6020000}"/>
    <cellStyle name="20% - Accent6 4 2" xfId="512" xr:uid="{00000000-0005-0000-0000-0000D7020000}"/>
    <cellStyle name="20% - Accent6 4 2 2" xfId="1373" xr:uid="{00000000-0005-0000-0000-0000D8020000}"/>
    <cellStyle name="20% - Accent6 4 2 2 2" xfId="3603" xr:uid="{00000000-0005-0000-0000-0000D9020000}"/>
    <cellStyle name="20% - Accent6 4 2 3" xfId="1794" xr:uid="{00000000-0005-0000-0000-0000DA020000}"/>
    <cellStyle name="20% - Accent6 4 2 3 2" xfId="4024" xr:uid="{00000000-0005-0000-0000-0000DB020000}"/>
    <cellStyle name="20% - Accent6 4 2 4" xfId="2215" xr:uid="{00000000-0005-0000-0000-0000DC020000}"/>
    <cellStyle name="20% - Accent6 4 2 4 2" xfId="4445" xr:uid="{00000000-0005-0000-0000-0000DD020000}"/>
    <cellStyle name="20% - Accent6 4 2 5" xfId="953" xr:uid="{00000000-0005-0000-0000-0000DE020000}"/>
    <cellStyle name="20% - Accent6 4 2 5 2" xfId="3183" xr:uid="{00000000-0005-0000-0000-0000DF020000}"/>
    <cellStyle name="20% - Accent6 4 2 6" xfId="2742" xr:uid="{00000000-0005-0000-0000-0000E0020000}"/>
    <cellStyle name="20% - Accent6 4 3" xfId="1163" xr:uid="{00000000-0005-0000-0000-0000E1020000}"/>
    <cellStyle name="20% - Accent6 4 3 2" xfId="3393" xr:uid="{00000000-0005-0000-0000-0000E2020000}"/>
    <cellStyle name="20% - Accent6 4 4" xfId="1584" xr:uid="{00000000-0005-0000-0000-0000E3020000}"/>
    <cellStyle name="20% - Accent6 4 4 2" xfId="3814" xr:uid="{00000000-0005-0000-0000-0000E4020000}"/>
    <cellStyle name="20% - Accent6 4 5" xfId="2005" xr:uid="{00000000-0005-0000-0000-0000E5020000}"/>
    <cellStyle name="20% - Accent6 4 5 2" xfId="4235" xr:uid="{00000000-0005-0000-0000-0000E6020000}"/>
    <cellStyle name="20% - Accent6 4 6" xfId="743" xr:uid="{00000000-0005-0000-0000-0000E7020000}"/>
    <cellStyle name="20% - Accent6 4 6 2" xfId="2973" xr:uid="{00000000-0005-0000-0000-0000E8020000}"/>
    <cellStyle name="20% - Accent6 4 7" xfId="2532" xr:uid="{00000000-0005-0000-0000-0000E9020000}"/>
    <cellStyle name="20% - Accent6 5" xfId="407" xr:uid="{00000000-0005-0000-0000-0000EA020000}"/>
    <cellStyle name="20% - Accent6 5 2" xfId="1268" xr:uid="{00000000-0005-0000-0000-0000EB020000}"/>
    <cellStyle name="20% - Accent6 5 2 2" xfId="3498" xr:uid="{00000000-0005-0000-0000-0000EC020000}"/>
    <cellStyle name="20% - Accent6 5 3" xfId="1689" xr:uid="{00000000-0005-0000-0000-0000ED020000}"/>
    <cellStyle name="20% - Accent6 5 3 2" xfId="3919" xr:uid="{00000000-0005-0000-0000-0000EE020000}"/>
    <cellStyle name="20% - Accent6 5 4" xfId="2110" xr:uid="{00000000-0005-0000-0000-0000EF020000}"/>
    <cellStyle name="20% - Accent6 5 4 2" xfId="4340" xr:uid="{00000000-0005-0000-0000-0000F0020000}"/>
    <cellStyle name="20% - Accent6 5 5" xfId="848" xr:uid="{00000000-0005-0000-0000-0000F1020000}"/>
    <cellStyle name="20% - Accent6 5 5 2" xfId="3078" xr:uid="{00000000-0005-0000-0000-0000F2020000}"/>
    <cellStyle name="20% - Accent6 5 6" xfId="2637" xr:uid="{00000000-0005-0000-0000-0000F3020000}"/>
    <cellStyle name="20% - Accent6 6" xfId="197" xr:uid="{00000000-0005-0000-0000-0000F4020000}"/>
    <cellStyle name="20% - Accent6 6 2" xfId="1058" xr:uid="{00000000-0005-0000-0000-0000F5020000}"/>
    <cellStyle name="20% - Accent6 6 2 2" xfId="3288" xr:uid="{00000000-0005-0000-0000-0000F6020000}"/>
    <cellStyle name="20% - Accent6 6 3" xfId="2427" xr:uid="{00000000-0005-0000-0000-0000F7020000}"/>
    <cellStyle name="20% - Accent6 7" xfId="575" xr:uid="{00000000-0005-0000-0000-0000F8020000}"/>
    <cellStyle name="20% - Accent6 7 2" xfId="1479" xr:uid="{00000000-0005-0000-0000-0000F9020000}"/>
    <cellStyle name="20% - Accent6 7 2 2" xfId="3709" xr:uid="{00000000-0005-0000-0000-0000FA020000}"/>
    <cellStyle name="20% - Accent6 7 3" xfId="2805" xr:uid="{00000000-0005-0000-0000-0000FB020000}"/>
    <cellStyle name="20% - Accent6 8" xfId="1900" xr:uid="{00000000-0005-0000-0000-0000FC020000}"/>
    <cellStyle name="20% - Accent6 8 2" xfId="4130" xr:uid="{00000000-0005-0000-0000-0000FD020000}"/>
    <cellStyle name="20% - Accent6 9" xfId="638" xr:uid="{00000000-0005-0000-0000-0000FE020000}"/>
    <cellStyle name="20% - Accent6 9 2" xfId="2868" xr:uid="{00000000-0005-0000-0000-0000FF020000}"/>
    <cellStyle name="40% - Accent1" xfId="72" builtinId="31" customBuiltin="1"/>
    <cellStyle name="40% - Accent1 10" xfId="2308" xr:uid="{00000000-0005-0000-0000-000001030000}"/>
    <cellStyle name="40% - Accent1 2" xfId="99" xr:uid="{00000000-0005-0000-0000-000002030000}"/>
    <cellStyle name="40% - Accent1 2 2" xfId="310" xr:uid="{00000000-0005-0000-0000-000003030000}"/>
    <cellStyle name="40% - Accent1 2 2 2" xfId="520" xr:uid="{00000000-0005-0000-0000-000004030000}"/>
    <cellStyle name="40% - Accent1 2 2 2 2" xfId="1381" xr:uid="{00000000-0005-0000-0000-000005030000}"/>
    <cellStyle name="40% - Accent1 2 2 2 2 2" xfId="3611" xr:uid="{00000000-0005-0000-0000-000006030000}"/>
    <cellStyle name="40% - Accent1 2 2 2 3" xfId="1802" xr:uid="{00000000-0005-0000-0000-000007030000}"/>
    <cellStyle name="40% - Accent1 2 2 2 3 2" xfId="4032" xr:uid="{00000000-0005-0000-0000-000008030000}"/>
    <cellStyle name="40% - Accent1 2 2 2 4" xfId="2223" xr:uid="{00000000-0005-0000-0000-000009030000}"/>
    <cellStyle name="40% - Accent1 2 2 2 4 2" xfId="4453" xr:uid="{00000000-0005-0000-0000-00000A030000}"/>
    <cellStyle name="40% - Accent1 2 2 2 5" xfId="961" xr:uid="{00000000-0005-0000-0000-00000B030000}"/>
    <cellStyle name="40% - Accent1 2 2 2 5 2" xfId="3191" xr:uid="{00000000-0005-0000-0000-00000C030000}"/>
    <cellStyle name="40% - Accent1 2 2 2 6" xfId="2750" xr:uid="{00000000-0005-0000-0000-00000D030000}"/>
    <cellStyle name="40% - Accent1 2 2 3" xfId="1171" xr:uid="{00000000-0005-0000-0000-00000E030000}"/>
    <cellStyle name="40% - Accent1 2 2 3 2" xfId="3401" xr:uid="{00000000-0005-0000-0000-00000F030000}"/>
    <cellStyle name="40% - Accent1 2 2 4" xfId="1592" xr:uid="{00000000-0005-0000-0000-000010030000}"/>
    <cellStyle name="40% - Accent1 2 2 4 2" xfId="3822" xr:uid="{00000000-0005-0000-0000-000011030000}"/>
    <cellStyle name="40% - Accent1 2 2 5" xfId="2013" xr:uid="{00000000-0005-0000-0000-000012030000}"/>
    <cellStyle name="40% - Accent1 2 2 5 2" xfId="4243" xr:uid="{00000000-0005-0000-0000-000013030000}"/>
    <cellStyle name="40% - Accent1 2 2 6" xfId="751" xr:uid="{00000000-0005-0000-0000-000014030000}"/>
    <cellStyle name="40% - Accent1 2 2 6 2" xfId="2981" xr:uid="{00000000-0005-0000-0000-000015030000}"/>
    <cellStyle name="40% - Accent1 2 2 7" xfId="2540" xr:uid="{00000000-0005-0000-0000-000016030000}"/>
    <cellStyle name="40% - Accent1 2 3" xfId="415" xr:uid="{00000000-0005-0000-0000-000017030000}"/>
    <cellStyle name="40% - Accent1 2 3 2" xfId="1276" xr:uid="{00000000-0005-0000-0000-000018030000}"/>
    <cellStyle name="40% - Accent1 2 3 2 2" xfId="3506" xr:uid="{00000000-0005-0000-0000-000019030000}"/>
    <cellStyle name="40% - Accent1 2 3 3" xfId="1697" xr:uid="{00000000-0005-0000-0000-00001A030000}"/>
    <cellStyle name="40% - Accent1 2 3 3 2" xfId="3927" xr:uid="{00000000-0005-0000-0000-00001B030000}"/>
    <cellStyle name="40% - Accent1 2 3 4" xfId="2118" xr:uid="{00000000-0005-0000-0000-00001C030000}"/>
    <cellStyle name="40% - Accent1 2 3 4 2" xfId="4348" xr:uid="{00000000-0005-0000-0000-00001D030000}"/>
    <cellStyle name="40% - Accent1 2 3 5" xfId="856" xr:uid="{00000000-0005-0000-0000-00001E030000}"/>
    <cellStyle name="40% - Accent1 2 3 5 2" xfId="3086" xr:uid="{00000000-0005-0000-0000-00001F030000}"/>
    <cellStyle name="40% - Accent1 2 3 6" xfId="2645" xr:uid="{00000000-0005-0000-0000-000020030000}"/>
    <cellStyle name="40% - Accent1 2 4" xfId="205" xr:uid="{00000000-0005-0000-0000-000021030000}"/>
    <cellStyle name="40% - Accent1 2 4 2" xfId="1066" xr:uid="{00000000-0005-0000-0000-000022030000}"/>
    <cellStyle name="40% - Accent1 2 4 2 2" xfId="3296" xr:uid="{00000000-0005-0000-0000-000023030000}"/>
    <cellStyle name="40% - Accent1 2 4 3" xfId="2435" xr:uid="{00000000-0005-0000-0000-000024030000}"/>
    <cellStyle name="40% - Accent1 2 5" xfId="1487" xr:uid="{00000000-0005-0000-0000-000025030000}"/>
    <cellStyle name="40% - Accent1 2 5 2" xfId="3717" xr:uid="{00000000-0005-0000-0000-000026030000}"/>
    <cellStyle name="40% - Accent1 2 6" xfId="1908" xr:uid="{00000000-0005-0000-0000-000027030000}"/>
    <cellStyle name="40% - Accent1 2 6 2" xfId="4138" xr:uid="{00000000-0005-0000-0000-000028030000}"/>
    <cellStyle name="40% - Accent1 2 7" xfId="646" xr:uid="{00000000-0005-0000-0000-000029030000}"/>
    <cellStyle name="40% - Accent1 2 7 2" xfId="2876" xr:uid="{00000000-0005-0000-0000-00002A030000}"/>
    <cellStyle name="40% - Accent1 2 8" xfId="2330" xr:uid="{00000000-0005-0000-0000-00002B030000}"/>
    <cellStyle name="40% - Accent1 3" xfId="119" xr:uid="{00000000-0005-0000-0000-00002C030000}"/>
    <cellStyle name="40% - Accent1 3 2" xfId="330" xr:uid="{00000000-0005-0000-0000-00002D030000}"/>
    <cellStyle name="40% - Accent1 3 2 2" xfId="540" xr:uid="{00000000-0005-0000-0000-00002E030000}"/>
    <cellStyle name="40% - Accent1 3 2 2 2" xfId="1401" xr:uid="{00000000-0005-0000-0000-00002F030000}"/>
    <cellStyle name="40% - Accent1 3 2 2 2 2" xfId="3631" xr:uid="{00000000-0005-0000-0000-000030030000}"/>
    <cellStyle name="40% - Accent1 3 2 2 3" xfId="1822" xr:uid="{00000000-0005-0000-0000-000031030000}"/>
    <cellStyle name="40% - Accent1 3 2 2 3 2" xfId="4052" xr:uid="{00000000-0005-0000-0000-000032030000}"/>
    <cellStyle name="40% - Accent1 3 2 2 4" xfId="2243" xr:uid="{00000000-0005-0000-0000-000033030000}"/>
    <cellStyle name="40% - Accent1 3 2 2 4 2" xfId="4473" xr:uid="{00000000-0005-0000-0000-000034030000}"/>
    <cellStyle name="40% - Accent1 3 2 2 5" xfId="981" xr:uid="{00000000-0005-0000-0000-000035030000}"/>
    <cellStyle name="40% - Accent1 3 2 2 5 2" xfId="3211" xr:uid="{00000000-0005-0000-0000-000036030000}"/>
    <cellStyle name="40% - Accent1 3 2 2 6" xfId="2770" xr:uid="{00000000-0005-0000-0000-000037030000}"/>
    <cellStyle name="40% - Accent1 3 2 3" xfId="1191" xr:uid="{00000000-0005-0000-0000-000038030000}"/>
    <cellStyle name="40% - Accent1 3 2 3 2" xfId="3421" xr:uid="{00000000-0005-0000-0000-000039030000}"/>
    <cellStyle name="40% - Accent1 3 2 4" xfId="1612" xr:uid="{00000000-0005-0000-0000-00003A030000}"/>
    <cellStyle name="40% - Accent1 3 2 4 2" xfId="3842" xr:uid="{00000000-0005-0000-0000-00003B030000}"/>
    <cellStyle name="40% - Accent1 3 2 5" xfId="2033" xr:uid="{00000000-0005-0000-0000-00003C030000}"/>
    <cellStyle name="40% - Accent1 3 2 5 2" xfId="4263" xr:uid="{00000000-0005-0000-0000-00003D030000}"/>
    <cellStyle name="40% - Accent1 3 2 6" xfId="771" xr:uid="{00000000-0005-0000-0000-00003E030000}"/>
    <cellStyle name="40% - Accent1 3 2 6 2" xfId="3001" xr:uid="{00000000-0005-0000-0000-00003F030000}"/>
    <cellStyle name="40% - Accent1 3 2 7" xfId="2560" xr:uid="{00000000-0005-0000-0000-000040030000}"/>
    <cellStyle name="40% - Accent1 3 3" xfId="435" xr:uid="{00000000-0005-0000-0000-000041030000}"/>
    <cellStyle name="40% - Accent1 3 3 2" xfId="1296" xr:uid="{00000000-0005-0000-0000-000042030000}"/>
    <cellStyle name="40% - Accent1 3 3 2 2" xfId="3526" xr:uid="{00000000-0005-0000-0000-000043030000}"/>
    <cellStyle name="40% - Accent1 3 3 3" xfId="1717" xr:uid="{00000000-0005-0000-0000-000044030000}"/>
    <cellStyle name="40% - Accent1 3 3 3 2" xfId="3947" xr:uid="{00000000-0005-0000-0000-000045030000}"/>
    <cellStyle name="40% - Accent1 3 3 4" xfId="2138" xr:uid="{00000000-0005-0000-0000-000046030000}"/>
    <cellStyle name="40% - Accent1 3 3 4 2" xfId="4368" xr:uid="{00000000-0005-0000-0000-000047030000}"/>
    <cellStyle name="40% - Accent1 3 3 5" xfId="876" xr:uid="{00000000-0005-0000-0000-000048030000}"/>
    <cellStyle name="40% - Accent1 3 3 5 2" xfId="3106" xr:uid="{00000000-0005-0000-0000-000049030000}"/>
    <cellStyle name="40% - Accent1 3 3 6" xfId="2665" xr:uid="{00000000-0005-0000-0000-00004A030000}"/>
    <cellStyle name="40% - Accent1 3 4" xfId="225" xr:uid="{00000000-0005-0000-0000-00004B030000}"/>
    <cellStyle name="40% - Accent1 3 4 2" xfId="1086" xr:uid="{00000000-0005-0000-0000-00004C030000}"/>
    <cellStyle name="40% - Accent1 3 4 2 2" xfId="3316" xr:uid="{00000000-0005-0000-0000-00004D030000}"/>
    <cellStyle name="40% - Accent1 3 4 3" xfId="2455" xr:uid="{00000000-0005-0000-0000-00004E030000}"/>
    <cellStyle name="40% - Accent1 3 5" xfId="1507" xr:uid="{00000000-0005-0000-0000-00004F030000}"/>
    <cellStyle name="40% - Accent1 3 5 2" xfId="3737" xr:uid="{00000000-0005-0000-0000-000050030000}"/>
    <cellStyle name="40% - Accent1 3 6" xfId="1928" xr:uid="{00000000-0005-0000-0000-000051030000}"/>
    <cellStyle name="40% - Accent1 3 6 2" xfId="4158" xr:uid="{00000000-0005-0000-0000-000052030000}"/>
    <cellStyle name="40% - Accent1 3 7" xfId="666" xr:uid="{00000000-0005-0000-0000-000053030000}"/>
    <cellStyle name="40% - Accent1 3 7 2" xfId="2896" xr:uid="{00000000-0005-0000-0000-000054030000}"/>
    <cellStyle name="40% - Accent1 3 8" xfId="2350" xr:uid="{00000000-0005-0000-0000-000055030000}"/>
    <cellStyle name="40% - Accent1 4" xfId="288" xr:uid="{00000000-0005-0000-0000-000056030000}"/>
    <cellStyle name="40% - Accent1 4 2" xfId="498" xr:uid="{00000000-0005-0000-0000-000057030000}"/>
    <cellStyle name="40% - Accent1 4 2 2" xfId="1359" xr:uid="{00000000-0005-0000-0000-000058030000}"/>
    <cellStyle name="40% - Accent1 4 2 2 2" xfId="3589" xr:uid="{00000000-0005-0000-0000-000059030000}"/>
    <cellStyle name="40% - Accent1 4 2 3" xfId="1780" xr:uid="{00000000-0005-0000-0000-00005A030000}"/>
    <cellStyle name="40% - Accent1 4 2 3 2" xfId="4010" xr:uid="{00000000-0005-0000-0000-00005B030000}"/>
    <cellStyle name="40% - Accent1 4 2 4" xfId="2201" xr:uid="{00000000-0005-0000-0000-00005C030000}"/>
    <cellStyle name="40% - Accent1 4 2 4 2" xfId="4431" xr:uid="{00000000-0005-0000-0000-00005D030000}"/>
    <cellStyle name="40% - Accent1 4 2 5" xfId="939" xr:uid="{00000000-0005-0000-0000-00005E030000}"/>
    <cellStyle name="40% - Accent1 4 2 5 2" xfId="3169" xr:uid="{00000000-0005-0000-0000-00005F030000}"/>
    <cellStyle name="40% - Accent1 4 2 6" xfId="2728" xr:uid="{00000000-0005-0000-0000-000060030000}"/>
    <cellStyle name="40% - Accent1 4 3" xfId="1149" xr:uid="{00000000-0005-0000-0000-000061030000}"/>
    <cellStyle name="40% - Accent1 4 3 2" xfId="3379" xr:uid="{00000000-0005-0000-0000-000062030000}"/>
    <cellStyle name="40% - Accent1 4 4" xfId="1570" xr:uid="{00000000-0005-0000-0000-000063030000}"/>
    <cellStyle name="40% - Accent1 4 4 2" xfId="3800" xr:uid="{00000000-0005-0000-0000-000064030000}"/>
    <cellStyle name="40% - Accent1 4 5" xfId="1991" xr:uid="{00000000-0005-0000-0000-000065030000}"/>
    <cellStyle name="40% - Accent1 4 5 2" xfId="4221" xr:uid="{00000000-0005-0000-0000-000066030000}"/>
    <cellStyle name="40% - Accent1 4 6" xfId="729" xr:uid="{00000000-0005-0000-0000-000067030000}"/>
    <cellStyle name="40% - Accent1 4 6 2" xfId="2959" xr:uid="{00000000-0005-0000-0000-000068030000}"/>
    <cellStyle name="40% - Accent1 4 7" xfId="2518" xr:uid="{00000000-0005-0000-0000-000069030000}"/>
    <cellStyle name="40% - Accent1 5" xfId="393" xr:uid="{00000000-0005-0000-0000-00006A030000}"/>
    <cellStyle name="40% - Accent1 5 2" xfId="1254" xr:uid="{00000000-0005-0000-0000-00006B030000}"/>
    <cellStyle name="40% - Accent1 5 2 2" xfId="3484" xr:uid="{00000000-0005-0000-0000-00006C030000}"/>
    <cellStyle name="40% - Accent1 5 3" xfId="1675" xr:uid="{00000000-0005-0000-0000-00006D030000}"/>
    <cellStyle name="40% - Accent1 5 3 2" xfId="3905" xr:uid="{00000000-0005-0000-0000-00006E030000}"/>
    <cellStyle name="40% - Accent1 5 4" xfId="2096" xr:uid="{00000000-0005-0000-0000-00006F030000}"/>
    <cellStyle name="40% - Accent1 5 4 2" xfId="4326" xr:uid="{00000000-0005-0000-0000-000070030000}"/>
    <cellStyle name="40% - Accent1 5 5" xfId="834" xr:uid="{00000000-0005-0000-0000-000071030000}"/>
    <cellStyle name="40% - Accent1 5 5 2" xfId="3064" xr:uid="{00000000-0005-0000-0000-000072030000}"/>
    <cellStyle name="40% - Accent1 5 6" xfId="2623" xr:uid="{00000000-0005-0000-0000-000073030000}"/>
    <cellStyle name="40% - Accent1 6" xfId="183" xr:uid="{00000000-0005-0000-0000-000074030000}"/>
    <cellStyle name="40% - Accent1 6 2" xfId="1044" xr:uid="{00000000-0005-0000-0000-000075030000}"/>
    <cellStyle name="40% - Accent1 6 2 2" xfId="3274" xr:uid="{00000000-0005-0000-0000-000076030000}"/>
    <cellStyle name="40% - Accent1 6 3" xfId="2413" xr:uid="{00000000-0005-0000-0000-000077030000}"/>
    <cellStyle name="40% - Accent1 7" xfId="561" xr:uid="{00000000-0005-0000-0000-000078030000}"/>
    <cellStyle name="40% - Accent1 7 2" xfId="1465" xr:uid="{00000000-0005-0000-0000-000079030000}"/>
    <cellStyle name="40% - Accent1 7 2 2" xfId="3695" xr:uid="{00000000-0005-0000-0000-00007A030000}"/>
    <cellStyle name="40% - Accent1 7 3" xfId="2791" xr:uid="{00000000-0005-0000-0000-00007B030000}"/>
    <cellStyle name="40% - Accent1 8" xfId="1886" xr:uid="{00000000-0005-0000-0000-00007C030000}"/>
    <cellStyle name="40% - Accent1 8 2" xfId="4116" xr:uid="{00000000-0005-0000-0000-00007D030000}"/>
    <cellStyle name="40% - Accent1 9" xfId="624" xr:uid="{00000000-0005-0000-0000-00007E030000}"/>
    <cellStyle name="40% - Accent1 9 2" xfId="2854" xr:uid="{00000000-0005-0000-0000-00007F030000}"/>
    <cellStyle name="40% - Accent2" xfId="76" builtinId="35" customBuiltin="1"/>
    <cellStyle name="40% - Accent2 10" xfId="2311" xr:uid="{00000000-0005-0000-0000-000081030000}"/>
    <cellStyle name="40% - Accent2 2" xfId="102" xr:uid="{00000000-0005-0000-0000-000082030000}"/>
    <cellStyle name="40% - Accent2 2 2" xfId="313" xr:uid="{00000000-0005-0000-0000-000083030000}"/>
    <cellStyle name="40% - Accent2 2 2 2" xfId="523" xr:uid="{00000000-0005-0000-0000-000084030000}"/>
    <cellStyle name="40% - Accent2 2 2 2 2" xfId="1384" xr:uid="{00000000-0005-0000-0000-000085030000}"/>
    <cellStyle name="40% - Accent2 2 2 2 2 2" xfId="3614" xr:uid="{00000000-0005-0000-0000-000086030000}"/>
    <cellStyle name="40% - Accent2 2 2 2 3" xfId="1805" xr:uid="{00000000-0005-0000-0000-000087030000}"/>
    <cellStyle name="40% - Accent2 2 2 2 3 2" xfId="4035" xr:uid="{00000000-0005-0000-0000-000088030000}"/>
    <cellStyle name="40% - Accent2 2 2 2 4" xfId="2226" xr:uid="{00000000-0005-0000-0000-000089030000}"/>
    <cellStyle name="40% - Accent2 2 2 2 4 2" xfId="4456" xr:uid="{00000000-0005-0000-0000-00008A030000}"/>
    <cellStyle name="40% - Accent2 2 2 2 5" xfId="964" xr:uid="{00000000-0005-0000-0000-00008B030000}"/>
    <cellStyle name="40% - Accent2 2 2 2 5 2" xfId="3194" xr:uid="{00000000-0005-0000-0000-00008C030000}"/>
    <cellStyle name="40% - Accent2 2 2 2 6" xfId="2753" xr:uid="{00000000-0005-0000-0000-00008D030000}"/>
    <cellStyle name="40% - Accent2 2 2 3" xfId="1174" xr:uid="{00000000-0005-0000-0000-00008E030000}"/>
    <cellStyle name="40% - Accent2 2 2 3 2" xfId="3404" xr:uid="{00000000-0005-0000-0000-00008F030000}"/>
    <cellStyle name="40% - Accent2 2 2 4" xfId="1595" xr:uid="{00000000-0005-0000-0000-000090030000}"/>
    <cellStyle name="40% - Accent2 2 2 4 2" xfId="3825" xr:uid="{00000000-0005-0000-0000-000091030000}"/>
    <cellStyle name="40% - Accent2 2 2 5" xfId="2016" xr:uid="{00000000-0005-0000-0000-000092030000}"/>
    <cellStyle name="40% - Accent2 2 2 5 2" xfId="4246" xr:uid="{00000000-0005-0000-0000-000093030000}"/>
    <cellStyle name="40% - Accent2 2 2 6" xfId="754" xr:uid="{00000000-0005-0000-0000-000094030000}"/>
    <cellStyle name="40% - Accent2 2 2 6 2" xfId="2984" xr:uid="{00000000-0005-0000-0000-000095030000}"/>
    <cellStyle name="40% - Accent2 2 2 7" xfId="2543" xr:uid="{00000000-0005-0000-0000-000096030000}"/>
    <cellStyle name="40% - Accent2 2 3" xfId="418" xr:uid="{00000000-0005-0000-0000-000097030000}"/>
    <cellStyle name="40% - Accent2 2 3 2" xfId="1279" xr:uid="{00000000-0005-0000-0000-000098030000}"/>
    <cellStyle name="40% - Accent2 2 3 2 2" xfId="3509" xr:uid="{00000000-0005-0000-0000-000099030000}"/>
    <cellStyle name="40% - Accent2 2 3 3" xfId="1700" xr:uid="{00000000-0005-0000-0000-00009A030000}"/>
    <cellStyle name="40% - Accent2 2 3 3 2" xfId="3930" xr:uid="{00000000-0005-0000-0000-00009B030000}"/>
    <cellStyle name="40% - Accent2 2 3 4" xfId="2121" xr:uid="{00000000-0005-0000-0000-00009C030000}"/>
    <cellStyle name="40% - Accent2 2 3 4 2" xfId="4351" xr:uid="{00000000-0005-0000-0000-00009D030000}"/>
    <cellStyle name="40% - Accent2 2 3 5" xfId="859" xr:uid="{00000000-0005-0000-0000-00009E030000}"/>
    <cellStyle name="40% - Accent2 2 3 5 2" xfId="3089" xr:uid="{00000000-0005-0000-0000-00009F030000}"/>
    <cellStyle name="40% - Accent2 2 3 6" xfId="2648" xr:uid="{00000000-0005-0000-0000-0000A0030000}"/>
    <cellStyle name="40% - Accent2 2 4" xfId="208" xr:uid="{00000000-0005-0000-0000-0000A1030000}"/>
    <cellStyle name="40% - Accent2 2 4 2" xfId="1069" xr:uid="{00000000-0005-0000-0000-0000A2030000}"/>
    <cellStyle name="40% - Accent2 2 4 2 2" xfId="3299" xr:uid="{00000000-0005-0000-0000-0000A3030000}"/>
    <cellStyle name="40% - Accent2 2 4 3" xfId="2438" xr:uid="{00000000-0005-0000-0000-0000A4030000}"/>
    <cellStyle name="40% - Accent2 2 5" xfId="1490" xr:uid="{00000000-0005-0000-0000-0000A5030000}"/>
    <cellStyle name="40% - Accent2 2 5 2" xfId="3720" xr:uid="{00000000-0005-0000-0000-0000A6030000}"/>
    <cellStyle name="40% - Accent2 2 6" xfId="1911" xr:uid="{00000000-0005-0000-0000-0000A7030000}"/>
    <cellStyle name="40% - Accent2 2 6 2" xfId="4141" xr:uid="{00000000-0005-0000-0000-0000A8030000}"/>
    <cellStyle name="40% - Accent2 2 7" xfId="649" xr:uid="{00000000-0005-0000-0000-0000A9030000}"/>
    <cellStyle name="40% - Accent2 2 7 2" xfId="2879" xr:uid="{00000000-0005-0000-0000-0000AA030000}"/>
    <cellStyle name="40% - Accent2 2 8" xfId="2333" xr:uid="{00000000-0005-0000-0000-0000AB030000}"/>
    <cellStyle name="40% - Accent2 3" xfId="122" xr:uid="{00000000-0005-0000-0000-0000AC030000}"/>
    <cellStyle name="40% - Accent2 3 2" xfId="333" xr:uid="{00000000-0005-0000-0000-0000AD030000}"/>
    <cellStyle name="40% - Accent2 3 2 2" xfId="543" xr:uid="{00000000-0005-0000-0000-0000AE030000}"/>
    <cellStyle name="40% - Accent2 3 2 2 2" xfId="1404" xr:uid="{00000000-0005-0000-0000-0000AF030000}"/>
    <cellStyle name="40% - Accent2 3 2 2 2 2" xfId="3634" xr:uid="{00000000-0005-0000-0000-0000B0030000}"/>
    <cellStyle name="40% - Accent2 3 2 2 3" xfId="1825" xr:uid="{00000000-0005-0000-0000-0000B1030000}"/>
    <cellStyle name="40% - Accent2 3 2 2 3 2" xfId="4055" xr:uid="{00000000-0005-0000-0000-0000B2030000}"/>
    <cellStyle name="40% - Accent2 3 2 2 4" xfId="2246" xr:uid="{00000000-0005-0000-0000-0000B3030000}"/>
    <cellStyle name="40% - Accent2 3 2 2 4 2" xfId="4476" xr:uid="{00000000-0005-0000-0000-0000B4030000}"/>
    <cellStyle name="40% - Accent2 3 2 2 5" xfId="984" xr:uid="{00000000-0005-0000-0000-0000B5030000}"/>
    <cellStyle name="40% - Accent2 3 2 2 5 2" xfId="3214" xr:uid="{00000000-0005-0000-0000-0000B6030000}"/>
    <cellStyle name="40% - Accent2 3 2 2 6" xfId="2773" xr:uid="{00000000-0005-0000-0000-0000B7030000}"/>
    <cellStyle name="40% - Accent2 3 2 3" xfId="1194" xr:uid="{00000000-0005-0000-0000-0000B8030000}"/>
    <cellStyle name="40% - Accent2 3 2 3 2" xfId="3424" xr:uid="{00000000-0005-0000-0000-0000B9030000}"/>
    <cellStyle name="40% - Accent2 3 2 4" xfId="1615" xr:uid="{00000000-0005-0000-0000-0000BA030000}"/>
    <cellStyle name="40% - Accent2 3 2 4 2" xfId="3845" xr:uid="{00000000-0005-0000-0000-0000BB030000}"/>
    <cellStyle name="40% - Accent2 3 2 5" xfId="2036" xr:uid="{00000000-0005-0000-0000-0000BC030000}"/>
    <cellStyle name="40% - Accent2 3 2 5 2" xfId="4266" xr:uid="{00000000-0005-0000-0000-0000BD030000}"/>
    <cellStyle name="40% - Accent2 3 2 6" xfId="774" xr:uid="{00000000-0005-0000-0000-0000BE030000}"/>
    <cellStyle name="40% - Accent2 3 2 6 2" xfId="3004" xr:uid="{00000000-0005-0000-0000-0000BF030000}"/>
    <cellStyle name="40% - Accent2 3 2 7" xfId="2563" xr:uid="{00000000-0005-0000-0000-0000C0030000}"/>
    <cellStyle name="40% - Accent2 3 3" xfId="438" xr:uid="{00000000-0005-0000-0000-0000C1030000}"/>
    <cellStyle name="40% - Accent2 3 3 2" xfId="1299" xr:uid="{00000000-0005-0000-0000-0000C2030000}"/>
    <cellStyle name="40% - Accent2 3 3 2 2" xfId="3529" xr:uid="{00000000-0005-0000-0000-0000C3030000}"/>
    <cellStyle name="40% - Accent2 3 3 3" xfId="1720" xr:uid="{00000000-0005-0000-0000-0000C4030000}"/>
    <cellStyle name="40% - Accent2 3 3 3 2" xfId="3950" xr:uid="{00000000-0005-0000-0000-0000C5030000}"/>
    <cellStyle name="40% - Accent2 3 3 4" xfId="2141" xr:uid="{00000000-0005-0000-0000-0000C6030000}"/>
    <cellStyle name="40% - Accent2 3 3 4 2" xfId="4371" xr:uid="{00000000-0005-0000-0000-0000C7030000}"/>
    <cellStyle name="40% - Accent2 3 3 5" xfId="879" xr:uid="{00000000-0005-0000-0000-0000C8030000}"/>
    <cellStyle name="40% - Accent2 3 3 5 2" xfId="3109" xr:uid="{00000000-0005-0000-0000-0000C9030000}"/>
    <cellStyle name="40% - Accent2 3 3 6" xfId="2668" xr:uid="{00000000-0005-0000-0000-0000CA030000}"/>
    <cellStyle name="40% - Accent2 3 4" xfId="228" xr:uid="{00000000-0005-0000-0000-0000CB030000}"/>
    <cellStyle name="40% - Accent2 3 4 2" xfId="1089" xr:uid="{00000000-0005-0000-0000-0000CC030000}"/>
    <cellStyle name="40% - Accent2 3 4 2 2" xfId="3319" xr:uid="{00000000-0005-0000-0000-0000CD030000}"/>
    <cellStyle name="40% - Accent2 3 4 3" xfId="2458" xr:uid="{00000000-0005-0000-0000-0000CE030000}"/>
    <cellStyle name="40% - Accent2 3 5" xfId="1510" xr:uid="{00000000-0005-0000-0000-0000CF030000}"/>
    <cellStyle name="40% - Accent2 3 5 2" xfId="3740" xr:uid="{00000000-0005-0000-0000-0000D0030000}"/>
    <cellStyle name="40% - Accent2 3 6" xfId="1931" xr:uid="{00000000-0005-0000-0000-0000D1030000}"/>
    <cellStyle name="40% - Accent2 3 6 2" xfId="4161" xr:uid="{00000000-0005-0000-0000-0000D2030000}"/>
    <cellStyle name="40% - Accent2 3 7" xfId="669" xr:uid="{00000000-0005-0000-0000-0000D3030000}"/>
    <cellStyle name="40% - Accent2 3 7 2" xfId="2899" xr:uid="{00000000-0005-0000-0000-0000D4030000}"/>
    <cellStyle name="40% - Accent2 3 8" xfId="2353" xr:uid="{00000000-0005-0000-0000-0000D5030000}"/>
    <cellStyle name="40% - Accent2 4" xfId="291" xr:uid="{00000000-0005-0000-0000-0000D6030000}"/>
    <cellStyle name="40% - Accent2 4 2" xfId="501" xr:uid="{00000000-0005-0000-0000-0000D7030000}"/>
    <cellStyle name="40% - Accent2 4 2 2" xfId="1362" xr:uid="{00000000-0005-0000-0000-0000D8030000}"/>
    <cellStyle name="40% - Accent2 4 2 2 2" xfId="3592" xr:uid="{00000000-0005-0000-0000-0000D9030000}"/>
    <cellStyle name="40% - Accent2 4 2 3" xfId="1783" xr:uid="{00000000-0005-0000-0000-0000DA030000}"/>
    <cellStyle name="40% - Accent2 4 2 3 2" xfId="4013" xr:uid="{00000000-0005-0000-0000-0000DB030000}"/>
    <cellStyle name="40% - Accent2 4 2 4" xfId="2204" xr:uid="{00000000-0005-0000-0000-0000DC030000}"/>
    <cellStyle name="40% - Accent2 4 2 4 2" xfId="4434" xr:uid="{00000000-0005-0000-0000-0000DD030000}"/>
    <cellStyle name="40% - Accent2 4 2 5" xfId="942" xr:uid="{00000000-0005-0000-0000-0000DE030000}"/>
    <cellStyle name="40% - Accent2 4 2 5 2" xfId="3172" xr:uid="{00000000-0005-0000-0000-0000DF030000}"/>
    <cellStyle name="40% - Accent2 4 2 6" xfId="2731" xr:uid="{00000000-0005-0000-0000-0000E0030000}"/>
    <cellStyle name="40% - Accent2 4 3" xfId="1152" xr:uid="{00000000-0005-0000-0000-0000E1030000}"/>
    <cellStyle name="40% - Accent2 4 3 2" xfId="3382" xr:uid="{00000000-0005-0000-0000-0000E2030000}"/>
    <cellStyle name="40% - Accent2 4 4" xfId="1573" xr:uid="{00000000-0005-0000-0000-0000E3030000}"/>
    <cellStyle name="40% - Accent2 4 4 2" xfId="3803" xr:uid="{00000000-0005-0000-0000-0000E4030000}"/>
    <cellStyle name="40% - Accent2 4 5" xfId="1994" xr:uid="{00000000-0005-0000-0000-0000E5030000}"/>
    <cellStyle name="40% - Accent2 4 5 2" xfId="4224" xr:uid="{00000000-0005-0000-0000-0000E6030000}"/>
    <cellStyle name="40% - Accent2 4 6" xfId="732" xr:uid="{00000000-0005-0000-0000-0000E7030000}"/>
    <cellStyle name="40% - Accent2 4 6 2" xfId="2962" xr:uid="{00000000-0005-0000-0000-0000E8030000}"/>
    <cellStyle name="40% - Accent2 4 7" xfId="2521" xr:uid="{00000000-0005-0000-0000-0000E9030000}"/>
    <cellStyle name="40% - Accent2 5" xfId="396" xr:uid="{00000000-0005-0000-0000-0000EA030000}"/>
    <cellStyle name="40% - Accent2 5 2" xfId="1257" xr:uid="{00000000-0005-0000-0000-0000EB030000}"/>
    <cellStyle name="40% - Accent2 5 2 2" xfId="3487" xr:uid="{00000000-0005-0000-0000-0000EC030000}"/>
    <cellStyle name="40% - Accent2 5 3" xfId="1678" xr:uid="{00000000-0005-0000-0000-0000ED030000}"/>
    <cellStyle name="40% - Accent2 5 3 2" xfId="3908" xr:uid="{00000000-0005-0000-0000-0000EE030000}"/>
    <cellStyle name="40% - Accent2 5 4" xfId="2099" xr:uid="{00000000-0005-0000-0000-0000EF030000}"/>
    <cellStyle name="40% - Accent2 5 4 2" xfId="4329" xr:uid="{00000000-0005-0000-0000-0000F0030000}"/>
    <cellStyle name="40% - Accent2 5 5" xfId="837" xr:uid="{00000000-0005-0000-0000-0000F1030000}"/>
    <cellStyle name="40% - Accent2 5 5 2" xfId="3067" xr:uid="{00000000-0005-0000-0000-0000F2030000}"/>
    <cellStyle name="40% - Accent2 5 6" xfId="2626" xr:uid="{00000000-0005-0000-0000-0000F3030000}"/>
    <cellStyle name="40% - Accent2 6" xfId="186" xr:uid="{00000000-0005-0000-0000-0000F4030000}"/>
    <cellStyle name="40% - Accent2 6 2" xfId="1047" xr:uid="{00000000-0005-0000-0000-0000F5030000}"/>
    <cellStyle name="40% - Accent2 6 2 2" xfId="3277" xr:uid="{00000000-0005-0000-0000-0000F6030000}"/>
    <cellStyle name="40% - Accent2 6 3" xfId="2416" xr:uid="{00000000-0005-0000-0000-0000F7030000}"/>
    <cellStyle name="40% - Accent2 7" xfId="564" xr:uid="{00000000-0005-0000-0000-0000F8030000}"/>
    <cellStyle name="40% - Accent2 7 2" xfId="1468" xr:uid="{00000000-0005-0000-0000-0000F9030000}"/>
    <cellStyle name="40% - Accent2 7 2 2" xfId="3698" xr:uid="{00000000-0005-0000-0000-0000FA030000}"/>
    <cellStyle name="40% - Accent2 7 3" xfId="2794" xr:uid="{00000000-0005-0000-0000-0000FB030000}"/>
    <cellStyle name="40% - Accent2 8" xfId="1889" xr:uid="{00000000-0005-0000-0000-0000FC030000}"/>
    <cellStyle name="40% - Accent2 8 2" xfId="4119" xr:uid="{00000000-0005-0000-0000-0000FD030000}"/>
    <cellStyle name="40% - Accent2 9" xfId="627" xr:uid="{00000000-0005-0000-0000-0000FE030000}"/>
    <cellStyle name="40% - Accent2 9 2" xfId="2857" xr:uid="{00000000-0005-0000-0000-0000FF030000}"/>
    <cellStyle name="40% - Accent3" xfId="80" builtinId="39" customBuiltin="1"/>
    <cellStyle name="40% - Accent3 10" xfId="2314" xr:uid="{00000000-0005-0000-0000-000001040000}"/>
    <cellStyle name="40% - Accent3 2" xfId="105" xr:uid="{00000000-0005-0000-0000-000002040000}"/>
    <cellStyle name="40% - Accent3 2 2" xfId="316" xr:uid="{00000000-0005-0000-0000-000003040000}"/>
    <cellStyle name="40% - Accent3 2 2 2" xfId="526" xr:uid="{00000000-0005-0000-0000-000004040000}"/>
    <cellStyle name="40% - Accent3 2 2 2 2" xfId="1387" xr:uid="{00000000-0005-0000-0000-000005040000}"/>
    <cellStyle name="40% - Accent3 2 2 2 2 2" xfId="3617" xr:uid="{00000000-0005-0000-0000-000006040000}"/>
    <cellStyle name="40% - Accent3 2 2 2 3" xfId="1808" xr:uid="{00000000-0005-0000-0000-000007040000}"/>
    <cellStyle name="40% - Accent3 2 2 2 3 2" xfId="4038" xr:uid="{00000000-0005-0000-0000-000008040000}"/>
    <cellStyle name="40% - Accent3 2 2 2 4" xfId="2229" xr:uid="{00000000-0005-0000-0000-000009040000}"/>
    <cellStyle name="40% - Accent3 2 2 2 4 2" xfId="4459" xr:uid="{00000000-0005-0000-0000-00000A040000}"/>
    <cellStyle name="40% - Accent3 2 2 2 5" xfId="967" xr:uid="{00000000-0005-0000-0000-00000B040000}"/>
    <cellStyle name="40% - Accent3 2 2 2 5 2" xfId="3197" xr:uid="{00000000-0005-0000-0000-00000C040000}"/>
    <cellStyle name="40% - Accent3 2 2 2 6" xfId="2756" xr:uid="{00000000-0005-0000-0000-00000D040000}"/>
    <cellStyle name="40% - Accent3 2 2 3" xfId="1177" xr:uid="{00000000-0005-0000-0000-00000E040000}"/>
    <cellStyle name="40% - Accent3 2 2 3 2" xfId="3407" xr:uid="{00000000-0005-0000-0000-00000F040000}"/>
    <cellStyle name="40% - Accent3 2 2 4" xfId="1598" xr:uid="{00000000-0005-0000-0000-000010040000}"/>
    <cellStyle name="40% - Accent3 2 2 4 2" xfId="3828" xr:uid="{00000000-0005-0000-0000-000011040000}"/>
    <cellStyle name="40% - Accent3 2 2 5" xfId="2019" xr:uid="{00000000-0005-0000-0000-000012040000}"/>
    <cellStyle name="40% - Accent3 2 2 5 2" xfId="4249" xr:uid="{00000000-0005-0000-0000-000013040000}"/>
    <cellStyle name="40% - Accent3 2 2 6" xfId="757" xr:uid="{00000000-0005-0000-0000-000014040000}"/>
    <cellStyle name="40% - Accent3 2 2 6 2" xfId="2987" xr:uid="{00000000-0005-0000-0000-000015040000}"/>
    <cellStyle name="40% - Accent3 2 2 7" xfId="2546" xr:uid="{00000000-0005-0000-0000-000016040000}"/>
    <cellStyle name="40% - Accent3 2 3" xfId="421" xr:uid="{00000000-0005-0000-0000-000017040000}"/>
    <cellStyle name="40% - Accent3 2 3 2" xfId="1282" xr:uid="{00000000-0005-0000-0000-000018040000}"/>
    <cellStyle name="40% - Accent3 2 3 2 2" xfId="3512" xr:uid="{00000000-0005-0000-0000-000019040000}"/>
    <cellStyle name="40% - Accent3 2 3 3" xfId="1703" xr:uid="{00000000-0005-0000-0000-00001A040000}"/>
    <cellStyle name="40% - Accent3 2 3 3 2" xfId="3933" xr:uid="{00000000-0005-0000-0000-00001B040000}"/>
    <cellStyle name="40% - Accent3 2 3 4" xfId="2124" xr:uid="{00000000-0005-0000-0000-00001C040000}"/>
    <cellStyle name="40% - Accent3 2 3 4 2" xfId="4354" xr:uid="{00000000-0005-0000-0000-00001D040000}"/>
    <cellStyle name="40% - Accent3 2 3 5" xfId="862" xr:uid="{00000000-0005-0000-0000-00001E040000}"/>
    <cellStyle name="40% - Accent3 2 3 5 2" xfId="3092" xr:uid="{00000000-0005-0000-0000-00001F040000}"/>
    <cellStyle name="40% - Accent3 2 3 6" xfId="2651" xr:uid="{00000000-0005-0000-0000-000020040000}"/>
    <cellStyle name="40% - Accent3 2 4" xfId="211" xr:uid="{00000000-0005-0000-0000-000021040000}"/>
    <cellStyle name="40% - Accent3 2 4 2" xfId="1072" xr:uid="{00000000-0005-0000-0000-000022040000}"/>
    <cellStyle name="40% - Accent3 2 4 2 2" xfId="3302" xr:uid="{00000000-0005-0000-0000-000023040000}"/>
    <cellStyle name="40% - Accent3 2 4 3" xfId="2441" xr:uid="{00000000-0005-0000-0000-000024040000}"/>
    <cellStyle name="40% - Accent3 2 5" xfId="1493" xr:uid="{00000000-0005-0000-0000-000025040000}"/>
    <cellStyle name="40% - Accent3 2 5 2" xfId="3723" xr:uid="{00000000-0005-0000-0000-000026040000}"/>
    <cellStyle name="40% - Accent3 2 6" xfId="1914" xr:uid="{00000000-0005-0000-0000-000027040000}"/>
    <cellStyle name="40% - Accent3 2 6 2" xfId="4144" xr:uid="{00000000-0005-0000-0000-000028040000}"/>
    <cellStyle name="40% - Accent3 2 7" xfId="652" xr:uid="{00000000-0005-0000-0000-000029040000}"/>
    <cellStyle name="40% - Accent3 2 7 2" xfId="2882" xr:uid="{00000000-0005-0000-0000-00002A040000}"/>
    <cellStyle name="40% - Accent3 2 8" xfId="2336" xr:uid="{00000000-0005-0000-0000-00002B040000}"/>
    <cellStyle name="40% - Accent3 3" xfId="125" xr:uid="{00000000-0005-0000-0000-00002C040000}"/>
    <cellStyle name="40% - Accent3 3 2" xfId="336" xr:uid="{00000000-0005-0000-0000-00002D040000}"/>
    <cellStyle name="40% - Accent3 3 2 2" xfId="546" xr:uid="{00000000-0005-0000-0000-00002E040000}"/>
    <cellStyle name="40% - Accent3 3 2 2 2" xfId="1407" xr:uid="{00000000-0005-0000-0000-00002F040000}"/>
    <cellStyle name="40% - Accent3 3 2 2 2 2" xfId="3637" xr:uid="{00000000-0005-0000-0000-000030040000}"/>
    <cellStyle name="40% - Accent3 3 2 2 3" xfId="1828" xr:uid="{00000000-0005-0000-0000-000031040000}"/>
    <cellStyle name="40% - Accent3 3 2 2 3 2" xfId="4058" xr:uid="{00000000-0005-0000-0000-000032040000}"/>
    <cellStyle name="40% - Accent3 3 2 2 4" xfId="2249" xr:uid="{00000000-0005-0000-0000-000033040000}"/>
    <cellStyle name="40% - Accent3 3 2 2 4 2" xfId="4479" xr:uid="{00000000-0005-0000-0000-000034040000}"/>
    <cellStyle name="40% - Accent3 3 2 2 5" xfId="987" xr:uid="{00000000-0005-0000-0000-000035040000}"/>
    <cellStyle name="40% - Accent3 3 2 2 5 2" xfId="3217" xr:uid="{00000000-0005-0000-0000-000036040000}"/>
    <cellStyle name="40% - Accent3 3 2 2 6" xfId="2776" xr:uid="{00000000-0005-0000-0000-000037040000}"/>
    <cellStyle name="40% - Accent3 3 2 3" xfId="1197" xr:uid="{00000000-0005-0000-0000-000038040000}"/>
    <cellStyle name="40% - Accent3 3 2 3 2" xfId="3427" xr:uid="{00000000-0005-0000-0000-000039040000}"/>
    <cellStyle name="40% - Accent3 3 2 4" xfId="1618" xr:uid="{00000000-0005-0000-0000-00003A040000}"/>
    <cellStyle name="40% - Accent3 3 2 4 2" xfId="3848" xr:uid="{00000000-0005-0000-0000-00003B040000}"/>
    <cellStyle name="40% - Accent3 3 2 5" xfId="2039" xr:uid="{00000000-0005-0000-0000-00003C040000}"/>
    <cellStyle name="40% - Accent3 3 2 5 2" xfId="4269" xr:uid="{00000000-0005-0000-0000-00003D040000}"/>
    <cellStyle name="40% - Accent3 3 2 6" xfId="777" xr:uid="{00000000-0005-0000-0000-00003E040000}"/>
    <cellStyle name="40% - Accent3 3 2 6 2" xfId="3007" xr:uid="{00000000-0005-0000-0000-00003F040000}"/>
    <cellStyle name="40% - Accent3 3 2 7" xfId="2566" xr:uid="{00000000-0005-0000-0000-000040040000}"/>
    <cellStyle name="40% - Accent3 3 3" xfId="441" xr:uid="{00000000-0005-0000-0000-000041040000}"/>
    <cellStyle name="40% - Accent3 3 3 2" xfId="1302" xr:uid="{00000000-0005-0000-0000-000042040000}"/>
    <cellStyle name="40% - Accent3 3 3 2 2" xfId="3532" xr:uid="{00000000-0005-0000-0000-000043040000}"/>
    <cellStyle name="40% - Accent3 3 3 3" xfId="1723" xr:uid="{00000000-0005-0000-0000-000044040000}"/>
    <cellStyle name="40% - Accent3 3 3 3 2" xfId="3953" xr:uid="{00000000-0005-0000-0000-000045040000}"/>
    <cellStyle name="40% - Accent3 3 3 4" xfId="2144" xr:uid="{00000000-0005-0000-0000-000046040000}"/>
    <cellStyle name="40% - Accent3 3 3 4 2" xfId="4374" xr:uid="{00000000-0005-0000-0000-000047040000}"/>
    <cellStyle name="40% - Accent3 3 3 5" xfId="882" xr:uid="{00000000-0005-0000-0000-000048040000}"/>
    <cellStyle name="40% - Accent3 3 3 5 2" xfId="3112" xr:uid="{00000000-0005-0000-0000-000049040000}"/>
    <cellStyle name="40% - Accent3 3 3 6" xfId="2671" xr:uid="{00000000-0005-0000-0000-00004A040000}"/>
    <cellStyle name="40% - Accent3 3 4" xfId="231" xr:uid="{00000000-0005-0000-0000-00004B040000}"/>
    <cellStyle name="40% - Accent3 3 4 2" xfId="1092" xr:uid="{00000000-0005-0000-0000-00004C040000}"/>
    <cellStyle name="40% - Accent3 3 4 2 2" xfId="3322" xr:uid="{00000000-0005-0000-0000-00004D040000}"/>
    <cellStyle name="40% - Accent3 3 4 3" xfId="2461" xr:uid="{00000000-0005-0000-0000-00004E040000}"/>
    <cellStyle name="40% - Accent3 3 5" xfId="1513" xr:uid="{00000000-0005-0000-0000-00004F040000}"/>
    <cellStyle name="40% - Accent3 3 5 2" xfId="3743" xr:uid="{00000000-0005-0000-0000-000050040000}"/>
    <cellStyle name="40% - Accent3 3 6" xfId="1934" xr:uid="{00000000-0005-0000-0000-000051040000}"/>
    <cellStyle name="40% - Accent3 3 6 2" xfId="4164" xr:uid="{00000000-0005-0000-0000-000052040000}"/>
    <cellStyle name="40% - Accent3 3 7" xfId="672" xr:uid="{00000000-0005-0000-0000-000053040000}"/>
    <cellStyle name="40% - Accent3 3 7 2" xfId="2902" xr:uid="{00000000-0005-0000-0000-000054040000}"/>
    <cellStyle name="40% - Accent3 3 8" xfId="2356" xr:uid="{00000000-0005-0000-0000-000055040000}"/>
    <cellStyle name="40% - Accent3 4" xfId="294" xr:uid="{00000000-0005-0000-0000-000056040000}"/>
    <cellStyle name="40% - Accent3 4 2" xfId="504" xr:uid="{00000000-0005-0000-0000-000057040000}"/>
    <cellStyle name="40% - Accent3 4 2 2" xfId="1365" xr:uid="{00000000-0005-0000-0000-000058040000}"/>
    <cellStyle name="40% - Accent3 4 2 2 2" xfId="3595" xr:uid="{00000000-0005-0000-0000-000059040000}"/>
    <cellStyle name="40% - Accent3 4 2 3" xfId="1786" xr:uid="{00000000-0005-0000-0000-00005A040000}"/>
    <cellStyle name="40% - Accent3 4 2 3 2" xfId="4016" xr:uid="{00000000-0005-0000-0000-00005B040000}"/>
    <cellStyle name="40% - Accent3 4 2 4" xfId="2207" xr:uid="{00000000-0005-0000-0000-00005C040000}"/>
    <cellStyle name="40% - Accent3 4 2 4 2" xfId="4437" xr:uid="{00000000-0005-0000-0000-00005D040000}"/>
    <cellStyle name="40% - Accent3 4 2 5" xfId="945" xr:uid="{00000000-0005-0000-0000-00005E040000}"/>
    <cellStyle name="40% - Accent3 4 2 5 2" xfId="3175" xr:uid="{00000000-0005-0000-0000-00005F040000}"/>
    <cellStyle name="40% - Accent3 4 2 6" xfId="2734" xr:uid="{00000000-0005-0000-0000-000060040000}"/>
    <cellStyle name="40% - Accent3 4 3" xfId="1155" xr:uid="{00000000-0005-0000-0000-000061040000}"/>
    <cellStyle name="40% - Accent3 4 3 2" xfId="3385" xr:uid="{00000000-0005-0000-0000-000062040000}"/>
    <cellStyle name="40% - Accent3 4 4" xfId="1576" xr:uid="{00000000-0005-0000-0000-000063040000}"/>
    <cellStyle name="40% - Accent3 4 4 2" xfId="3806" xr:uid="{00000000-0005-0000-0000-000064040000}"/>
    <cellStyle name="40% - Accent3 4 5" xfId="1997" xr:uid="{00000000-0005-0000-0000-000065040000}"/>
    <cellStyle name="40% - Accent3 4 5 2" xfId="4227" xr:uid="{00000000-0005-0000-0000-000066040000}"/>
    <cellStyle name="40% - Accent3 4 6" xfId="735" xr:uid="{00000000-0005-0000-0000-000067040000}"/>
    <cellStyle name="40% - Accent3 4 6 2" xfId="2965" xr:uid="{00000000-0005-0000-0000-000068040000}"/>
    <cellStyle name="40% - Accent3 4 7" xfId="2524" xr:uid="{00000000-0005-0000-0000-000069040000}"/>
    <cellStyle name="40% - Accent3 5" xfId="399" xr:uid="{00000000-0005-0000-0000-00006A040000}"/>
    <cellStyle name="40% - Accent3 5 2" xfId="1260" xr:uid="{00000000-0005-0000-0000-00006B040000}"/>
    <cellStyle name="40% - Accent3 5 2 2" xfId="3490" xr:uid="{00000000-0005-0000-0000-00006C040000}"/>
    <cellStyle name="40% - Accent3 5 3" xfId="1681" xr:uid="{00000000-0005-0000-0000-00006D040000}"/>
    <cellStyle name="40% - Accent3 5 3 2" xfId="3911" xr:uid="{00000000-0005-0000-0000-00006E040000}"/>
    <cellStyle name="40% - Accent3 5 4" xfId="2102" xr:uid="{00000000-0005-0000-0000-00006F040000}"/>
    <cellStyle name="40% - Accent3 5 4 2" xfId="4332" xr:uid="{00000000-0005-0000-0000-000070040000}"/>
    <cellStyle name="40% - Accent3 5 5" xfId="840" xr:uid="{00000000-0005-0000-0000-000071040000}"/>
    <cellStyle name="40% - Accent3 5 5 2" xfId="3070" xr:uid="{00000000-0005-0000-0000-000072040000}"/>
    <cellStyle name="40% - Accent3 5 6" xfId="2629" xr:uid="{00000000-0005-0000-0000-000073040000}"/>
    <cellStyle name="40% - Accent3 6" xfId="189" xr:uid="{00000000-0005-0000-0000-000074040000}"/>
    <cellStyle name="40% - Accent3 6 2" xfId="1050" xr:uid="{00000000-0005-0000-0000-000075040000}"/>
    <cellStyle name="40% - Accent3 6 2 2" xfId="3280" xr:uid="{00000000-0005-0000-0000-000076040000}"/>
    <cellStyle name="40% - Accent3 6 3" xfId="2419" xr:uid="{00000000-0005-0000-0000-000077040000}"/>
    <cellStyle name="40% - Accent3 7" xfId="567" xr:uid="{00000000-0005-0000-0000-000078040000}"/>
    <cellStyle name="40% - Accent3 7 2" xfId="1471" xr:uid="{00000000-0005-0000-0000-000079040000}"/>
    <cellStyle name="40% - Accent3 7 2 2" xfId="3701" xr:uid="{00000000-0005-0000-0000-00007A040000}"/>
    <cellStyle name="40% - Accent3 7 3" xfId="2797" xr:uid="{00000000-0005-0000-0000-00007B040000}"/>
    <cellStyle name="40% - Accent3 8" xfId="1892" xr:uid="{00000000-0005-0000-0000-00007C040000}"/>
    <cellStyle name="40% - Accent3 8 2" xfId="4122" xr:uid="{00000000-0005-0000-0000-00007D040000}"/>
    <cellStyle name="40% - Accent3 9" xfId="630" xr:uid="{00000000-0005-0000-0000-00007E040000}"/>
    <cellStyle name="40% - Accent3 9 2" xfId="2860" xr:uid="{00000000-0005-0000-0000-00007F040000}"/>
    <cellStyle name="40% - Accent4" xfId="84" builtinId="43" customBuiltin="1"/>
    <cellStyle name="40% - Accent4 10" xfId="2317" xr:uid="{00000000-0005-0000-0000-000081040000}"/>
    <cellStyle name="40% - Accent4 2" xfId="108" xr:uid="{00000000-0005-0000-0000-000082040000}"/>
    <cellStyle name="40% - Accent4 2 2" xfId="319" xr:uid="{00000000-0005-0000-0000-000083040000}"/>
    <cellStyle name="40% - Accent4 2 2 2" xfId="529" xr:uid="{00000000-0005-0000-0000-000084040000}"/>
    <cellStyle name="40% - Accent4 2 2 2 2" xfId="1390" xr:uid="{00000000-0005-0000-0000-000085040000}"/>
    <cellStyle name="40% - Accent4 2 2 2 2 2" xfId="3620" xr:uid="{00000000-0005-0000-0000-000086040000}"/>
    <cellStyle name="40% - Accent4 2 2 2 3" xfId="1811" xr:uid="{00000000-0005-0000-0000-000087040000}"/>
    <cellStyle name="40% - Accent4 2 2 2 3 2" xfId="4041" xr:uid="{00000000-0005-0000-0000-000088040000}"/>
    <cellStyle name="40% - Accent4 2 2 2 4" xfId="2232" xr:uid="{00000000-0005-0000-0000-000089040000}"/>
    <cellStyle name="40% - Accent4 2 2 2 4 2" xfId="4462" xr:uid="{00000000-0005-0000-0000-00008A040000}"/>
    <cellStyle name="40% - Accent4 2 2 2 5" xfId="970" xr:uid="{00000000-0005-0000-0000-00008B040000}"/>
    <cellStyle name="40% - Accent4 2 2 2 5 2" xfId="3200" xr:uid="{00000000-0005-0000-0000-00008C040000}"/>
    <cellStyle name="40% - Accent4 2 2 2 6" xfId="2759" xr:uid="{00000000-0005-0000-0000-00008D040000}"/>
    <cellStyle name="40% - Accent4 2 2 3" xfId="1180" xr:uid="{00000000-0005-0000-0000-00008E040000}"/>
    <cellStyle name="40% - Accent4 2 2 3 2" xfId="3410" xr:uid="{00000000-0005-0000-0000-00008F040000}"/>
    <cellStyle name="40% - Accent4 2 2 4" xfId="1601" xr:uid="{00000000-0005-0000-0000-000090040000}"/>
    <cellStyle name="40% - Accent4 2 2 4 2" xfId="3831" xr:uid="{00000000-0005-0000-0000-000091040000}"/>
    <cellStyle name="40% - Accent4 2 2 5" xfId="2022" xr:uid="{00000000-0005-0000-0000-000092040000}"/>
    <cellStyle name="40% - Accent4 2 2 5 2" xfId="4252" xr:uid="{00000000-0005-0000-0000-000093040000}"/>
    <cellStyle name="40% - Accent4 2 2 6" xfId="760" xr:uid="{00000000-0005-0000-0000-000094040000}"/>
    <cellStyle name="40% - Accent4 2 2 6 2" xfId="2990" xr:uid="{00000000-0005-0000-0000-000095040000}"/>
    <cellStyle name="40% - Accent4 2 2 7" xfId="2549" xr:uid="{00000000-0005-0000-0000-000096040000}"/>
    <cellStyle name="40% - Accent4 2 3" xfId="424" xr:uid="{00000000-0005-0000-0000-000097040000}"/>
    <cellStyle name="40% - Accent4 2 3 2" xfId="1285" xr:uid="{00000000-0005-0000-0000-000098040000}"/>
    <cellStyle name="40% - Accent4 2 3 2 2" xfId="3515" xr:uid="{00000000-0005-0000-0000-000099040000}"/>
    <cellStyle name="40% - Accent4 2 3 3" xfId="1706" xr:uid="{00000000-0005-0000-0000-00009A040000}"/>
    <cellStyle name="40% - Accent4 2 3 3 2" xfId="3936" xr:uid="{00000000-0005-0000-0000-00009B040000}"/>
    <cellStyle name="40% - Accent4 2 3 4" xfId="2127" xr:uid="{00000000-0005-0000-0000-00009C040000}"/>
    <cellStyle name="40% - Accent4 2 3 4 2" xfId="4357" xr:uid="{00000000-0005-0000-0000-00009D040000}"/>
    <cellStyle name="40% - Accent4 2 3 5" xfId="865" xr:uid="{00000000-0005-0000-0000-00009E040000}"/>
    <cellStyle name="40% - Accent4 2 3 5 2" xfId="3095" xr:uid="{00000000-0005-0000-0000-00009F040000}"/>
    <cellStyle name="40% - Accent4 2 3 6" xfId="2654" xr:uid="{00000000-0005-0000-0000-0000A0040000}"/>
    <cellStyle name="40% - Accent4 2 4" xfId="214" xr:uid="{00000000-0005-0000-0000-0000A1040000}"/>
    <cellStyle name="40% - Accent4 2 4 2" xfId="1075" xr:uid="{00000000-0005-0000-0000-0000A2040000}"/>
    <cellStyle name="40% - Accent4 2 4 2 2" xfId="3305" xr:uid="{00000000-0005-0000-0000-0000A3040000}"/>
    <cellStyle name="40% - Accent4 2 4 3" xfId="2444" xr:uid="{00000000-0005-0000-0000-0000A4040000}"/>
    <cellStyle name="40% - Accent4 2 5" xfId="1496" xr:uid="{00000000-0005-0000-0000-0000A5040000}"/>
    <cellStyle name="40% - Accent4 2 5 2" xfId="3726" xr:uid="{00000000-0005-0000-0000-0000A6040000}"/>
    <cellStyle name="40% - Accent4 2 6" xfId="1917" xr:uid="{00000000-0005-0000-0000-0000A7040000}"/>
    <cellStyle name="40% - Accent4 2 6 2" xfId="4147" xr:uid="{00000000-0005-0000-0000-0000A8040000}"/>
    <cellStyle name="40% - Accent4 2 7" xfId="655" xr:uid="{00000000-0005-0000-0000-0000A9040000}"/>
    <cellStyle name="40% - Accent4 2 7 2" xfId="2885" xr:uid="{00000000-0005-0000-0000-0000AA040000}"/>
    <cellStyle name="40% - Accent4 2 8" xfId="2339" xr:uid="{00000000-0005-0000-0000-0000AB040000}"/>
    <cellStyle name="40% - Accent4 3" xfId="128" xr:uid="{00000000-0005-0000-0000-0000AC040000}"/>
    <cellStyle name="40% - Accent4 3 2" xfId="339" xr:uid="{00000000-0005-0000-0000-0000AD040000}"/>
    <cellStyle name="40% - Accent4 3 2 2" xfId="549" xr:uid="{00000000-0005-0000-0000-0000AE040000}"/>
    <cellStyle name="40% - Accent4 3 2 2 2" xfId="1410" xr:uid="{00000000-0005-0000-0000-0000AF040000}"/>
    <cellStyle name="40% - Accent4 3 2 2 2 2" xfId="3640" xr:uid="{00000000-0005-0000-0000-0000B0040000}"/>
    <cellStyle name="40% - Accent4 3 2 2 3" xfId="1831" xr:uid="{00000000-0005-0000-0000-0000B1040000}"/>
    <cellStyle name="40% - Accent4 3 2 2 3 2" xfId="4061" xr:uid="{00000000-0005-0000-0000-0000B2040000}"/>
    <cellStyle name="40% - Accent4 3 2 2 4" xfId="2252" xr:uid="{00000000-0005-0000-0000-0000B3040000}"/>
    <cellStyle name="40% - Accent4 3 2 2 4 2" xfId="4482" xr:uid="{00000000-0005-0000-0000-0000B4040000}"/>
    <cellStyle name="40% - Accent4 3 2 2 5" xfId="990" xr:uid="{00000000-0005-0000-0000-0000B5040000}"/>
    <cellStyle name="40% - Accent4 3 2 2 5 2" xfId="3220" xr:uid="{00000000-0005-0000-0000-0000B6040000}"/>
    <cellStyle name="40% - Accent4 3 2 2 6" xfId="2779" xr:uid="{00000000-0005-0000-0000-0000B7040000}"/>
    <cellStyle name="40% - Accent4 3 2 3" xfId="1200" xr:uid="{00000000-0005-0000-0000-0000B8040000}"/>
    <cellStyle name="40% - Accent4 3 2 3 2" xfId="3430" xr:uid="{00000000-0005-0000-0000-0000B9040000}"/>
    <cellStyle name="40% - Accent4 3 2 4" xfId="1621" xr:uid="{00000000-0005-0000-0000-0000BA040000}"/>
    <cellStyle name="40% - Accent4 3 2 4 2" xfId="3851" xr:uid="{00000000-0005-0000-0000-0000BB040000}"/>
    <cellStyle name="40% - Accent4 3 2 5" xfId="2042" xr:uid="{00000000-0005-0000-0000-0000BC040000}"/>
    <cellStyle name="40% - Accent4 3 2 5 2" xfId="4272" xr:uid="{00000000-0005-0000-0000-0000BD040000}"/>
    <cellStyle name="40% - Accent4 3 2 6" xfId="780" xr:uid="{00000000-0005-0000-0000-0000BE040000}"/>
    <cellStyle name="40% - Accent4 3 2 6 2" xfId="3010" xr:uid="{00000000-0005-0000-0000-0000BF040000}"/>
    <cellStyle name="40% - Accent4 3 2 7" xfId="2569" xr:uid="{00000000-0005-0000-0000-0000C0040000}"/>
    <cellStyle name="40% - Accent4 3 3" xfId="444" xr:uid="{00000000-0005-0000-0000-0000C1040000}"/>
    <cellStyle name="40% - Accent4 3 3 2" xfId="1305" xr:uid="{00000000-0005-0000-0000-0000C2040000}"/>
    <cellStyle name="40% - Accent4 3 3 2 2" xfId="3535" xr:uid="{00000000-0005-0000-0000-0000C3040000}"/>
    <cellStyle name="40% - Accent4 3 3 3" xfId="1726" xr:uid="{00000000-0005-0000-0000-0000C4040000}"/>
    <cellStyle name="40% - Accent4 3 3 3 2" xfId="3956" xr:uid="{00000000-0005-0000-0000-0000C5040000}"/>
    <cellStyle name="40% - Accent4 3 3 4" xfId="2147" xr:uid="{00000000-0005-0000-0000-0000C6040000}"/>
    <cellStyle name="40% - Accent4 3 3 4 2" xfId="4377" xr:uid="{00000000-0005-0000-0000-0000C7040000}"/>
    <cellStyle name="40% - Accent4 3 3 5" xfId="885" xr:uid="{00000000-0005-0000-0000-0000C8040000}"/>
    <cellStyle name="40% - Accent4 3 3 5 2" xfId="3115" xr:uid="{00000000-0005-0000-0000-0000C9040000}"/>
    <cellStyle name="40% - Accent4 3 3 6" xfId="2674" xr:uid="{00000000-0005-0000-0000-0000CA040000}"/>
    <cellStyle name="40% - Accent4 3 4" xfId="234" xr:uid="{00000000-0005-0000-0000-0000CB040000}"/>
    <cellStyle name="40% - Accent4 3 4 2" xfId="1095" xr:uid="{00000000-0005-0000-0000-0000CC040000}"/>
    <cellStyle name="40% - Accent4 3 4 2 2" xfId="3325" xr:uid="{00000000-0005-0000-0000-0000CD040000}"/>
    <cellStyle name="40% - Accent4 3 4 3" xfId="2464" xr:uid="{00000000-0005-0000-0000-0000CE040000}"/>
    <cellStyle name="40% - Accent4 3 5" xfId="1516" xr:uid="{00000000-0005-0000-0000-0000CF040000}"/>
    <cellStyle name="40% - Accent4 3 5 2" xfId="3746" xr:uid="{00000000-0005-0000-0000-0000D0040000}"/>
    <cellStyle name="40% - Accent4 3 6" xfId="1937" xr:uid="{00000000-0005-0000-0000-0000D1040000}"/>
    <cellStyle name="40% - Accent4 3 6 2" xfId="4167" xr:uid="{00000000-0005-0000-0000-0000D2040000}"/>
    <cellStyle name="40% - Accent4 3 7" xfId="675" xr:uid="{00000000-0005-0000-0000-0000D3040000}"/>
    <cellStyle name="40% - Accent4 3 7 2" xfId="2905" xr:uid="{00000000-0005-0000-0000-0000D4040000}"/>
    <cellStyle name="40% - Accent4 3 8" xfId="2359" xr:uid="{00000000-0005-0000-0000-0000D5040000}"/>
    <cellStyle name="40% - Accent4 4" xfId="297" xr:uid="{00000000-0005-0000-0000-0000D6040000}"/>
    <cellStyle name="40% - Accent4 4 2" xfId="507" xr:uid="{00000000-0005-0000-0000-0000D7040000}"/>
    <cellStyle name="40% - Accent4 4 2 2" xfId="1368" xr:uid="{00000000-0005-0000-0000-0000D8040000}"/>
    <cellStyle name="40% - Accent4 4 2 2 2" xfId="3598" xr:uid="{00000000-0005-0000-0000-0000D9040000}"/>
    <cellStyle name="40% - Accent4 4 2 3" xfId="1789" xr:uid="{00000000-0005-0000-0000-0000DA040000}"/>
    <cellStyle name="40% - Accent4 4 2 3 2" xfId="4019" xr:uid="{00000000-0005-0000-0000-0000DB040000}"/>
    <cellStyle name="40% - Accent4 4 2 4" xfId="2210" xr:uid="{00000000-0005-0000-0000-0000DC040000}"/>
    <cellStyle name="40% - Accent4 4 2 4 2" xfId="4440" xr:uid="{00000000-0005-0000-0000-0000DD040000}"/>
    <cellStyle name="40% - Accent4 4 2 5" xfId="948" xr:uid="{00000000-0005-0000-0000-0000DE040000}"/>
    <cellStyle name="40% - Accent4 4 2 5 2" xfId="3178" xr:uid="{00000000-0005-0000-0000-0000DF040000}"/>
    <cellStyle name="40% - Accent4 4 2 6" xfId="2737" xr:uid="{00000000-0005-0000-0000-0000E0040000}"/>
    <cellStyle name="40% - Accent4 4 3" xfId="1158" xr:uid="{00000000-0005-0000-0000-0000E1040000}"/>
    <cellStyle name="40% - Accent4 4 3 2" xfId="3388" xr:uid="{00000000-0005-0000-0000-0000E2040000}"/>
    <cellStyle name="40% - Accent4 4 4" xfId="1579" xr:uid="{00000000-0005-0000-0000-0000E3040000}"/>
    <cellStyle name="40% - Accent4 4 4 2" xfId="3809" xr:uid="{00000000-0005-0000-0000-0000E4040000}"/>
    <cellStyle name="40% - Accent4 4 5" xfId="2000" xr:uid="{00000000-0005-0000-0000-0000E5040000}"/>
    <cellStyle name="40% - Accent4 4 5 2" xfId="4230" xr:uid="{00000000-0005-0000-0000-0000E6040000}"/>
    <cellStyle name="40% - Accent4 4 6" xfId="738" xr:uid="{00000000-0005-0000-0000-0000E7040000}"/>
    <cellStyle name="40% - Accent4 4 6 2" xfId="2968" xr:uid="{00000000-0005-0000-0000-0000E8040000}"/>
    <cellStyle name="40% - Accent4 4 7" xfId="2527" xr:uid="{00000000-0005-0000-0000-0000E9040000}"/>
    <cellStyle name="40% - Accent4 5" xfId="402" xr:uid="{00000000-0005-0000-0000-0000EA040000}"/>
    <cellStyle name="40% - Accent4 5 2" xfId="1263" xr:uid="{00000000-0005-0000-0000-0000EB040000}"/>
    <cellStyle name="40% - Accent4 5 2 2" xfId="3493" xr:uid="{00000000-0005-0000-0000-0000EC040000}"/>
    <cellStyle name="40% - Accent4 5 3" xfId="1684" xr:uid="{00000000-0005-0000-0000-0000ED040000}"/>
    <cellStyle name="40% - Accent4 5 3 2" xfId="3914" xr:uid="{00000000-0005-0000-0000-0000EE040000}"/>
    <cellStyle name="40% - Accent4 5 4" xfId="2105" xr:uid="{00000000-0005-0000-0000-0000EF040000}"/>
    <cellStyle name="40% - Accent4 5 4 2" xfId="4335" xr:uid="{00000000-0005-0000-0000-0000F0040000}"/>
    <cellStyle name="40% - Accent4 5 5" xfId="843" xr:uid="{00000000-0005-0000-0000-0000F1040000}"/>
    <cellStyle name="40% - Accent4 5 5 2" xfId="3073" xr:uid="{00000000-0005-0000-0000-0000F2040000}"/>
    <cellStyle name="40% - Accent4 5 6" xfId="2632" xr:uid="{00000000-0005-0000-0000-0000F3040000}"/>
    <cellStyle name="40% - Accent4 6" xfId="192" xr:uid="{00000000-0005-0000-0000-0000F4040000}"/>
    <cellStyle name="40% - Accent4 6 2" xfId="1053" xr:uid="{00000000-0005-0000-0000-0000F5040000}"/>
    <cellStyle name="40% - Accent4 6 2 2" xfId="3283" xr:uid="{00000000-0005-0000-0000-0000F6040000}"/>
    <cellStyle name="40% - Accent4 6 3" xfId="2422" xr:uid="{00000000-0005-0000-0000-0000F7040000}"/>
    <cellStyle name="40% - Accent4 7" xfId="570" xr:uid="{00000000-0005-0000-0000-0000F8040000}"/>
    <cellStyle name="40% - Accent4 7 2" xfId="1474" xr:uid="{00000000-0005-0000-0000-0000F9040000}"/>
    <cellStyle name="40% - Accent4 7 2 2" xfId="3704" xr:uid="{00000000-0005-0000-0000-0000FA040000}"/>
    <cellStyle name="40% - Accent4 7 3" xfId="2800" xr:uid="{00000000-0005-0000-0000-0000FB040000}"/>
    <cellStyle name="40% - Accent4 8" xfId="1895" xr:uid="{00000000-0005-0000-0000-0000FC040000}"/>
    <cellStyle name="40% - Accent4 8 2" xfId="4125" xr:uid="{00000000-0005-0000-0000-0000FD040000}"/>
    <cellStyle name="40% - Accent4 9" xfId="633" xr:uid="{00000000-0005-0000-0000-0000FE040000}"/>
    <cellStyle name="40% - Accent4 9 2" xfId="2863" xr:uid="{00000000-0005-0000-0000-0000FF040000}"/>
    <cellStyle name="40% - Accent5" xfId="88" builtinId="47" customBuiltin="1"/>
    <cellStyle name="40% - Accent5 10" xfId="2320" xr:uid="{00000000-0005-0000-0000-000001050000}"/>
    <cellStyle name="40% - Accent5 2" xfId="111" xr:uid="{00000000-0005-0000-0000-000002050000}"/>
    <cellStyle name="40% - Accent5 2 2" xfId="322" xr:uid="{00000000-0005-0000-0000-000003050000}"/>
    <cellStyle name="40% - Accent5 2 2 2" xfId="532" xr:uid="{00000000-0005-0000-0000-000004050000}"/>
    <cellStyle name="40% - Accent5 2 2 2 2" xfId="1393" xr:uid="{00000000-0005-0000-0000-000005050000}"/>
    <cellStyle name="40% - Accent5 2 2 2 2 2" xfId="3623" xr:uid="{00000000-0005-0000-0000-000006050000}"/>
    <cellStyle name="40% - Accent5 2 2 2 3" xfId="1814" xr:uid="{00000000-0005-0000-0000-000007050000}"/>
    <cellStyle name="40% - Accent5 2 2 2 3 2" xfId="4044" xr:uid="{00000000-0005-0000-0000-000008050000}"/>
    <cellStyle name="40% - Accent5 2 2 2 4" xfId="2235" xr:uid="{00000000-0005-0000-0000-000009050000}"/>
    <cellStyle name="40% - Accent5 2 2 2 4 2" xfId="4465" xr:uid="{00000000-0005-0000-0000-00000A050000}"/>
    <cellStyle name="40% - Accent5 2 2 2 5" xfId="973" xr:uid="{00000000-0005-0000-0000-00000B050000}"/>
    <cellStyle name="40% - Accent5 2 2 2 5 2" xfId="3203" xr:uid="{00000000-0005-0000-0000-00000C050000}"/>
    <cellStyle name="40% - Accent5 2 2 2 6" xfId="2762" xr:uid="{00000000-0005-0000-0000-00000D050000}"/>
    <cellStyle name="40% - Accent5 2 2 3" xfId="1183" xr:uid="{00000000-0005-0000-0000-00000E050000}"/>
    <cellStyle name="40% - Accent5 2 2 3 2" xfId="3413" xr:uid="{00000000-0005-0000-0000-00000F050000}"/>
    <cellStyle name="40% - Accent5 2 2 4" xfId="1604" xr:uid="{00000000-0005-0000-0000-000010050000}"/>
    <cellStyle name="40% - Accent5 2 2 4 2" xfId="3834" xr:uid="{00000000-0005-0000-0000-000011050000}"/>
    <cellStyle name="40% - Accent5 2 2 5" xfId="2025" xr:uid="{00000000-0005-0000-0000-000012050000}"/>
    <cellStyle name="40% - Accent5 2 2 5 2" xfId="4255" xr:uid="{00000000-0005-0000-0000-000013050000}"/>
    <cellStyle name="40% - Accent5 2 2 6" xfId="763" xr:uid="{00000000-0005-0000-0000-000014050000}"/>
    <cellStyle name="40% - Accent5 2 2 6 2" xfId="2993" xr:uid="{00000000-0005-0000-0000-000015050000}"/>
    <cellStyle name="40% - Accent5 2 2 7" xfId="2552" xr:uid="{00000000-0005-0000-0000-000016050000}"/>
    <cellStyle name="40% - Accent5 2 3" xfId="427" xr:uid="{00000000-0005-0000-0000-000017050000}"/>
    <cellStyle name="40% - Accent5 2 3 2" xfId="1288" xr:uid="{00000000-0005-0000-0000-000018050000}"/>
    <cellStyle name="40% - Accent5 2 3 2 2" xfId="3518" xr:uid="{00000000-0005-0000-0000-000019050000}"/>
    <cellStyle name="40% - Accent5 2 3 3" xfId="1709" xr:uid="{00000000-0005-0000-0000-00001A050000}"/>
    <cellStyle name="40% - Accent5 2 3 3 2" xfId="3939" xr:uid="{00000000-0005-0000-0000-00001B050000}"/>
    <cellStyle name="40% - Accent5 2 3 4" xfId="2130" xr:uid="{00000000-0005-0000-0000-00001C050000}"/>
    <cellStyle name="40% - Accent5 2 3 4 2" xfId="4360" xr:uid="{00000000-0005-0000-0000-00001D050000}"/>
    <cellStyle name="40% - Accent5 2 3 5" xfId="868" xr:uid="{00000000-0005-0000-0000-00001E050000}"/>
    <cellStyle name="40% - Accent5 2 3 5 2" xfId="3098" xr:uid="{00000000-0005-0000-0000-00001F050000}"/>
    <cellStyle name="40% - Accent5 2 3 6" xfId="2657" xr:uid="{00000000-0005-0000-0000-000020050000}"/>
    <cellStyle name="40% - Accent5 2 4" xfId="217" xr:uid="{00000000-0005-0000-0000-000021050000}"/>
    <cellStyle name="40% - Accent5 2 4 2" xfId="1078" xr:uid="{00000000-0005-0000-0000-000022050000}"/>
    <cellStyle name="40% - Accent5 2 4 2 2" xfId="3308" xr:uid="{00000000-0005-0000-0000-000023050000}"/>
    <cellStyle name="40% - Accent5 2 4 3" xfId="2447" xr:uid="{00000000-0005-0000-0000-000024050000}"/>
    <cellStyle name="40% - Accent5 2 5" xfId="1499" xr:uid="{00000000-0005-0000-0000-000025050000}"/>
    <cellStyle name="40% - Accent5 2 5 2" xfId="3729" xr:uid="{00000000-0005-0000-0000-000026050000}"/>
    <cellStyle name="40% - Accent5 2 6" xfId="1920" xr:uid="{00000000-0005-0000-0000-000027050000}"/>
    <cellStyle name="40% - Accent5 2 6 2" xfId="4150" xr:uid="{00000000-0005-0000-0000-000028050000}"/>
    <cellStyle name="40% - Accent5 2 7" xfId="658" xr:uid="{00000000-0005-0000-0000-000029050000}"/>
    <cellStyle name="40% - Accent5 2 7 2" xfId="2888" xr:uid="{00000000-0005-0000-0000-00002A050000}"/>
    <cellStyle name="40% - Accent5 2 8" xfId="2342" xr:uid="{00000000-0005-0000-0000-00002B050000}"/>
    <cellStyle name="40% - Accent5 3" xfId="131" xr:uid="{00000000-0005-0000-0000-00002C050000}"/>
    <cellStyle name="40% - Accent5 3 2" xfId="342" xr:uid="{00000000-0005-0000-0000-00002D050000}"/>
    <cellStyle name="40% - Accent5 3 2 2" xfId="552" xr:uid="{00000000-0005-0000-0000-00002E050000}"/>
    <cellStyle name="40% - Accent5 3 2 2 2" xfId="1413" xr:uid="{00000000-0005-0000-0000-00002F050000}"/>
    <cellStyle name="40% - Accent5 3 2 2 2 2" xfId="3643" xr:uid="{00000000-0005-0000-0000-000030050000}"/>
    <cellStyle name="40% - Accent5 3 2 2 3" xfId="1834" xr:uid="{00000000-0005-0000-0000-000031050000}"/>
    <cellStyle name="40% - Accent5 3 2 2 3 2" xfId="4064" xr:uid="{00000000-0005-0000-0000-000032050000}"/>
    <cellStyle name="40% - Accent5 3 2 2 4" xfId="2255" xr:uid="{00000000-0005-0000-0000-000033050000}"/>
    <cellStyle name="40% - Accent5 3 2 2 4 2" xfId="4485" xr:uid="{00000000-0005-0000-0000-000034050000}"/>
    <cellStyle name="40% - Accent5 3 2 2 5" xfId="993" xr:uid="{00000000-0005-0000-0000-000035050000}"/>
    <cellStyle name="40% - Accent5 3 2 2 5 2" xfId="3223" xr:uid="{00000000-0005-0000-0000-000036050000}"/>
    <cellStyle name="40% - Accent5 3 2 2 6" xfId="2782" xr:uid="{00000000-0005-0000-0000-000037050000}"/>
    <cellStyle name="40% - Accent5 3 2 3" xfId="1203" xr:uid="{00000000-0005-0000-0000-000038050000}"/>
    <cellStyle name="40% - Accent5 3 2 3 2" xfId="3433" xr:uid="{00000000-0005-0000-0000-000039050000}"/>
    <cellStyle name="40% - Accent5 3 2 4" xfId="1624" xr:uid="{00000000-0005-0000-0000-00003A050000}"/>
    <cellStyle name="40% - Accent5 3 2 4 2" xfId="3854" xr:uid="{00000000-0005-0000-0000-00003B050000}"/>
    <cellStyle name="40% - Accent5 3 2 5" xfId="2045" xr:uid="{00000000-0005-0000-0000-00003C050000}"/>
    <cellStyle name="40% - Accent5 3 2 5 2" xfId="4275" xr:uid="{00000000-0005-0000-0000-00003D050000}"/>
    <cellStyle name="40% - Accent5 3 2 6" xfId="783" xr:uid="{00000000-0005-0000-0000-00003E050000}"/>
    <cellStyle name="40% - Accent5 3 2 6 2" xfId="3013" xr:uid="{00000000-0005-0000-0000-00003F050000}"/>
    <cellStyle name="40% - Accent5 3 2 7" xfId="2572" xr:uid="{00000000-0005-0000-0000-000040050000}"/>
    <cellStyle name="40% - Accent5 3 3" xfId="447" xr:uid="{00000000-0005-0000-0000-000041050000}"/>
    <cellStyle name="40% - Accent5 3 3 2" xfId="1308" xr:uid="{00000000-0005-0000-0000-000042050000}"/>
    <cellStyle name="40% - Accent5 3 3 2 2" xfId="3538" xr:uid="{00000000-0005-0000-0000-000043050000}"/>
    <cellStyle name="40% - Accent5 3 3 3" xfId="1729" xr:uid="{00000000-0005-0000-0000-000044050000}"/>
    <cellStyle name="40% - Accent5 3 3 3 2" xfId="3959" xr:uid="{00000000-0005-0000-0000-000045050000}"/>
    <cellStyle name="40% - Accent5 3 3 4" xfId="2150" xr:uid="{00000000-0005-0000-0000-000046050000}"/>
    <cellStyle name="40% - Accent5 3 3 4 2" xfId="4380" xr:uid="{00000000-0005-0000-0000-000047050000}"/>
    <cellStyle name="40% - Accent5 3 3 5" xfId="888" xr:uid="{00000000-0005-0000-0000-000048050000}"/>
    <cellStyle name="40% - Accent5 3 3 5 2" xfId="3118" xr:uid="{00000000-0005-0000-0000-000049050000}"/>
    <cellStyle name="40% - Accent5 3 3 6" xfId="2677" xr:uid="{00000000-0005-0000-0000-00004A050000}"/>
    <cellStyle name="40% - Accent5 3 4" xfId="237" xr:uid="{00000000-0005-0000-0000-00004B050000}"/>
    <cellStyle name="40% - Accent5 3 4 2" xfId="1098" xr:uid="{00000000-0005-0000-0000-00004C050000}"/>
    <cellStyle name="40% - Accent5 3 4 2 2" xfId="3328" xr:uid="{00000000-0005-0000-0000-00004D050000}"/>
    <cellStyle name="40% - Accent5 3 4 3" xfId="2467" xr:uid="{00000000-0005-0000-0000-00004E050000}"/>
    <cellStyle name="40% - Accent5 3 5" xfId="1519" xr:uid="{00000000-0005-0000-0000-00004F050000}"/>
    <cellStyle name="40% - Accent5 3 5 2" xfId="3749" xr:uid="{00000000-0005-0000-0000-000050050000}"/>
    <cellStyle name="40% - Accent5 3 6" xfId="1940" xr:uid="{00000000-0005-0000-0000-000051050000}"/>
    <cellStyle name="40% - Accent5 3 6 2" xfId="4170" xr:uid="{00000000-0005-0000-0000-000052050000}"/>
    <cellStyle name="40% - Accent5 3 7" xfId="678" xr:uid="{00000000-0005-0000-0000-000053050000}"/>
    <cellStyle name="40% - Accent5 3 7 2" xfId="2908" xr:uid="{00000000-0005-0000-0000-000054050000}"/>
    <cellStyle name="40% - Accent5 3 8" xfId="2362" xr:uid="{00000000-0005-0000-0000-000055050000}"/>
    <cellStyle name="40% - Accent5 4" xfId="300" xr:uid="{00000000-0005-0000-0000-000056050000}"/>
    <cellStyle name="40% - Accent5 4 2" xfId="510" xr:uid="{00000000-0005-0000-0000-000057050000}"/>
    <cellStyle name="40% - Accent5 4 2 2" xfId="1371" xr:uid="{00000000-0005-0000-0000-000058050000}"/>
    <cellStyle name="40% - Accent5 4 2 2 2" xfId="3601" xr:uid="{00000000-0005-0000-0000-000059050000}"/>
    <cellStyle name="40% - Accent5 4 2 3" xfId="1792" xr:uid="{00000000-0005-0000-0000-00005A050000}"/>
    <cellStyle name="40% - Accent5 4 2 3 2" xfId="4022" xr:uid="{00000000-0005-0000-0000-00005B050000}"/>
    <cellStyle name="40% - Accent5 4 2 4" xfId="2213" xr:uid="{00000000-0005-0000-0000-00005C050000}"/>
    <cellStyle name="40% - Accent5 4 2 4 2" xfId="4443" xr:uid="{00000000-0005-0000-0000-00005D050000}"/>
    <cellStyle name="40% - Accent5 4 2 5" xfId="951" xr:uid="{00000000-0005-0000-0000-00005E050000}"/>
    <cellStyle name="40% - Accent5 4 2 5 2" xfId="3181" xr:uid="{00000000-0005-0000-0000-00005F050000}"/>
    <cellStyle name="40% - Accent5 4 2 6" xfId="2740" xr:uid="{00000000-0005-0000-0000-000060050000}"/>
    <cellStyle name="40% - Accent5 4 3" xfId="1161" xr:uid="{00000000-0005-0000-0000-000061050000}"/>
    <cellStyle name="40% - Accent5 4 3 2" xfId="3391" xr:uid="{00000000-0005-0000-0000-000062050000}"/>
    <cellStyle name="40% - Accent5 4 4" xfId="1582" xr:uid="{00000000-0005-0000-0000-000063050000}"/>
    <cellStyle name="40% - Accent5 4 4 2" xfId="3812" xr:uid="{00000000-0005-0000-0000-000064050000}"/>
    <cellStyle name="40% - Accent5 4 5" xfId="2003" xr:uid="{00000000-0005-0000-0000-000065050000}"/>
    <cellStyle name="40% - Accent5 4 5 2" xfId="4233" xr:uid="{00000000-0005-0000-0000-000066050000}"/>
    <cellStyle name="40% - Accent5 4 6" xfId="741" xr:uid="{00000000-0005-0000-0000-000067050000}"/>
    <cellStyle name="40% - Accent5 4 6 2" xfId="2971" xr:uid="{00000000-0005-0000-0000-000068050000}"/>
    <cellStyle name="40% - Accent5 4 7" xfId="2530" xr:uid="{00000000-0005-0000-0000-000069050000}"/>
    <cellStyle name="40% - Accent5 5" xfId="405" xr:uid="{00000000-0005-0000-0000-00006A050000}"/>
    <cellStyle name="40% - Accent5 5 2" xfId="1266" xr:uid="{00000000-0005-0000-0000-00006B050000}"/>
    <cellStyle name="40% - Accent5 5 2 2" xfId="3496" xr:uid="{00000000-0005-0000-0000-00006C050000}"/>
    <cellStyle name="40% - Accent5 5 3" xfId="1687" xr:uid="{00000000-0005-0000-0000-00006D050000}"/>
    <cellStyle name="40% - Accent5 5 3 2" xfId="3917" xr:uid="{00000000-0005-0000-0000-00006E050000}"/>
    <cellStyle name="40% - Accent5 5 4" xfId="2108" xr:uid="{00000000-0005-0000-0000-00006F050000}"/>
    <cellStyle name="40% - Accent5 5 4 2" xfId="4338" xr:uid="{00000000-0005-0000-0000-000070050000}"/>
    <cellStyle name="40% - Accent5 5 5" xfId="846" xr:uid="{00000000-0005-0000-0000-000071050000}"/>
    <cellStyle name="40% - Accent5 5 5 2" xfId="3076" xr:uid="{00000000-0005-0000-0000-000072050000}"/>
    <cellStyle name="40% - Accent5 5 6" xfId="2635" xr:uid="{00000000-0005-0000-0000-000073050000}"/>
    <cellStyle name="40% - Accent5 6" xfId="195" xr:uid="{00000000-0005-0000-0000-000074050000}"/>
    <cellStyle name="40% - Accent5 6 2" xfId="1056" xr:uid="{00000000-0005-0000-0000-000075050000}"/>
    <cellStyle name="40% - Accent5 6 2 2" xfId="3286" xr:uid="{00000000-0005-0000-0000-000076050000}"/>
    <cellStyle name="40% - Accent5 6 3" xfId="2425" xr:uid="{00000000-0005-0000-0000-000077050000}"/>
    <cellStyle name="40% - Accent5 7" xfId="573" xr:uid="{00000000-0005-0000-0000-000078050000}"/>
    <cellStyle name="40% - Accent5 7 2" xfId="1477" xr:uid="{00000000-0005-0000-0000-000079050000}"/>
    <cellStyle name="40% - Accent5 7 2 2" xfId="3707" xr:uid="{00000000-0005-0000-0000-00007A050000}"/>
    <cellStyle name="40% - Accent5 7 3" xfId="2803" xr:uid="{00000000-0005-0000-0000-00007B050000}"/>
    <cellStyle name="40% - Accent5 8" xfId="1898" xr:uid="{00000000-0005-0000-0000-00007C050000}"/>
    <cellStyle name="40% - Accent5 8 2" xfId="4128" xr:uid="{00000000-0005-0000-0000-00007D050000}"/>
    <cellStyle name="40% - Accent5 9" xfId="636" xr:uid="{00000000-0005-0000-0000-00007E050000}"/>
    <cellStyle name="40% - Accent5 9 2" xfId="2866" xr:uid="{00000000-0005-0000-0000-00007F050000}"/>
    <cellStyle name="40% - Accent6" xfId="92" builtinId="51" customBuiltin="1"/>
    <cellStyle name="40% - Accent6 10" xfId="2323" xr:uid="{00000000-0005-0000-0000-000081050000}"/>
    <cellStyle name="40% - Accent6 2" xfId="114" xr:uid="{00000000-0005-0000-0000-000082050000}"/>
    <cellStyle name="40% - Accent6 2 2" xfId="325" xr:uid="{00000000-0005-0000-0000-000083050000}"/>
    <cellStyle name="40% - Accent6 2 2 2" xfId="535" xr:uid="{00000000-0005-0000-0000-000084050000}"/>
    <cellStyle name="40% - Accent6 2 2 2 2" xfId="1396" xr:uid="{00000000-0005-0000-0000-000085050000}"/>
    <cellStyle name="40% - Accent6 2 2 2 2 2" xfId="3626" xr:uid="{00000000-0005-0000-0000-000086050000}"/>
    <cellStyle name="40% - Accent6 2 2 2 3" xfId="1817" xr:uid="{00000000-0005-0000-0000-000087050000}"/>
    <cellStyle name="40% - Accent6 2 2 2 3 2" xfId="4047" xr:uid="{00000000-0005-0000-0000-000088050000}"/>
    <cellStyle name="40% - Accent6 2 2 2 4" xfId="2238" xr:uid="{00000000-0005-0000-0000-000089050000}"/>
    <cellStyle name="40% - Accent6 2 2 2 4 2" xfId="4468" xr:uid="{00000000-0005-0000-0000-00008A050000}"/>
    <cellStyle name="40% - Accent6 2 2 2 5" xfId="976" xr:uid="{00000000-0005-0000-0000-00008B050000}"/>
    <cellStyle name="40% - Accent6 2 2 2 5 2" xfId="3206" xr:uid="{00000000-0005-0000-0000-00008C050000}"/>
    <cellStyle name="40% - Accent6 2 2 2 6" xfId="2765" xr:uid="{00000000-0005-0000-0000-00008D050000}"/>
    <cellStyle name="40% - Accent6 2 2 3" xfId="1186" xr:uid="{00000000-0005-0000-0000-00008E050000}"/>
    <cellStyle name="40% - Accent6 2 2 3 2" xfId="3416" xr:uid="{00000000-0005-0000-0000-00008F050000}"/>
    <cellStyle name="40% - Accent6 2 2 4" xfId="1607" xr:uid="{00000000-0005-0000-0000-000090050000}"/>
    <cellStyle name="40% - Accent6 2 2 4 2" xfId="3837" xr:uid="{00000000-0005-0000-0000-000091050000}"/>
    <cellStyle name="40% - Accent6 2 2 5" xfId="2028" xr:uid="{00000000-0005-0000-0000-000092050000}"/>
    <cellStyle name="40% - Accent6 2 2 5 2" xfId="4258" xr:uid="{00000000-0005-0000-0000-000093050000}"/>
    <cellStyle name="40% - Accent6 2 2 6" xfId="766" xr:uid="{00000000-0005-0000-0000-000094050000}"/>
    <cellStyle name="40% - Accent6 2 2 6 2" xfId="2996" xr:uid="{00000000-0005-0000-0000-000095050000}"/>
    <cellStyle name="40% - Accent6 2 2 7" xfId="2555" xr:uid="{00000000-0005-0000-0000-000096050000}"/>
    <cellStyle name="40% - Accent6 2 3" xfId="430" xr:uid="{00000000-0005-0000-0000-000097050000}"/>
    <cellStyle name="40% - Accent6 2 3 2" xfId="1291" xr:uid="{00000000-0005-0000-0000-000098050000}"/>
    <cellStyle name="40% - Accent6 2 3 2 2" xfId="3521" xr:uid="{00000000-0005-0000-0000-000099050000}"/>
    <cellStyle name="40% - Accent6 2 3 3" xfId="1712" xr:uid="{00000000-0005-0000-0000-00009A050000}"/>
    <cellStyle name="40% - Accent6 2 3 3 2" xfId="3942" xr:uid="{00000000-0005-0000-0000-00009B050000}"/>
    <cellStyle name="40% - Accent6 2 3 4" xfId="2133" xr:uid="{00000000-0005-0000-0000-00009C050000}"/>
    <cellStyle name="40% - Accent6 2 3 4 2" xfId="4363" xr:uid="{00000000-0005-0000-0000-00009D050000}"/>
    <cellStyle name="40% - Accent6 2 3 5" xfId="871" xr:uid="{00000000-0005-0000-0000-00009E050000}"/>
    <cellStyle name="40% - Accent6 2 3 5 2" xfId="3101" xr:uid="{00000000-0005-0000-0000-00009F050000}"/>
    <cellStyle name="40% - Accent6 2 3 6" xfId="2660" xr:uid="{00000000-0005-0000-0000-0000A0050000}"/>
    <cellStyle name="40% - Accent6 2 4" xfId="220" xr:uid="{00000000-0005-0000-0000-0000A1050000}"/>
    <cellStyle name="40% - Accent6 2 4 2" xfId="1081" xr:uid="{00000000-0005-0000-0000-0000A2050000}"/>
    <cellStyle name="40% - Accent6 2 4 2 2" xfId="3311" xr:uid="{00000000-0005-0000-0000-0000A3050000}"/>
    <cellStyle name="40% - Accent6 2 4 3" xfId="2450" xr:uid="{00000000-0005-0000-0000-0000A4050000}"/>
    <cellStyle name="40% - Accent6 2 5" xfId="1502" xr:uid="{00000000-0005-0000-0000-0000A5050000}"/>
    <cellStyle name="40% - Accent6 2 5 2" xfId="3732" xr:uid="{00000000-0005-0000-0000-0000A6050000}"/>
    <cellStyle name="40% - Accent6 2 6" xfId="1923" xr:uid="{00000000-0005-0000-0000-0000A7050000}"/>
    <cellStyle name="40% - Accent6 2 6 2" xfId="4153" xr:uid="{00000000-0005-0000-0000-0000A8050000}"/>
    <cellStyle name="40% - Accent6 2 7" xfId="661" xr:uid="{00000000-0005-0000-0000-0000A9050000}"/>
    <cellStyle name="40% - Accent6 2 7 2" xfId="2891" xr:uid="{00000000-0005-0000-0000-0000AA050000}"/>
    <cellStyle name="40% - Accent6 2 8" xfId="2345" xr:uid="{00000000-0005-0000-0000-0000AB050000}"/>
    <cellStyle name="40% - Accent6 3" xfId="134" xr:uid="{00000000-0005-0000-0000-0000AC050000}"/>
    <cellStyle name="40% - Accent6 3 2" xfId="345" xr:uid="{00000000-0005-0000-0000-0000AD050000}"/>
    <cellStyle name="40% - Accent6 3 2 2" xfId="555" xr:uid="{00000000-0005-0000-0000-0000AE050000}"/>
    <cellStyle name="40% - Accent6 3 2 2 2" xfId="1416" xr:uid="{00000000-0005-0000-0000-0000AF050000}"/>
    <cellStyle name="40% - Accent6 3 2 2 2 2" xfId="3646" xr:uid="{00000000-0005-0000-0000-0000B0050000}"/>
    <cellStyle name="40% - Accent6 3 2 2 3" xfId="1837" xr:uid="{00000000-0005-0000-0000-0000B1050000}"/>
    <cellStyle name="40% - Accent6 3 2 2 3 2" xfId="4067" xr:uid="{00000000-0005-0000-0000-0000B2050000}"/>
    <cellStyle name="40% - Accent6 3 2 2 4" xfId="2258" xr:uid="{00000000-0005-0000-0000-0000B3050000}"/>
    <cellStyle name="40% - Accent6 3 2 2 4 2" xfId="4488" xr:uid="{00000000-0005-0000-0000-0000B4050000}"/>
    <cellStyle name="40% - Accent6 3 2 2 5" xfId="996" xr:uid="{00000000-0005-0000-0000-0000B5050000}"/>
    <cellStyle name="40% - Accent6 3 2 2 5 2" xfId="3226" xr:uid="{00000000-0005-0000-0000-0000B6050000}"/>
    <cellStyle name="40% - Accent6 3 2 2 6" xfId="2785" xr:uid="{00000000-0005-0000-0000-0000B7050000}"/>
    <cellStyle name="40% - Accent6 3 2 3" xfId="1206" xr:uid="{00000000-0005-0000-0000-0000B8050000}"/>
    <cellStyle name="40% - Accent6 3 2 3 2" xfId="3436" xr:uid="{00000000-0005-0000-0000-0000B9050000}"/>
    <cellStyle name="40% - Accent6 3 2 4" xfId="1627" xr:uid="{00000000-0005-0000-0000-0000BA050000}"/>
    <cellStyle name="40% - Accent6 3 2 4 2" xfId="3857" xr:uid="{00000000-0005-0000-0000-0000BB050000}"/>
    <cellStyle name="40% - Accent6 3 2 5" xfId="2048" xr:uid="{00000000-0005-0000-0000-0000BC050000}"/>
    <cellStyle name="40% - Accent6 3 2 5 2" xfId="4278" xr:uid="{00000000-0005-0000-0000-0000BD050000}"/>
    <cellStyle name="40% - Accent6 3 2 6" xfId="786" xr:uid="{00000000-0005-0000-0000-0000BE050000}"/>
    <cellStyle name="40% - Accent6 3 2 6 2" xfId="3016" xr:uid="{00000000-0005-0000-0000-0000BF050000}"/>
    <cellStyle name="40% - Accent6 3 2 7" xfId="2575" xr:uid="{00000000-0005-0000-0000-0000C0050000}"/>
    <cellStyle name="40% - Accent6 3 3" xfId="450" xr:uid="{00000000-0005-0000-0000-0000C1050000}"/>
    <cellStyle name="40% - Accent6 3 3 2" xfId="1311" xr:uid="{00000000-0005-0000-0000-0000C2050000}"/>
    <cellStyle name="40% - Accent6 3 3 2 2" xfId="3541" xr:uid="{00000000-0005-0000-0000-0000C3050000}"/>
    <cellStyle name="40% - Accent6 3 3 3" xfId="1732" xr:uid="{00000000-0005-0000-0000-0000C4050000}"/>
    <cellStyle name="40% - Accent6 3 3 3 2" xfId="3962" xr:uid="{00000000-0005-0000-0000-0000C5050000}"/>
    <cellStyle name="40% - Accent6 3 3 4" xfId="2153" xr:uid="{00000000-0005-0000-0000-0000C6050000}"/>
    <cellStyle name="40% - Accent6 3 3 4 2" xfId="4383" xr:uid="{00000000-0005-0000-0000-0000C7050000}"/>
    <cellStyle name="40% - Accent6 3 3 5" xfId="891" xr:uid="{00000000-0005-0000-0000-0000C8050000}"/>
    <cellStyle name="40% - Accent6 3 3 5 2" xfId="3121" xr:uid="{00000000-0005-0000-0000-0000C9050000}"/>
    <cellStyle name="40% - Accent6 3 3 6" xfId="2680" xr:uid="{00000000-0005-0000-0000-0000CA050000}"/>
    <cellStyle name="40% - Accent6 3 4" xfId="240" xr:uid="{00000000-0005-0000-0000-0000CB050000}"/>
    <cellStyle name="40% - Accent6 3 4 2" xfId="1101" xr:uid="{00000000-0005-0000-0000-0000CC050000}"/>
    <cellStyle name="40% - Accent6 3 4 2 2" xfId="3331" xr:uid="{00000000-0005-0000-0000-0000CD050000}"/>
    <cellStyle name="40% - Accent6 3 4 3" xfId="2470" xr:uid="{00000000-0005-0000-0000-0000CE050000}"/>
    <cellStyle name="40% - Accent6 3 5" xfId="1522" xr:uid="{00000000-0005-0000-0000-0000CF050000}"/>
    <cellStyle name="40% - Accent6 3 5 2" xfId="3752" xr:uid="{00000000-0005-0000-0000-0000D0050000}"/>
    <cellStyle name="40% - Accent6 3 6" xfId="1943" xr:uid="{00000000-0005-0000-0000-0000D1050000}"/>
    <cellStyle name="40% - Accent6 3 6 2" xfId="4173" xr:uid="{00000000-0005-0000-0000-0000D2050000}"/>
    <cellStyle name="40% - Accent6 3 7" xfId="681" xr:uid="{00000000-0005-0000-0000-0000D3050000}"/>
    <cellStyle name="40% - Accent6 3 7 2" xfId="2911" xr:uid="{00000000-0005-0000-0000-0000D4050000}"/>
    <cellStyle name="40% - Accent6 3 8" xfId="2365" xr:uid="{00000000-0005-0000-0000-0000D5050000}"/>
    <cellStyle name="40% - Accent6 4" xfId="303" xr:uid="{00000000-0005-0000-0000-0000D6050000}"/>
    <cellStyle name="40% - Accent6 4 2" xfId="513" xr:uid="{00000000-0005-0000-0000-0000D7050000}"/>
    <cellStyle name="40% - Accent6 4 2 2" xfId="1374" xr:uid="{00000000-0005-0000-0000-0000D8050000}"/>
    <cellStyle name="40% - Accent6 4 2 2 2" xfId="3604" xr:uid="{00000000-0005-0000-0000-0000D9050000}"/>
    <cellStyle name="40% - Accent6 4 2 3" xfId="1795" xr:uid="{00000000-0005-0000-0000-0000DA050000}"/>
    <cellStyle name="40% - Accent6 4 2 3 2" xfId="4025" xr:uid="{00000000-0005-0000-0000-0000DB050000}"/>
    <cellStyle name="40% - Accent6 4 2 4" xfId="2216" xr:uid="{00000000-0005-0000-0000-0000DC050000}"/>
    <cellStyle name="40% - Accent6 4 2 4 2" xfId="4446" xr:uid="{00000000-0005-0000-0000-0000DD050000}"/>
    <cellStyle name="40% - Accent6 4 2 5" xfId="954" xr:uid="{00000000-0005-0000-0000-0000DE050000}"/>
    <cellStyle name="40% - Accent6 4 2 5 2" xfId="3184" xr:uid="{00000000-0005-0000-0000-0000DF050000}"/>
    <cellStyle name="40% - Accent6 4 2 6" xfId="2743" xr:uid="{00000000-0005-0000-0000-0000E0050000}"/>
    <cellStyle name="40% - Accent6 4 3" xfId="1164" xr:uid="{00000000-0005-0000-0000-0000E1050000}"/>
    <cellStyle name="40% - Accent6 4 3 2" xfId="3394" xr:uid="{00000000-0005-0000-0000-0000E2050000}"/>
    <cellStyle name="40% - Accent6 4 4" xfId="1585" xr:uid="{00000000-0005-0000-0000-0000E3050000}"/>
    <cellStyle name="40% - Accent6 4 4 2" xfId="3815" xr:uid="{00000000-0005-0000-0000-0000E4050000}"/>
    <cellStyle name="40% - Accent6 4 5" xfId="2006" xr:uid="{00000000-0005-0000-0000-0000E5050000}"/>
    <cellStyle name="40% - Accent6 4 5 2" xfId="4236" xr:uid="{00000000-0005-0000-0000-0000E6050000}"/>
    <cellStyle name="40% - Accent6 4 6" xfId="744" xr:uid="{00000000-0005-0000-0000-0000E7050000}"/>
    <cellStyle name="40% - Accent6 4 6 2" xfId="2974" xr:uid="{00000000-0005-0000-0000-0000E8050000}"/>
    <cellStyle name="40% - Accent6 4 7" xfId="2533" xr:uid="{00000000-0005-0000-0000-0000E9050000}"/>
    <cellStyle name="40% - Accent6 5" xfId="408" xr:uid="{00000000-0005-0000-0000-0000EA050000}"/>
    <cellStyle name="40% - Accent6 5 2" xfId="1269" xr:uid="{00000000-0005-0000-0000-0000EB050000}"/>
    <cellStyle name="40% - Accent6 5 2 2" xfId="3499" xr:uid="{00000000-0005-0000-0000-0000EC050000}"/>
    <cellStyle name="40% - Accent6 5 3" xfId="1690" xr:uid="{00000000-0005-0000-0000-0000ED050000}"/>
    <cellStyle name="40% - Accent6 5 3 2" xfId="3920" xr:uid="{00000000-0005-0000-0000-0000EE050000}"/>
    <cellStyle name="40% - Accent6 5 4" xfId="2111" xr:uid="{00000000-0005-0000-0000-0000EF050000}"/>
    <cellStyle name="40% - Accent6 5 4 2" xfId="4341" xr:uid="{00000000-0005-0000-0000-0000F0050000}"/>
    <cellStyle name="40% - Accent6 5 5" xfId="849" xr:uid="{00000000-0005-0000-0000-0000F1050000}"/>
    <cellStyle name="40% - Accent6 5 5 2" xfId="3079" xr:uid="{00000000-0005-0000-0000-0000F2050000}"/>
    <cellStyle name="40% - Accent6 5 6" xfId="2638" xr:uid="{00000000-0005-0000-0000-0000F3050000}"/>
    <cellStyle name="40% - Accent6 6" xfId="198" xr:uid="{00000000-0005-0000-0000-0000F4050000}"/>
    <cellStyle name="40% - Accent6 6 2" xfId="1059" xr:uid="{00000000-0005-0000-0000-0000F5050000}"/>
    <cellStyle name="40% - Accent6 6 2 2" xfId="3289" xr:uid="{00000000-0005-0000-0000-0000F6050000}"/>
    <cellStyle name="40% - Accent6 6 3" xfId="2428" xr:uid="{00000000-0005-0000-0000-0000F7050000}"/>
    <cellStyle name="40% - Accent6 7" xfId="576" xr:uid="{00000000-0005-0000-0000-0000F8050000}"/>
    <cellStyle name="40% - Accent6 7 2" xfId="1480" xr:uid="{00000000-0005-0000-0000-0000F9050000}"/>
    <cellStyle name="40% - Accent6 7 2 2" xfId="3710" xr:uid="{00000000-0005-0000-0000-0000FA050000}"/>
    <cellStyle name="40% - Accent6 7 3" xfId="2806" xr:uid="{00000000-0005-0000-0000-0000FB050000}"/>
    <cellStyle name="40% - Accent6 8" xfId="1901" xr:uid="{00000000-0005-0000-0000-0000FC050000}"/>
    <cellStyle name="40% - Accent6 8 2" xfId="4131" xr:uid="{00000000-0005-0000-0000-0000FD050000}"/>
    <cellStyle name="40% - Accent6 9" xfId="639" xr:uid="{00000000-0005-0000-0000-0000FE050000}"/>
    <cellStyle name="40% - Accent6 9 2" xfId="2869" xr:uid="{00000000-0005-0000-0000-0000FF050000}"/>
    <cellStyle name="60% - Accent1" xfId="73" builtinId="32" customBuiltin="1"/>
    <cellStyle name="60% - Accent1 10" xfId="2309" xr:uid="{00000000-0005-0000-0000-000001060000}"/>
    <cellStyle name="60% - Accent1 2" xfId="100" xr:uid="{00000000-0005-0000-0000-000002060000}"/>
    <cellStyle name="60% - Accent1 2 2" xfId="311" xr:uid="{00000000-0005-0000-0000-000003060000}"/>
    <cellStyle name="60% - Accent1 2 2 2" xfId="521" xr:uid="{00000000-0005-0000-0000-000004060000}"/>
    <cellStyle name="60% - Accent1 2 2 2 2" xfId="1382" xr:uid="{00000000-0005-0000-0000-000005060000}"/>
    <cellStyle name="60% - Accent1 2 2 2 2 2" xfId="3612" xr:uid="{00000000-0005-0000-0000-000006060000}"/>
    <cellStyle name="60% - Accent1 2 2 2 3" xfId="1803" xr:uid="{00000000-0005-0000-0000-000007060000}"/>
    <cellStyle name="60% - Accent1 2 2 2 3 2" xfId="4033" xr:uid="{00000000-0005-0000-0000-000008060000}"/>
    <cellStyle name="60% - Accent1 2 2 2 4" xfId="2224" xr:uid="{00000000-0005-0000-0000-000009060000}"/>
    <cellStyle name="60% - Accent1 2 2 2 4 2" xfId="4454" xr:uid="{00000000-0005-0000-0000-00000A060000}"/>
    <cellStyle name="60% - Accent1 2 2 2 5" xfId="962" xr:uid="{00000000-0005-0000-0000-00000B060000}"/>
    <cellStyle name="60% - Accent1 2 2 2 5 2" xfId="3192" xr:uid="{00000000-0005-0000-0000-00000C060000}"/>
    <cellStyle name="60% - Accent1 2 2 2 6" xfId="2751" xr:uid="{00000000-0005-0000-0000-00000D060000}"/>
    <cellStyle name="60% - Accent1 2 2 3" xfId="1172" xr:uid="{00000000-0005-0000-0000-00000E060000}"/>
    <cellStyle name="60% - Accent1 2 2 3 2" xfId="3402" xr:uid="{00000000-0005-0000-0000-00000F060000}"/>
    <cellStyle name="60% - Accent1 2 2 4" xfId="1593" xr:uid="{00000000-0005-0000-0000-000010060000}"/>
    <cellStyle name="60% - Accent1 2 2 4 2" xfId="3823" xr:uid="{00000000-0005-0000-0000-000011060000}"/>
    <cellStyle name="60% - Accent1 2 2 5" xfId="2014" xr:uid="{00000000-0005-0000-0000-000012060000}"/>
    <cellStyle name="60% - Accent1 2 2 5 2" xfId="4244" xr:uid="{00000000-0005-0000-0000-000013060000}"/>
    <cellStyle name="60% - Accent1 2 2 6" xfId="752" xr:uid="{00000000-0005-0000-0000-000014060000}"/>
    <cellStyle name="60% - Accent1 2 2 6 2" xfId="2982" xr:uid="{00000000-0005-0000-0000-000015060000}"/>
    <cellStyle name="60% - Accent1 2 2 7" xfId="2541" xr:uid="{00000000-0005-0000-0000-000016060000}"/>
    <cellStyle name="60% - Accent1 2 3" xfId="416" xr:uid="{00000000-0005-0000-0000-000017060000}"/>
    <cellStyle name="60% - Accent1 2 3 2" xfId="1277" xr:uid="{00000000-0005-0000-0000-000018060000}"/>
    <cellStyle name="60% - Accent1 2 3 2 2" xfId="3507" xr:uid="{00000000-0005-0000-0000-000019060000}"/>
    <cellStyle name="60% - Accent1 2 3 3" xfId="1698" xr:uid="{00000000-0005-0000-0000-00001A060000}"/>
    <cellStyle name="60% - Accent1 2 3 3 2" xfId="3928" xr:uid="{00000000-0005-0000-0000-00001B060000}"/>
    <cellStyle name="60% - Accent1 2 3 4" xfId="2119" xr:uid="{00000000-0005-0000-0000-00001C060000}"/>
    <cellStyle name="60% - Accent1 2 3 4 2" xfId="4349" xr:uid="{00000000-0005-0000-0000-00001D060000}"/>
    <cellStyle name="60% - Accent1 2 3 5" xfId="857" xr:uid="{00000000-0005-0000-0000-00001E060000}"/>
    <cellStyle name="60% - Accent1 2 3 5 2" xfId="3087" xr:uid="{00000000-0005-0000-0000-00001F060000}"/>
    <cellStyle name="60% - Accent1 2 3 6" xfId="2646" xr:uid="{00000000-0005-0000-0000-000020060000}"/>
    <cellStyle name="60% - Accent1 2 4" xfId="206" xr:uid="{00000000-0005-0000-0000-000021060000}"/>
    <cellStyle name="60% - Accent1 2 4 2" xfId="1067" xr:uid="{00000000-0005-0000-0000-000022060000}"/>
    <cellStyle name="60% - Accent1 2 4 2 2" xfId="3297" xr:uid="{00000000-0005-0000-0000-000023060000}"/>
    <cellStyle name="60% - Accent1 2 4 3" xfId="2436" xr:uid="{00000000-0005-0000-0000-000024060000}"/>
    <cellStyle name="60% - Accent1 2 5" xfId="1488" xr:uid="{00000000-0005-0000-0000-000025060000}"/>
    <cellStyle name="60% - Accent1 2 5 2" xfId="3718" xr:uid="{00000000-0005-0000-0000-000026060000}"/>
    <cellStyle name="60% - Accent1 2 6" xfId="1909" xr:uid="{00000000-0005-0000-0000-000027060000}"/>
    <cellStyle name="60% - Accent1 2 6 2" xfId="4139" xr:uid="{00000000-0005-0000-0000-000028060000}"/>
    <cellStyle name="60% - Accent1 2 7" xfId="647" xr:uid="{00000000-0005-0000-0000-000029060000}"/>
    <cellStyle name="60% - Accent1 2 7 2" xfId="2877" xr:uid="{00000000-0005-0000-0000-00002A060000}"/>
    <cellStyle name="60% - Accent1 2 8" xfId="2331" xr:uid="{00000000-0005-0000-0000-00002B060000}"/>
    <cellStyle name="60% - Accent1 3" xfId="120" xr:uid="{00000000-0005-0000-0000-00002C060000}"/>
    <cellStyle name="60% - Accent1 3 2" xfId="331" xr:uid="{00000000-0005-0000-0000-00002D060000}"/>
    <cellStyle name="60% - Accent1 3 2 2" xfId="541" xr:uid="{00000000-0005-0000-0000-00002E060000}"/>
    <cellStyle name="60% - Accent1 3 2 2 2" xfId="1402" xr:uid="{00000000-0005-0000-0000-00002F060000}"/>
    <cellStyle name="60% - Accent1 3 2 2 2 2" xfId="3632" xr:uid="{00000000-0005-0000-0000-000030060000}"/>
    <cellStyle name="60% - Accent1 3 2 2 3" xfId="1823" xr:uid="{00000000-0005-0000-0000-000031060000}"/>
    <cellStyle name="60% - Accent1 3 2 2 3 2" xfId="4053" xr:uid="{00000000-0005-0000-0000-000032060000}"/>
    <cellStyle name="60% - Accent1 3 2 2 4" xfId="2244" xr:uid="{00000000-0005-0000-0000-000033060000}"/>
    <cellStyle name="60% - Accent1 3 2 2 4 2" xfId="4474" xr:uid="{00000000-0005-0000-0000-000034060000}"/>
    <cellStyle name="60% - Accent1 3 2 2 5" xfId="982" xr:uid="{00000000-0005-0000-0000-000035060000}"/>
    <cellStyle name="60% - Accent1 3 2 2 5 2" xfId="3212" xr:uid="{00000000-0005-0000-0000-000036060000}"/>
    <cellStyle name="60% - Accent1 3 2 2 6" xfId="2771" xr:uid="{00000000-0005-0000-0000-000037060000}"/>
    <cellStyle name="60% - Accent1 3 2 3" xfId="1192" xr:uid="{00000000-0005-0000-0000-000038060000}"/>
    <cellStyle name="60% - Accent1 3 2 3 2" xfId="3422" xr:uid="{00000000-0005-0000-0000-000039060000}"/>
    <cellStyle name="60% - Accent1 3 2 4" xfId="1613" xr:uid="{00000000-0005-0000-0000-00003A060000}"/>
    <cellStyle name="60% - Accent1 3 2 4 2" xfId="3843" xr:uid="{00000000-0005-0000-0000-00003B060000}"/>
    <cellStyle name="60% - Accent1 3 2 5" xfId="2034" xr:uid="{00000000-0005-0000-0000-00003C060000}"/>
    <cellStyle name="60% - Accent1 3 2 5 2" xfId="4264" xr:uid="{00000000-0005-0000-0000-00003D060000}"/>
    <cellStyle name="60% - Accent1 3 2 6" xfId="772" xr:uid="{00000000-0005-0000-0000-00003E060000}"/>
    <cellStyle name="60% - Accent1 3 2 6 2" xfId="3002" xr:uid="{00000000-0005-0000-0000-00003F060000}"/>
    <cellStyle name="60% - Accent1 3 2 7" xfId="2561" xr:uid="{00000000-0005-0000-0000-000040060000}"/>
    <cellStyle name="60% - Accent1 3 3" xfId="436" xr:uid="{00000000-0005-0000-0000-000041060000}"/>
    <cellStyle name="60% - Accent1 3 3 2" xfId="1297" xr:uid="{00000000-0005-0000-0000-000042060000}"/>
    <cellStyle name="60% - Accent1 3 3 2 2" xfId="3527" xr:uid="{00000000-0005-0000-0000-000043060000}"/>
    <cellStyle name="60% - Accent1 3 3 3" xfId="1718" xr:uid="{00000000-0005-0000-0000-000044060000}"/>
    <cellStyle name="60% - Accent1 3 3 3 2" xfId="3948" xr:uid="{00000000-0005-0000-0000-000045060000}"/>
    <cellStyle name="60% - Accent1 3 3 4" xfId="2139" xr:uid="{00000000-0005-0000-0000-000046060000}"/>
    <cellStyle name="60% - Accent1 3 3 4 2" xfId="4369" xr:uid="{00000000-0005-0000-0000-000047060000}"/>
    <cellStyle name="60% - Accent1 3 3 5" xfId="877" xr:uid="{00000000-0005-0000-0000-000048060000}"/>
    <cellStyle name="60% - Accent1 3 3 5 2" xfId="3107" xr:uid="{00000000-0005-0000-0000-000049060000}"/>
    <cellStyle name="60% - Accent1 3 3 6" xfId="2666" xr:uid="{00000000-0005-0000-0000-00004A060000}"/>
    <cellStyle name="60% - Accent1 3 4" xfId="226" xr:uid="{00000000-0005-0000-0000-00004B060000}"/>
    <cellStyle name="60% - Accent1 3 4 2" xfId="1087" xr:uid="{00000000-0005-0000-0000-00004C060000}"/>
    <cellStyle name="60% - Accent1 3 4 2 2" xfId="3317" xr:uid="{00000000-0005-0000-0000-00004D060000}"/>
    <cellStyle name="60% - Accent1 3 4 3" xfId="2456" xr:uid="{00000000-0005-0000-0000-00004E060000}"/>
    <cellStyle name="60% - Accent1 3 5" xfId="1508" xr:uid="{00000000-0005-0000-0000-00004F060000}"/>
    <cellStyle name="60% - Accent1 3 5 2" xfId="3738" xr:uid="{00000000-0005-0000-0000-000050060000}"/>
    <cellStyle name="60% - Accent1 3 6" xfId="1929" xr:uid="{00000000-0005-0000-0000-000051060000}"/>
    <cellStyle name="60% - Accent1 3 6 2" xfId="4159" xr:uid="{00000000-0005-0000-0000-000052060000}"/>
    <cellStyle name="60% - Accent1 3 7" xfId="667" xr:uid="{00000000-0005-0000-0000-000053060000}"/>
    <cellStyle name="60% - Accent1 3 7 2" xfId="2897" xr:uid="{00000000-0005-0000-0000-000054060000}"/>
    <cellStyle name="60% - Accent1 3 8" xfId="2351" xr:uid="{00000000-0005-0000-0000-000055060000}"/>
    <cellStyle name="60% - Accent1 4" xfId="289" xr:uid="{00000000-0005-0000-0000-000056060000}"/>
    <cellStyle name="60% - Accent1 4 2" xfId="499" xr:uid="{00000000-0005-0000-0000-000057060000}"/>
    <cellStyle name="60% - Accent1 4 2 2" xfId="1360" xr:uid="{00000000-0005-0000-0000-000058060000}"/>
    <cellStyle name="60% - Accent1 4 2 2 2" xfId="3590" xr:uid="{00000000-0005-0000-0000-000059060000}"/>
    <cellStyle name="60% - Accent1 4 2 3" xfId="1781" xr:uid="{00000000-0005-0000-0000-00005A060000}"/>
    <cellStyle name="60% - Accent1 4 2 3 2" xfId="4011" xr:uid="{00000000-0005-0000-0000-00005B060000}"/>
    <cellStyle name="60% - Accent1 4 2 4" xfId="2202" xr:uid="{00000000-0005-0000-0000-00005C060000}"/>
    <cellStyle name="60% - Accent1 4 2 4 2" xfId="4432" xr:uid="{00000000-0005-0000-0000-00005D060000}"/>
    <cellStyle name="60% - Accent1 4 2 5" xfId="940" xr:uid="{00000000-0005-0000-0000-00005E060000}"/>
    <cellStyle name="60% - Accent1 4 2 5 2" xfId="3170" xr:uid="{00000000-0005-0000-0000-00005F060000}"/>
    <cellStyle name="60% - Accent1 4 2 6" xfId="2729" xr:uid="{00000000-0005-0000-0000-000060060000}"/>
    <cellStyle name="60% - Accent1 4 3" xfId="1150" xr:uid="{00000000-0005-0000-0000-000061060000}"/>
    <cellStyle name="60% - Accent1 4 3 2" xfId="3380" xr:uid="{00000000-0005-0000-0000-000062060000}"/>
    <cellStyle name="60% - Accent1 4 4" xfId="1571" xr:uid="{00000000-0005-0000-0000-000063060000}"/>
    <cellStyle name="60% - Accent1 4 4 2" xfId="3801" xr:uid="{00000000-0005-0000-0000-000064060000}"/>
    <cellStyle name="60% - Accent1 4 5" xfId="1992" xr:uid="{00000000-0005-0000-0000-000065060000}"/>
    <cellStyle name="60% - Accent1 4 5 2" xfId="4222" xr:uid="{00000000-0005-0000-0000-000066060000}"/>
    <cellStyle name="60% - Accent1 4 6" xfId="730" xr:uid="{00000000-0005-0000-0000-000067060000}"/>
    <cellStyle name="60% - Accent1 4 6 2" xfId="2960" xr:uid="{00000000-0005-0000-0000-000068060000}"/>
    <cellStyle name="60% - Accent1 4 7" xfId="2519" xr:uid="{00000000-0005-0000-0000-000069060000}"/>
    <cellStyle name="60% - Accent1 5" xfId="394" xr:uid="{00000000-0005-0000-0000-00006A060000}"/>
    <cellStyle name="60% - Accent1 5 2" xfId="1255" xr:uid="{00000000-0005-0000-0000-00006B060000}"/>
    <cellStyle name="60% - Accent1 5 2 2" xfId="3485" xr:uid="{00000000-0005-0000-0000-00006C060000}"/>
    <cellStyle name="60% - Accent1 5 3" xfId="1676" xr:uid="{00000000-0005-0000-0000-00006D060000}"/>
    <cellStyle name="60% - Accent1 5 3 2" xfId="3906" xr:uid="{00000000-0005-0000-0000-00006E060000}"/>
    <cellStyle name="60% - Accent1 5 4" xfId="2097" xr:uid="{00000000-0005-0000-0000-00006F060000}"/>
    <cellStyle name="60% - Accent1 5 4 2" xfId="4327" xr:uid="{00000000-0005-0000-0000-000070060000}"/>
    <cellStyle name="60% - Accent1 5 5" xfId="835" xr:uid="{00000000-0005-0000-0000-000071060000}"/>
    <cellStyle name="60% - Accent1 5 5 2" xfId="3065" xr:uid="{00000000-0005-0000-0000-000072060000}"/>
    <cellStyle name="60% - Accent1 5 6" xfId="2624" xr:uid="{00000000-0005-0000-0000-000073060000}"/>
    <cellStyle name="60% - Accent1 6" xfId="184" xr:uid="{00000000-0005-0000-0000-000074060000}"/>
    <cellStyle name="60% - Accent1 6 2" xfId="1045" xr:uid="{00000000-0005-0000-0000-000075060000}"/>
    <cellStyle name="60% - Accent1 6 2 2" xfId="3275" xr:uid="{00000000-0005-0000-0000-000076060000}"/>
    <cellStyle name="60% - Accent1 6 3" xfId="2414" xr:uid="{00000000-0005-0000-0000-000077060000}"/>
    <cellStyle name="60% - Accent1 7" xfId="562" xr:uid="{00000000-0005-0000-0000-000078060000}"/>
    <cellStyle name="60% - Accent1 7 2" xfId="1466" xr:uid="{00000000-0005-0000-0000-000079060000}"/>
    <cellStyle name="60% - Accent1 7 2 2" xfId="3696" xr:uid="{00000000-0005-0000-0000-00007A060000}"/>
    <cellStyle name="60% - Accent1 7 3" xfId="2792" xr:uid="{00000000-0005-0000-0000-00007B060000}"/>
    <cellStyle name="60% - Accent1 8" xfId="1887" xr:uid="{00000000-0005-0000-0000-00007C060000}"/>
    <cellStyle name="60% - Accent1 8 2" xfId="4117" xr:uid="{00000000-0005-0000-0000-00007D060000}"/>
    <cellStyle name="60% - Accent1 9" xfId="625" xr:uid="{00000000-0005-0000-0000-00007E060000}"/>
    <cellStyle name="60% - Accent1 9 2" xfId="2855" xr:uid="{00000000-0005-0000-0000-00007F060000}"/>
    <cellStyle name="60% - Accent2" xfId="77" builtinId="36" customBuiltin="1"/>
    <cellStyle name="60% - Accent2 10" xfId="2312" xr:uid="{00000000-0005-0000-0000-000081060000}"/>
    <cellStyle name="60% - Accent2 2" xfId="103" xr:uid="{00000000-0005-0000-0000-000082060000}"/>
    <cellStyle name="60% - Accent2 2 2" xfId="314" xr:uid="{00000000-0005-0000-0000-000083060000}"/>
    <cellStyle name="60% - Accent2 2 2 2" xfId="524" xr:uid="{00000000-0005-0000-0000-000084060000}"/>
    <cellStyle name="60% - Accent2 2 2 2 2" xfId="1385" xr:uid="{00000000-0005-0000-0000-000085060000}"/>
    <cellStyle name="60% - Accent2 2 2 2 2 2" xfId="3615" xr:uid="{00000000-0005-0000-0000-000086060000}"/>
    <cellStyle name="60% - Accent2 2 2 2 3" xfId="1806" xr:uid="{00000000-0005-0000-0000-000087060000}"/>
    <cellStyle name="60% - Accent2 2 2 2 3 2" xfId="4036" xr:uid="{00000000-0005-0000-0000-000088060000}"/>
    <cellStyle name="60% - Accent2 2 2 2 4" xfId="2227" xr:uid="{00000000-0005-0000-0000-000089060000}"/>
    <cellStyle name="60% - Accent2 2 2 2 4 2" xfId="4457" xr:uid="{00000000-0005-0000-0000-00008A060000}"/>
    <cellStyle name="60% - Accent2 2 2 2 5" xfId="965" xr:uid="{00000000-0005-0000-0000-00008B060000}"/>
    <cellStyle name="60% - Accent2 2 2 2 5 2" xfId="3195" xr:uid="{00000000-0005-0000-0000-00008C060000}"/>
    <cellStyle name="60% - Accent2 2 2 2 6" xfId="2754" xr:uid="{00000000-0005-0000-0000-00008D060000}"/>
    <cellStyle name="60% - Accent2 2 2 3" xfId="1175" xr:uid="{00000000-0005-0000-0000-00008E060000}"/>
    <cellStyle name="60% - Accent2 2 2 3 2" xfId="3405" xr:uid="{00000000-0005-0000-0000-00008F060000}"/>
    <cellStyle name="60% - Accent2 2 2 4" xfId="1596" xr:uid="{00000000-0005-0000-0000-000090060000}"/>
    <cellStyle name="60% - Accent2 2 2 4 2" xfId="3826" xr:uid="{00000000-0005-0000-0000-000091060000}"/>
    <cellStyle name="60% - Accent2 2 2 5" xfId="2017" xr:uid="{00000000-0005-0000-0000-000092060000}"/>
    <cellStyle name="60% - Accent2 2 2 5 2" xfId="4247" xr:uid="{00000000-0005-0000-0000-000093060000}"/>
    <cellStyle name="60% - Accent2 2 2 6" xfId="755" xr:uid="{00000000-0005-0000-0000-000094060000}"/>
    <cellStyle name="60% - Accent2 2 2 6 2" xfId="2985" xr:uid="{00000000-0005-0000-0000-000095060000}"/>
    <cellStyle name="60% - Accent2 2 2 7" xfId="2544" xr:uid="{00000000-0005-0000-0000-000096060000}"/>
    <cellStyle name="60% - Accent2 2 3" xfId="419" xr:uid="{00000000-0005-0000-0000-000097060000}"/>
    <cellStyle name="60% - Accent2 2 3 2" xfId="1280" xr:uid="{00000000-0005-0000-0000-000098060000}"/>
    <cellStyle name="60% - Accent2 2 3 2 2" xfId="3510" xr:uid="{00000000-0005-0000-0000-000099060000}"/>
    <cellStyle name="60% - Accent2 2 3 3" xfId="1701" xr:uid="{00000000-0005-0000-0000-00009A060000}"/>
    <cellStyle name="60% - Accent2 2 3 3 2" xfId="3931" xr:uid="{00000000-0005-0000-0000-00009B060000}"/>
    <cellStyle name="60% - Accent2 2 3 4" xfId="2122" xr:uid="{00000000-0005-0000-0000-00009C060000}"/>
    <cellStyle name="60% - Accent2 2 3 4 2" xfId="4352" xr:uid="{00000000-0005-0000-0000-00009D060000}"/>
    <cellStyle name="60% - Accent2 2 3 5" xfId="860" xr:uid="{00000000-0005-0000-0000-00009E060000}"/>
    <cellStyle name="60% - Accent2 2 3 5 2" xfId="3090" xr:uid="{00000000-0005-0000-0000-00009F060000}"/>
    <cellStyle name="60% - Accent2 2 3 6" xfId="2649" xr:uid="{00000000-0005-0000-0000-0000A0060000}"/>
    <cellStyle name="60% - Accent2 2 4" xfId="209" xr:uid="{00000000-0005-0000-0000-0000A1060000}"/>
    <cellStyle name="60% - Accent2 2 4 2" xfId="1070" xr:uid="{00000000-0005-0000-0000-0000A2060000}"/>
    <cellStyle name="60% - Accent2 2 4 2 2" xfId="3300" xr:uid="{00000000-0005-0000-0000-0000A3060000}"/>
    <cellStyle name="60% - Accent2 2 4 3" xfId="2439" xr:uid="{00000000-0005-0000-0000-0000A4060000}"/>
    <cellStyle name="60% - Accent2 2 5" xfId="1491" xr:uid="{00000000-0005-0000-0000-0000A5060000}"/>
    <cellStyle name="60% - Accent2 2 5 2" xfId="3721" xr:uid="{00000000-0005-0000-0000-0000A6060000}"/>
    <cellStyle name="60% - Accent2 2 6" xfId="1912" xr:uid="{00000000-0005-0000-0000-0000A7060000}"/>
    <cellStyle name="60% - Accent2 2 6 2" xfId="4142" xr:uid="{00000000-0005-0000-0000-0000A8060000}"/>
    <cellStyle name="60% - Accent2 2 7" xfId="650" xr:uid="{00000000-0005-0000-0000-0000A9060000}"/>
    <cellStyle name="60% - Accent2 2 7 2" xfId="2880" xr:uid="{00000000-0005-0000-0000-0000AA060000}"/>
    <cellStyle name="60% - Accent2 2 8" xfId="2334" xr:uid="{00000000-0005-0000-0000-0000AB060000}"/>
    <cellStyle name="60% - Accent2 3" xfId="123" xr:uid="{00000000-0005-0000-0000-0000AC060000}"/>
    <cellStyle name="60% - Accent2 3 2" xfId="334" xr:uid="{00000000-0005-0000-0000-0000AD060000}"/>
    <cellStyle name="60% - Accent2 3 2 2" xfId="544" xr:uid="{00000000-0005-0000-0000-0000AE060000}"/>
    <cellStyle name="60% - Accent2 3 2 2 2" xfId="1405" xr:uid="{00000000-0005-0000-0000-0000AF060000}"/>
    <cellStyle name="60% - Accent2 3 2 2 2 2" xfId="3635" xr:uid="{00000000-0005-0000-0000-0000B0060000}"/>
    <cellStyle name="60% - Accent2 3 2 2 3" xfId="1826" xr:uid="{00000000-0005-0000-0000-0000B1060000}"/>
    <cellStyle name="60% - Accent2 3 2 2 3 2" xfId="4056" xr:uid="{00000000-0005-0000-0000-0000B2060000}"/>
    <cellStyle name="60% - Accent2 3 2 2 4" xfId="2247" xr:uid="{00000000-0005-0000-0000-0000B3060000}"/>
    <cellStyle name="60% - Accent2 3 2 2 4 2" xfId="4477" xr:uid="{00000000-0005-0000-0000-0000B4060000}"/>
    <cellStyle name="60% - Accent2 3 2 2 5" xfId="985" xr:uid="{00000000-0005-0000-0000-0000B5060000}"/>
    <cellStyle name="60% - Accent2 3 2 2 5 2" xfId="3215" xr:uid="{00000000-0005-0000-0000-0000B6060000}"/>
    <cellStyle name="60% - Accent2 3 2 2 6" xfId="2774" xr:uid="{00000000-0005-0000-0000-0000B7060000}"/>
    <cellStyle name="60% - Accent2 3 2 3" xfId="1195" xr:uid="{00000000-0005-0000-0000-0000B8060000}"/>
    <cellStyle name="60% - Accent2 3 2 3 2" xfId="3425" xr:uid="{00000000-0005-0000-0000-0000B9060000}"/>
    <cellStyle name="60% - Accent2 3 2 4" xfId="1616" xr:uid="{00000000-0005-0000-0000-0000BA060000}"/>
    <cellStyle name="60% - Accent2 3 2 4 2" xfId="3846" xr:uid="{00000000-0005-0000-0000-0000BB060000}"/>
    <cellStyle name="60% - Accent2 3 2 5" xfId="2037" xr:uid="{00000000-0005-0000-0000-0000BC060000}"/>
    <cellStyle name="60% - Accent2 3 2 5 2" xfId="4267" xr:uid="{00000000-0005-0000-0000-0000BD060000}"/>
    <cellStyle name="60% - Accent2 3 2 6" xfId="775" xr:uid="{00000000-0005-0000-0000-0000BE060000}"/>
    <cellStyle name="60% - Accent2 3 2 6 2" xfId="3005" xr:uid="{00000000-0005-0000-0000-0000BF060000}"/>
    <cellStyle name="60% - Accent2 3 2 7" xfId="2564" xr:uid="{00000000-0005-0000-0000-0000C0060000}"/>
    <cellStyle name="60% - Accent2 3 3" xfId="439" xr:uid="{00000000-0005-0000-0000-0000C1060000}"/>
    <cellStyle name="60% - Accent2 3 3 2" xfId="1300" xr:uid="{00000000-0005-0000-0000-0000C2060000}"/>
    <cellStyle name="60% - Accent2 3 3 2 2" xfId="3530" xr:uid="{00000000-0005-0000-0000-0000C3060000}"/>
    <cellStyle name="60% - Accent2 3 3 3" xfId="1721" xr:uid="{00000000-0005-0000-0000-0000C4060000}"/>
    <cellStyle name="60% - Accent2 3 3 3 2" xfId="3951" xr:uid="{00000000-0005-0000-0000-0000C5060000}"/>
    <cellStyle name="60% - Accent2 3 3 4" xfId="2142" xr:uid="{00000000-0005-0000-0000-0000C6060000}"/>
    <cellStyle name="60% - Accent2 3 3 4 2" xfId="4372" xr:uid="{00000000-0005-0000-0000-0000C7060000}"/>
    <cellStyle name="60% - Accent2 3 3 5" xfId="880" xr:uid="{00000000-0005-0000-0000-0000C8060000}"/>
    <cellStyle name="60% - Accent2 3 3 5 2" xfId="3110" xr:uid="{00000000-0005-0000-0000-0000C9060000}"/>
    <cellStyle name="60% - Accent2 3 3 6" xfId="2669" xr:uid="{00000000-0005-0000-0000-0000CA060000}"/>
    <cellStyle name="60% - Accent2 3 4" xfId="229" xr:uid="{00000000-0005-0000-0000-0000CB060000}"/>
    <cellStyle name="60% - Accent2 3 4 2" xfId="1090" xr:uid="{00000000-0005-0000-0000-0000CC060000}"/>
    <cellStyle name="60% - Accent2 3 4 2 2" xfId="3320" xr:uid="{00000000-0005-0000-0000-0000CD060000}"/>
    <cellStyle name="60% - Accent2 3 4 3" xfId="2459" xr:uid="{00000000-0005-0000-0000-0000CE060000}"/>
    <cellStyle name="60% - Accent2 3 5" xfId="1511" xr:uid="{00000000-0005-0000-0000-0000CF060000}"/>
    <cellStyle name="60% - Accent2 3 5 2" xfId="3741" xr:uid="{00000000-0005-0000-0000-0000D0060000}"/>
    <cellStyle name="60% - Accent2 3 6" xfId="1932" xr:uid="{00000000-0005-0000-0000-0000D1060000}"/>
    <cellStyle name="60% - Accent2 3 6 2" xfId="4162" xr:uid="{00000000-0005-0000-0000-0000D2060000}"/>
    <cellStyle name="60% - Accent2 3 7" xfId="670" xr:uid="{00000000-0005-0000-0000-0000D3060000}"/>
    <cellStyle name="60% - Accent2 3 7 2" xfId="2900" xr:uid="{00000000-0005-0000-0000-0000D4060000}"/>
    <cellStyle name="60% - Accent2 3 8" xfId="2354" xr:uid="{00000000-0005-0000-0000-0000D5060000}"/>
    <cellStyle name="60% - Accent2 4" xfId="292" xr:uid="{00000000-0005-0000-0000-0000D6060000}"/>
    <cellStyle name="60% - Accent2 4 2" xfId="502" xr:uid="{00000000-0005-0000-0000-0000D7060000}"/>
    <cellStyle name="60% - Accent2 4 2 2" xfId="1363" xr:uid="{00000000-0005-0000-0000-0000D8060000}"/>
    <cellStyle name="60% - Accent2 4 2 2 2" xfId="3593" xr:uid="{00000000-0005-0000-0000-0000D9060000}"/>
    <cellStyle name="60% - Accent2 4 2 3" xfId="1784" xr:uid="{00000000-0005-0000-0000-0000DA060000}"/>
    <cellStyle name="60% - Accent2 4 2 3 2" xfId="4014" xr:uid="{00000000-0005-0000-0000-0000DB060000}"/>
    <cellStyle name="60% - Accent2 4 2 4" xfId="2205" xr:uid="{00000000-0005-0000-0000-0000DC060000}"/>
    <cellStyle name="60% - Accent2 4 2 4 2" xfId="4435" xr:uid="{00000000-0005-0000-0000-0000DD060000}"/>
    <cellStyle name="60% - Accent2 4 2 5" xfId="943" xr:uid="{00000000-0005-0000-0000-0000DE060000}"/>
    <cellStyle name="60% - Accent2 4 2 5 2" xfId="3173" xr:uid="{00000000-0005-0000-0000-0000DF060000}"/>
    <cellStyle name="60% - Accent2 4 2 6" xfId="2732" xr:uid="{00000000-0005-0000-0000-0000E0060000}"/>
    <cellStyle name="60% - Accent2 4 3" xfId="1153" xr:uid="{00000000-0005-0000-0000-0000E1060000}"/>
    <cellStyle name="60% - Accent2 4 3 2" xfId="3383" xr:uid="{00000000-0005-0000-0000-0000E2060000}"/>
    <cellStyle name="60% - Accent2 4 4" xfId="1574" xr:uid="{00000000-0005-0000-0000-0000E3060000}"/>
    <cellStyle name="60% - Accent2 4 4 2" xfId="3804" xr:uid="{00000000-0005-0000-0000-0000E4060000}"/>
    <cellStyle name="60% - Accent2 4 5" xfId="1995" xr:uid="{00000000-0005-0000-0000-0000E5060000}"/>
    <cellStyle name="60% - Accent2 4 5 2" xfId="4225" xr:uid="{00000000-0005-0000-0000-0000E6060000}"/>
    <cellStyle name="60% - Accent2 4 6" xfId="733" xr:uid="{00000000-0005-0000-0000-0000E7060000}"/>
    <cellStyle name="60% - Accent2 4 6 2" xfId="2963" xr:uid="{00000000-0005-0000-0000-0000E8060000}"/>
    <cellStyle name="60% - Accent2 4 7" xfId="2522" xr:uid="{00000000-0005-0000-0000-0000E9060000}"/>
    <cellStyle name="60% - Accent2 5" xfId="397" xr:uid="{00000000-0005-0000-0000-0000EA060000}"/>
    <cellStyle name="60% - Accent2 5 2" xfId="1258" xr:uid="{00000000-0005-0000-0000-0000EB060000}"/>
    <cellStyle name="60% - Accent2 5 2 2" xfId="3488" xr:uid="{00000000-0005-0000-0000-0000EC060000}"/>
    <cellStyle name="60% - Accent2 5 3" xfId="1679" xr:uid="{00000000-0005-0000-0000-0000ED060000}"/>
    <cellStyle name="60% - Accent2 5 3 2" xfId="3909" xr:uid="{00000000-0005-0000-0000-0000EE060000}"/>
    <cellStyle name="60% - Accent2 5 4" xfId="2100" xr:uid="{00000000-0005-0000-0000-0000EF060000}"/>
    <cellStyle name="60% - Accent2 5 4 2" xfId="4330" xr:uid="{00000000-0005-0000-0000-0000F0060000}"/>
    <cellStyle name="60% - Accent2 5 5" xfId="838" xr:uid="{00000000-0005-0000-0000-0000F1060000}"/>
    <cellStyle name="60% - Accent2 5 5 2" xfId="3068" xr:uid="{00000000-0005-0000-0000-0000F2060000}"/>
    <cellStyle name="60% - Accent2 5 6" xfId="2627" xr:uid="{00000000-0005-0000-0000-0000F3060000}"/>
    <cellStyle name="60% - Accent2 6" xfId="187" xr:uid="{00000000-0005-0000-0000-0000F4060000}"/>
    <cellStyle name="60% - Accent2 6 2" xfId="1048" xr:uid="{00000000-0005-0000-0000-0000F5060000}"/>
    <cellStyle name="60% - Accent2 6 2 2" xfId="3278" xr:uid="{00000000-0005-0000-0000-0000F6060000}"/>
    <cellStyle name="60% - Accent2 6 3" xfId="2417" xr:uid="{00000000-0005-0000-0000-0000F7060000}"/>
    <cellStyle name="60% - Accent2 7" xfId="565" xr:uid="{00000000-0005-0000-0000-0000F8060000}"/>
    <cellStyle name="60% - Accent2 7 2" xfId="1469" xr:uid="{00000000-0005-0000-0000-0000F9060000}"/>
    <cellStyle name="60% - Accent2 7 2 2" xfId="3699" xr:uid="{00000000-0005-0000-0000-0000FA060000}"/>
    <cellStyle name="60% - Accent2 7 3" xfId="2795" xr:uid="{00000000-0005-0000-0000-0000FB060000}"/>
    <cellStyle name="60% - Accent2 8" xfId="1890" xr:uid="{00000000-0005-0000-0000-0000FC060000}"/>
    <cellStyle name="60% - Accent2 8 2" xfId="4120" xr:uid="{00000000-0005-0000-0000-0000FD060000}"/>
    <cellStyle name="60% - Accent2 9" xfId="628" xr:uid="{00000000-0005-0000-0000-0000FE060000}"/>
    <cellStyle name="60% - Accent2 9 2" xfId="2858" xr:uid="{00000000-0005-0000-0000-0000FF060000}"/>
    <cellStyle name="60% - Accent3" xfId="81" builtinId="40" customBuiltin="1"/>
    <cellStyle name="60% - Accent3 10" xfId="2315" xr:uid="{00000000-0005-0000-0000-000001070000}"/>
    <cellStyle name="60% - Accent3 2" xfId="106" xr:uid="{00000000-0005-0000-0000-000002070000}"/>
    <cellStyle name="60% - Accent3 2 2" xfId="317" xr:uid="{00000000-0005-0000-0000-000003070000}"/>
    <cellStyle name="60% - Accent3 2 2 2" xfId="527" xr:uid="{00000000-0005-0000-0000-000004070000}"/>
    <cellStyle name="60% - Accent3 2 2 2 2" xfId="1388" xr:uid="{00000000-0005-0000-0000-000005070000}"/>
    <cellStyle name="60% - Accent3 2 2 2 2 2" xfId="3618" xr:uid="{00000000-0005-0000-0000-000006070000}"/>
    <cellStyle name="60% - Accent3 2 2 2 3" xfId="1809" xr:uid="{00000000-0005-0000-0000-000007070000}"/>
    <cellStyle name="60% - Accent3 2 2 2 3 2" xfId="4039" xr:uid="{00000000-0005-0000-0000-000008070000}"/>
    <cellStyle name="60% - Accent3 2 2 2 4" xfId="2230" xr:uid="{00000000-0005-0000-0000-000009070000}"/>
    <cellStyle name="60% - Accent3 2 2 2 4 2" xfId="4460" xr:uid="{00000000-0005-0000-0000-00000A070000}"/>
    <cellStyle name="60% - Accent3 2 2 2 5" xfId="968" xr:uid="{00000000-0005-0000-0000-00000B070000}"/>
    <cellStyle name="60% - Accent3 2 2 2 5 2" xfId="3198" xr:uid="{00000000-0005-0000-0000-00000C070000}"/>
    <cellStyle name="60% - Accent3 2 2 2 6" xfId="2757" xr:uid="{00000000-0005-0000-0000-00000D070000}"/>
    <cellStyle name="60% - Accent3 2 2 3" xfId="1178" xr:uid="{00000000-0005-0000-0000-00000E070000}"/>
    <cellStyle name="60% - Accent3 2 2 3 2" xfId="3408" xr:uid="{00000000-0005-0000-0000-00000F070000}"/>
    <cellStyle name="60% - Accent3 2 2 4" xfId="1599" xr:uid="{00000000-0005-0000-0000-000010070000}"/>
    <cellStyle name="60% - Accent3 2 2 4 2" xfId="3829" xr:uid="{00000000-0005-0000-0000-000011070000}"/>
    <cellStyle name="60% - Accent3 2 2 5" xfId="2020" xr:uid="{00000000-0005-0000-0000-000012070000}"/>
    <cellStyle name="60% - Accent3 2 2 5 2" xfId="4250" xr:uid="{00000000-0005-0000-0000-000013070000}"/>
    <cellStyle name="60% - Accent3 2 2 6" xfId="758" xr:uid="{00000000-0005-0000-0000-000014070000}"/>
    <cellStyle name="60% - Accent3 2 2 6 2" xfId="2988" xr:uid="{00000000-0005-0000-0000-000015070000}"/>
    <cellStyle name="60% - Accent3 2 2 7" xfId="2547" xr:uid="{00000000-0005-0000-0000-000016070000}"/>
    <cellStyle name="60% - Accent3 2 3" xfId="422" xr:uid="{00000000-0005-0000-0000-000017070000}"/>
    <cellStyle name="60% - Accent3 2 3 2" xfId="1283" xr:uid="{00000000-0005-0000-0000-000018070000}"/>
    <cellStyle name="60% - Accent3 2 3 2 2" xfId="3513" xr:uid="{00000000-0005-0000-0000-000019070000}"/>
    <cellStyle name="60% - Accent3 2 3 3" xfId="1704" xr:uid="{00000000-0005-0000-0000-00001A070000}"/>
    <cellStyle name="60% - Accent3 2 3 3 2" xfId="3934" xr:uid="{00000000-0005-0000-0000-00001B070000}"/>
    <cellStyle name="60% - Accent3 2 3 4" xfId="2125" xr:uid="{00000000-0005-0000-0000-00001C070000}"/>
    <cellStyle name="60% - Accent3 2 3 4 2" xfId="4355" xr:uid="{00000000-0005-0000-0000-00001D070000}"/>
    <cellStyle name="60% - Accent3 2 3 5" xfId="863" xr:uid="{00000000-0005-0000-0000-00001E070000}"/>
    <cellStyle name="60% - Accent3 2 3 5 2" xfId="3093" xr:uid="{00000000-0005-0000-0000-00001F070000}"/>
    <cellStyle name="60% - Accent3 2 3 6" xfId="2652" xr:uid="{00000000-0005-0000-0000-000020070000}"/>
    <cellStyle name="60% - Accent3 2 4" xfId="212" xr:uid="{00000000-0005-0000-0000-000021070000}"/>
    <cellStyle name="60% - Accent3 2 4 2" xfId="1073" xr:uid="{00000000-0005-0000-0000-000022070000}"/>
    <cellStyle name="60% - Accent3 2 4 2 2" xfId="3303" xr:uid="{00000000-0005-0000-0000-000023070000}"/>
    <cellStyle name="60% - Accent3 2 4 3" xfId="2442" xr:uid="{00000000-0005-0000-0000-000024070000}"/>
    <cellStyle name="60% - Accent3 2 5" xfId="1494" xr:uid="{00000000-0005-0000-0000-000025070000}"/>
    <cellStyle name="60% - Accent3 2 5 2" xfId="3724" xr:uid="{00000000-0005-0000-0000-000026070000}"/>
    <cellStyle name="60% - Accent3 2 6" xfId="1915" xr:uid="{00000000-0005-0000-0000-000027070000}"/>
    <cellStyle name="60% - Accent3 2 6 2" xfId="4145" xr:uid="{00000000-0005-0000-0000-000028070000}"/>
    <cellStyle name="60% - Accent3 2 7" xfId="653" xr:uid="{00000000-0005-0000-0000-000029070000}"/>
    <cellStyle name="60% - Accent3 2 7 2" xfId="2883" xr:uid="{00000000-0005-0000-0000-00002A070000}"/>
    <cellStyle name="60% - Accent3 2 8" xfId="2337" xr:uid="{00000000-0005-0000-0000-00002B070000}"/>
    <cellStyle name="60% - Accent3 3" xfId="126" xr:uid="{00000000-0005-0000-0000-00002C070000}"/>
    <cellStyle name="60% - Accent3 3 2" xfId="337" xr:uid="{00000000-0005-0000-0000-00002D070000}"/>
    <cellStyle name="60% - Accent3 3 2 2" xfId="547" xr:uid="{00000000-0005-0000-0000-00002E070000}"/>
    <cellStyle name="60% - Accent3 3 2 2 2" xfId="1408" xr:uid="{00000000-0005-0000-0000-00002F070000}"/>
    <cellStyle name="60% - Accent3 3 2 2 2 2" xfId="3638" xr:uid="{00000000-0005-0000-0000-000030070000}"/>
    <cellStyle name="60% - Accent3 3 2 2 3" xfId="1829" xr:uid="{00000000-0005-0000-0000-000031070000}"/>
    <cellStyle name="60% - Accent3 3 2 2 3 2" xfId="4059" xr:uid="{00000000-0005-0000-0000-000032070000}"/>
    <cellStyle name="60% - Accent3 3 2 2 4" xfId="2250" xr:uid="{00000000-0005-0000-0000-000033070000}"/>
    <cellStyle name="60% - Accent3 3 2 2 4 2" xfId="4480" xr:uid="{00000000-0005-0000-0000-000034070000}"/>
    <cellStyle name="60% - Accent3 3 2 2 5" xfId="988" xr:uid="{00000000-0005-0000-0000-000035070000}"/>
    <cellStyle name="60% - Accent3 3 2 2 5 2" xfId="3218" xr:uid="{00000000-0005-0000-0000-000036070000}"/>
    <cellStyle name="60% - Accent3 3 2 2 6" xfId="2777" xr:uid="{00000000-0005-0000-0000-000037070000}"/>
    <cellStyle name="60% - Accent3 3 2 3" xfId="1198" xr:uid="{00000000-0005-0000-0000-000038070000}"/>
    <cellStyle name="60% - Accent3 3 2 3 2" xfId="3428" xr:uid="{00000000-0005-0000-0000-000039070000}"/>
    <cellStyle name="60% - Accent3 3 2 4" xfId="1619" xr:uid="{00000000-0005-0000-0000-00003A070000}"/>
    <cellStyle name="60% - Accent3 3 2 4 2" xfId="3849" xr:uid="{00000000-0005-0000-0000-00003B070000}"/>
    <cellStyle name="60% - Accent3 3 2 5" xfId="2040" xr:uid="{00000000-0005-0000-0000-00003C070000}"/>
    <cellStyle name="60% - Accent3 3 2 5 2" xfId="4270" xr:uid="{00000000-0005-0000-0000-00003D070000}"/>
    <cellStyle name="60% - Accent3 3 2 6" xfId="778" xr:uid="{00000000-0005-0000-0000-00003E070000}"/>
    <cellStyle name="60% - Accent3 3 2 6 2" xfId="3008" xr:uid="{00000000-0005-0000-0000-00003F070000}"/>
    <cellStyle name="60% - Accent3 3 2 7" xfId="2567" xr:uid="{00000000-0005-0000-0000-000040070000}"/>
    <cellStyle name="60% - Accent3 3 3" xfId="442" xr:uid="{00000000-0005-0000-0000-000041070000}"/>
    <cellStyle name="60% - Accent3 3 3 2" xfId="1303" xr:uid="{00000000-0005-0000-0000-000042070000}"/>
    <cellStyle name="60% - Accent3 3 3 2 2" xfId="3533" xr:uid="{00000000-0005-0000-0000-000043070000}"/>
    <cellStyle name="60% - Accent3 3 3 3" xfId="1724" xr:uid="{00000000-0005-0000-0000-000044070000}"/>
    <cellStyle name="60% - Accent3 3 3 3 2" xfId="3954" xr:uid="{00000000-0005-0000-0000-000045070000}"/>
    <cellStyle name="60% - Accent3 3 3 4" xfId="2145" xr:uid="{00000000-0005-0000-0000-000046070000}"/>
    <cellStyle name="60% - Accent3 3 3 4 2" xfId="4375" xr:uid="{00000000-0005-0000-0000-000047070000}"/>
    <cellStyle name="60% - Accent3 3 3 5" xfId="883" xr:uid="{00000000-0005-0000-0000-000048070000}"/>
    <cellStyle name="60% - Accent3 3 3 5 2" xfId="3113" xr:uid="{00000000-0005-0000-0000-000049070000}"/>
    <cellStyle name="60% - Accent3 3 3 6" xfId="2672" xr:uid="{00000000-0005-0000-0000-00004A070000}"/>
    <cellStyle name="60% - Accent3 3 4" xfId="232" xr:uid="{00000000-0005-0000-0000-00004B070000}"/>
    <cellStyle name="60% - Accent3 3 4 2" xfId="1093" xr:uid="{00000000-0005-0000-0000-00004C070000}"/>
    <cellStyle name="60% - Accent3 3 4 2 2" xfId="3323" xr:uid="{00000000-0005-0000-0000-00004D070000}"/>
    <cellStyle name="60% - Accent3 3 4 3" xfId="2462" xr:uid="{00000000-0005-0000-0000-00004E070000}"/>
    <cellStyle name="60% - Accent3 3 5" xfId="1514" xr:uid="{00000000-0005-0000-0000-00004F070000}"/>
    <cellStyle name="60% - Accent3 3 5 2" xfId="3744" xr:uid="{00000000-0005-0000-0000-000050070000}"/>
    <cellStyle name="60% - Accent3 3 6" xfId="1935" xr:uid="{00000000-0005-0000-0000-000051070000}"/>
    <cellStyle name="60% - Accent3 3 6 2" xfId="4165" xr:uid="{00000000-0005-0000-0000-000052070000}"/>
    <cellStyle name="60% - Accent3 3 7" xfId="673" xr:uid="{00000000-0005-0000-0000-000053070000}"/>
    <cellStyle name="60% - Accent3 3 7 2" xfId="2903" xr:uid="{00000000-0005-0000-0000-000054070000}"/>
    <cellStyle name="60% - Accent3 3 8" xfId="2357" xr:uid="{00000000-0005-0000-0000-000055070000}"/>
    <cellStyle name="60% - Accent3 4" xfId="295" xr:uid="{00000000-0005-0000-0000-000056070000}"/>
    <cellStyle name="60% - Accent3 4 2" xfId="505" xr:uid="{00000000-0005-0000-0000-000057070000}"/>
    <cellStyle name="60% - Accent3 4 2 2" xfId="1366" xr:uid="{00000000-0005-0000-0000-000058070000}"/>
    <cellStyle name="60% - Accent3 4 2 2 2" xfId="3596" xr:uid="{00000000-0005-0000-0000-000059070000}"/>
    <cellStyle name="60% - Accent3 4 2 3" xfId="1787" xr:uid="{00000000-0005-0000-0000-00005A070000}"/>
    <cellStyle name="60% - Accent3 4 2 3 2" xfId="4017" xr:uid="{00000000-0005-0000-0000-00005B070000}"/>
    <cellStyle name="60% - Accent3 4 2 4" xfId="2208" xr:uid="{00000000-0005-0000-0000-00005C070000}"/>
    <cellStyle name="60% - Accent3 4 2 4 2" xfId="4438" xr:uid="{00000000-0005-0000-0000-00005D070000}"/>
    <cellStyle name="60% - Accent3 4 2 5" xfId="946" xr:uid="{00000000-0005-0000-0000-00005E070000}"/>
    <cellStyle name="60% - Accent3 4 2 5 2" xfId="3176" xr:uid="{00000000-0005-0000-0000-00005F070000}"/>
    <cellStyle name="60% - Accent3 4 2 6" xfId="2735" xr:uid="{00000000-0005-0000-0000-000060070000}"/>
    <cellStyle name="60% - Accent3 4 3" xfId="1156" xr:uid="{00000000-0005-0000-0000-000061070000}"/>
    <cellStyle name="60% - Accent3 4 3 2" xfId="3386" xr:uid="{00000000-0005-0000-0000-000062070000}"/>
    <cellStyle name="60% - Accent3 4 4" xfId="1577" xr:uid="{00000000-0005-0000-0000-000063070000}"/>
    <cellStyle name="60% - Accent3 4 4 2" xfId="3807" xr:uid="{00000000-0005-0000-0000-000064070000}"/>
    <cellStyle name="60% - Accent3 4 5" xfId="1998" xr:uid="{00000000-0005-0000-0000-000065070000}"/>
    <cellStyle name="60% - Accent3 4 5 2" xfId="4228" xr:uid="{00000000-0005-0000-0000-000066070000}"/>
    <cellStyle name="60% - Accent3 4 6" xfId="736" xr:uid="{00000000-0005-0000-0000-000067070000}"/>
    <cellStyle name="60% - Accent3 4 6 2" xfId="2966" xr:uid="{00000000-0005-0000-0000-000068070000}"/>
    <cellStyle name="60% - Accent3 4 7" xfId="2525" xr:uid="{00000000-0005-0000-0000-000069070000}"/>
    <cellStyle name="60% - Accent3 5" xfId="400" xr:uid="{00000000-0005-0000-0000-00006A070000}"/>
    <cellStyle name="60% - Accent3 5 2" xfId="1261" xr:uid="{00000000-0005-0000-0000-00006B070000}"/>
    <cellStyle name="60% - Accent3 5 2 2" xfId="3491" xr:uid="{00000000-0005-0000-0000-00006C070000}"/>
    <cellStyle name="60% - Accent3 5 3" xfId="1682" xr:uid="{00000000-0005-0000-0000-00006D070000}"/>
    <cellStyle name="60% - Accent3 5 3 2" xfId="3912" xr:uid="{00000000-0005-0000-0000-00006E070000}"/>
    <cellStyle name="60% - Accent3 5 4" xfId="2103" xr:uid="{00000000-0005-0000-0000-00006F070000}"/>
    <cellStyle name="60% - Accent3 5 4 2" xfId="4333" xr:uid="{00000000-0005-0000-0000-000070070000}"/>
    <cellStyle name="60% - Accent3 5 5" xfId="841" xr:uid="{00000000-0005-0000-0000-000071070000}"/>
    <cellStyle name="60% - Accent3 5 5 2" xfId="3071" xr:uid="{00000000-0005-0000-0000-000072070000}"/>
    <cellStyle name="60% - Accent3 5 6" xfId="2630" xr:uid="{00000000-0005-0000-0000-000073070000}"/>
    <cellStyle name="60% - Accent3 6" xfId="190" xr:uid="{00000000-0005-0000-0000-000074070000}"/>
    <cellStyle name="60% - Accent3 6 2" xfId="1051" xr:uid="{00000000-0005-0000-0000-000075070000}"/>
    <cellStyle name="60% - Accent3 6 2 2" xfId="3281" xr:uid="{00000000-0005-0000-0000-000076070000}"/>
    <cellStyle name="60% - Accent3 6 3" xfId="2420" xr:uid="{00000000-0005-0000-0000-000077070000}"/>
    <cellStyle name="60% - Accent3 7" xfId="568" xr:uid="{00000000-0005-0000-0000-000078070000}"/>
    <cellStyle name="60% - Accent3 7 2" xfId="1472" xr:uid="{00000000-0005-0000-0000-000079070000}"/>
    <cellStyle name="60% - Accent3 7 2 2" xfId="3702" xr:uid="{00000000-0005-0000-0000-00007A070000}"/>
    <cellStyle name="60% - Accent3 7 3" xfId="2798" xr:uid="{00000000-0005-0000-0000-00007B070000}"/>
    <cellStyle name="60% - Accent3 8" xfId="1893" xr:uid="{00000000-0005-0000-0000-00007C070000}"/>
    <cellStyle name="60% - Accent3 8 2" xfId="4123" xr:uid="{00000000-0005-0000-0000-00007D070000}"/>
    <cellStyle name="60% - Accent3 9" xfId="631" xr:uid="{00000000-0005-0000-0000-00007E070000}"/>
    <cellStyle name="60% - Accent3 9 2" xfId="2861" xr:uid="{00000000-0005-0000-0000-00007F070000}"/>
    <cellStyle name="60% - Accent4" xfId="85" builtinId="44" customBuiltin="1"/>
    <cellStyle name="60% - Accent4 10" xfId="2318" xr:uid="{00000000-0005-0000-0000-000081070000}"/>
    <cellStyle name="60% - Accent4 2" xfId="109" xr:uid="{00000000-0005-0000-0000-000082070000}"/>
    <cellStyle name="60% - Accent4 2 2" xfId="320" xr:uid="{00000000-0005-0000-0000-000083070000}"/>
    <cellStyle name="60% - Accent4 2 2 2" xfId="530" xr:uid="{00000000-0005-0000-0000-000084070000}"/>
    <cellStyle name="60% - Accent4 2 2 2 2" xfId="1391" xr:uid="{00000000-0005-0000-0000-000085070000}"/>
    <cellStyle name="60% - Accent4 2 2 2 2 2" xfId="3621" xr:uid="{00000000-0005-0000-0000-000086070000}"/>
    <cellStyle name="60% - Accent4 2 2 2 3" xfId="1812" xr:uid="{00000000-0005-0000-0000-000087070000}"/>
    <cellStyle name="60% - Accent4 2 2 2 3 2" xfId="4042" xr:uid="{00000000-0005-0000-0000-000088070000}"/>
    <cellStyle name="60% - Accent4 2 2 2 4" xfId="2233" xr:uid="{00000000-0005-0000-0000-000089070000}"/>
    <cellStyle name="60% - Accent4 2 2 2 4 2" xfId="4463" xr:uid="{00000000-0005-0000-0000-00008A070000}"/>
    <cellStyle name="60% - Accent4 2 2 2 5" xfId="971" xr:uid="{00000000-0005-0000-0000-00008B070000}"/>
    <cellStyle name="60% - Accent4 2 2 2 5 2" xfId="3201" xr:uid="{00000000-0005-0000-0000-00008C070000}"/>
    <cellStyle name="60% - Accent4 2 2 2 6" xfId="2760" xr:uid="{00000000-0005-0000-0000-00008D070000}"/>
    <cellStyle name="60% - Accent4 2 2 3" xfId="1181" xr:uid="{00000000-0005-0000-0000-00008E070000}"/>
    <cellStyle name="60% - Accent4 2 2 3 2" xfId="3411" xr:uid="{00000000-0005-0000-0000-00008F070000}"/>
    <cellStyle name="60% - Accent4 2 2 4" xfId="1602" xr:uid="{00000000-0005-0000-0000-000090070000}"/>
    <cellStyle name="60% - Accent4 2 2 4 2" xfId="3832" xr:uid="{00000000-0005-0000-0000-000091070000}"/>
    <cellStyle name="60% - Accent4 2 2 5" xfId="2023" xr:uid="{00000000-0005-0000-0000-000092070000}"/>
    <cellStyle name="60% - Accent4 2 2 5 2" xfId="4253" xr:uid="{00000000-0005-0000-0000-000093070000}"/>
    <cellStyle name="60% - Accent4 2 2 6" xfId="761" xr:uid="{00000000-0005-0000-0000-000094070000}"/>
    <cellStyle name="60% - Accent4 2 2 6 2" xfId="2991" xr:uid="{00000000-0005-0000-0000-000095070000}"/>
    <cellStyle name="60% - Accent4 2 2 7" xfId="2550" xr:uid="{00000000-0005-0000-0000-000096070000}"/>
    <cellStyle name="60% - Accent4 2 3" xfId="425" xr:uid="{00000000-0005-0000-0000-000097070000}"/>
    <cellStyle name="60% - Accent4 2 3 2" xfId="1286" xr:uid="{00000000-0005-0000-0000-000098070000}"/>
    <cellStyle name="60% - Accent4 2 3 2 2" xfId="3516" xr:uid="{00000000-0005-0000-0000-000099070000}"/>
    <cellStyle name="60% - Accent4 2 3 3" xfId="1707" xr:uid="{00000000-0005-0000-0000-00009A070000}"/>
    <cellStyle name="60% - Accent4 2 3 3 2" xfId="3937" xr:uid="{00000000-0005-0000-0000-00009B070000}"/>
    <cellStyle name="60% - Accent4 2 3 4" xfId="2128" xr:uid="{00000000-0005-0000-0000-00009C070000}"/>
    <cellStyle name="60% - Accent4 2 3 4 2" xfId="4358" xr:uid="{00000000-0005-0000-0000-00009D070000}"/>
    <cellStyle name="60% - Accent4 2 3 5" xfId="866" xr:uid="{00000000-0005-0000-0000-00009E070000}"/>
    <cellStyle name="60% - Accent4 2 3 5 2" xfId="3096" xr:uid="{00000000-0005-0000-0000-00009F070000}"/>
    <cellStyle name="60% - Accent4 2 3 6" xfId="2655" xr:uid="{00000000-0005-0000-0000-0000A0070000}"/>
    <cellStyle name="60% - Accent4 2 4" xfId="215" xr:uid="{00000000-0005-0000-0000-0000A1070000}"/>
    <cellStyle name="60% - Accent4 2 4 2" xfId="1076" xr:uid="{00000000-0005-0000-0000-0000A2070000}"/>
    <cellStyle name="60% - Accent4 2 4 2 2" xfId="3306" xr:uid="{00000000-0005-0000-0000-0000A3070000}"/>
    <cellStyle name="60% - Accent4 2 4 3" xfId="2445" xr:uid="{00000000-0005-0000-0000-0000A4070000}"/>
    <cellStyle name="60% - Accent4 2 5" xfId="1497" xr:uid="{00000000-0005-0000-0000-0000A5070000}"/>
    <cellStyle name="60% - Accent4 2 5 2" xfId="3727" xr:uid="{00000000-0005-0000-0000-0000A6070000}"/>
    <cellStyle name="60% - Accent4 2 6" xfId="1918" xr:uid="{00000000-0005-0000-0000-0000A7070000}"/>
    <cellStyle name="60% - Accent4 2 6 2" xfId="4148" xr:uid="{00000000-0005-0000-0000-0000A8070000}"/>
    <cellStyle name="60% - Accent4 2 7" xfId="656" xr:uid="{00000000-0005-0000-0000-0000A9070000}"/>
    <cellStyle name="60% - Accent4 2 7 2" xfId="2886" xr:uid="{00000000-0005-0000-0000-0000AA070000}"/>
    <cellStyle name="60% - Accent4 2 8" xfId="2340" xr:uid="{00000000-0005-0000-0000-0000AB070000}"/>
    <cellStyle name="60% - Accent4 3" xfId="129" xr:uid="{00000000-0005-0000-0000-0000AC070000}"/>
    <cellStyle name="60% - Accent4 3 2" xfId="340" xr:uid="{00000000-0005-0000-0000-0000AD070000}"/>
    <cellStyle name="60% - Accent4 3 2 2" xfId="550" xr:uid="{00000000-0005-0000-0000-0000AE070000}"/>
    <cellStyle name="60% - Accent4 3 2 2 2" xfId="1411" xr:uid="{00000000-0005-0000-0000-0000AF070000}"/>
    <cellStyle name="60% - Accent4 3 2 2 2 2" xfId="3641" xr:uid="{00000000-0005-0000-0000-0000B0070000}"/>
    <cellStyle name="60% - Accent4 3 2 2 3" xfId="1832" xr:uid="{00000000-0005-0000-0000-0000B1070000}"/>
    <cellStyle name="60% - Accent4 3 2 2 3 2" xfId="4062" xr:uid="{00000000-0005-0000-0000-0000B2070000}"/>
    <cellStyle name="60% - Accent4 3 2 2 4" xfId="2253" xr:uid="{00000000-0005-0000-0000-0000B3070000}"/>
    <cellStyle name="60% - Accent4 3 2 2 4 2" xfId="4483" xr:uid="{00000000-0005-0000-0000-0000B4070000}"/>
    <cellStyle name="60% - Accent4 3 2 2 5" xfId="991" xr:uid="{00000000-0005-0000-0000-0000B5070000}"/>
    <cellStyle name="60% - Accent4 3 2 2 5 2" xfId="3221" xr:uid="{00000000-0005-0000-0000-0000B6070000}"/>
    <cellStyle name="60% - Accent4 3 2 2 6" xfId="2780" xr:uid="{00000000-0005-0000-0000-0000B7070000}"/>
    <cellStyle name="60% - Accent4 3 2 3" xfId="1201" xr:uid="{00000000-0005-0000-0000-0000B8070000}"/>
    <cellStyle name="60% - Accent4 3 2 3 2" xfId="3431" xr:uid="{00000000-0005-0000-0000-0000B9070000}"/>
    <cellStyle name="60% - Accent4 3 2 4" xfId="1622" xr:uid="{00000000-0005-0000-0000-0000BA070000}"/>
    <cellStyle name="60% - Accent4 3 2 4 2" xfId="3852" xr:uid="{00000000-0005-0000-0000-0000BB070000}"/>
    <cellStyle name="60% - Accent4 3 2 5" xfId="2043" xr:uid="{00000000-0005-0000-0000-0000BC070000}"/>
    <cellStyle name="60% - Accent4 3 2 5 2" xfId="4273" xr:uid="{00000000-0005-0000-0000-0000BD070000}"/>
    <cellStyle name="60% - Accent4 3 2 6" xfId="781" xr:uid="{00000000-0005-0000-0000-0000BE070000}"/>
    <cellStyle name="60% - Accent4 3 2 6 2" xfId="3011" xr:uid="{00000000-0005-0000-0000-0000BF070000}"/>
    <cellStyle name="60% - Accent4 3 2 7" xfId="2570" xr:uid="{00000000-0005-0000-0000-0000C0070000}"/>
    <cellStyle name="60% - Accent4 3 3" xfId="445" xr:uid="{00000000-0005-0000-0000-0000C1070000}"/>
    <cellStyle name="60% - Accent4 3 3 2" xfId="1306" xr:uid="{00000000-0005-0000-0000-0000C2070000}"/>
    <cellStyle name="60% - Accent4 3 3 2 2" xfId="3536" xr:uid="{00000000-0005-0000-0000-0000C3070000}"/>
    <cellStyle name="60% - Accent4 3 3 3" xfId="1727" xr:uid="{00000000-0005-0000-0000-0000C4070000}"/>
    <cellStyle name="60% - Accent4 3 3 3 2" xfId="3957" xr:uid="{00000000-0005-0000-0000-0000C5070000}"/>
    <cellStyle name="60% - Accent4 3 3 4" xfId="2148" xr:uid="{00000000-0005-0000-0000-0000C6070000}"/>
    <cellStyle name="60% - Accent4 3 3 4 2" xfId="4378" xr:uid="{00000000-0005-0000-0000-0000C7070000}"/>
    <cellStyle name="60% - Accent4 3 3 5" xfId="886" xr:uid="{00000000-0005-0000-0000-0000C8070000}"/>
    <cellStyle name="60% - Accent4 3 3 5 2" xfId="3116" xr:uid="{00000000-0005-0000-0000-0000C9070000}"/>
    <cellStyle name="60% - Accent4 3 3 6" xfId="2675" xr:uid="{00000000-0005-0000-0000-0000CA070000}"/>
    <cellStyle name="60% - Accent4 3 4" xfId="235" xr:uid="{00000000-0005-0000-0000-0000CB070000}"/>
    <cellStyle name="60% - Accent4 3 4 2" xfId="1096" xr:uid="{00000000-0005-0000-0000-0000CC070000}"/>
    <cellStyle name="60% - Accent4 3 4 2 2" xfId="3326" xr:uid="{00000000-0005-0000-0000-0000CD070000}"/>
    <cellStyle name="60% - Accent4 3 4 3" xfId="2465" xr:uid="{00000000-0005-0000-0000-0000CE070000}"/>
    <cellStyle name="60% - Accent4 3 5" xfId="1517" xr:uid="{00000000-0005-0000-0000-0000CF070000}"/>
    <cellStyle name="60% - Accent4 3 5 2" xfId="3747" xr:uid="{00000000-0005-0000-0000-0000D0070000}"/>
    <cellStyle name="60% - Accent4 3 6" xfId="1938" xr:uid="{00000000-0005-0000-0000-0000D1070000}"/>
    <cellStyle name="60% - Accent4 3 6 2" xfId="4168" xr:uid="{00000000-0005-0000-0000-0000D2070000}"/>
    <cellStyle name="60% - Accent4 3 7" xfId="676" xr:uid="{00000000-0005-0000-0000-0000D3070000}"/>
    <cellStyle name="60% - Accent4 3 7 2" xfId="2906" xr:uid="{00000000-0005-0000-0000-0000D4070000}"/>
    <cellStyle name="60% - Accent4 3 8" xfId="2360" xr:uid="{00000000-0005-0000-0000-0000D5070000}"/>
    <cellStyle name="60% - Accent4 4" xfId="298" xr:uid="{00000000-0005-0000-0000-0000D6070000}"/>
    <cellStyle name="60% - Accent4 4 2" xfId="508" xr:uid="{00000000-0005-0000-0000-0000D7070000}"/>
    <cellStyle name="60% - Accent4 4 2 2" xfId="1369" xr:uid="{00000000-0005-0000-0000-0000D8070000}"/>
    <cellStyle name="60% - Accent4 4 2 2 2" xfId="3599" xr:uid="{00000000-0005-0000-0000-0000D9070000}"/>
    <cellStyle name="60% - Accent4 4 2 3" xfId="1790" xr:uid="{00000000-0005-0000-0000-0000DA070000}"/>
    <cellStyle name="60% - Accent4 4 2 3 2" xfId="4020" xr:uid="{00000000-0005-0000-0000-0000DB070000}"/>
    <cellStyle name="60% - Accent4 4 2 4" xfId="2211" xr:uid="{00000000-0005-0000-0000-0000DC070000}"/>
    <cellStyle name="60% - Accent4 4 2 4 2" xfId="4441" xr:uid="{00000000-0005-0000-0000-0000DD070000}"/>
    <cellStyle name="60% - Accent4 4 2 5" xfId="949" xr:uid="{00000000-0005-0000-0000-0000DE070000}"/>
    <cellStyle name="60% - Accent4 4 2 5 2" xfId="3179" xr:uid="{00000000-0005-0000-0000-0000DF070000}"/>
    <cellStyle name="60% - Accent4 4 2 6" xfId="2738" xr:uid="{00000000-0005-0000-0000-0000E0070000}"/>
    <cellStyle name="60% - Accent4 4 3" xfId="1159" xr:uid="{00000000-0005-0000-0000-0000E1070000}"/>
    <cellStyle name="60% - Accent4 4 3 2" xfId="3389" xr:uid="{00000000-0005-0000-0000-0000E2070000}"/>
    <cellStyle name="60% - Accent4 4 4" xfId="1580" xr:uid="{00000000-0005-0000-0000-0000E3070000}"/>
    <cellStyle name="60% - Accent4 4 4 2" xfId="3810" xr:uid="{00000000-0005-0000-0000-0000E4070000}"/>
    <cellStyle name="60% - Accent4 4 5" xfId="2001" xr:uid="{00000000-0005-0000-0000-0000E5070000}"/>
    <cellStyle name="60% - Accent4 4 5 2" xfId="4231" xr:uid="{00000000-0005-0000-0000-0000E6070000}"/>
    <cellStyle name="60% - Accent4 4 6" xfId="739" xr:uid="{00000000-0005-0000-0000-0000E7070000}"/>
    <cellStyle name="60% - Accent4 4 6 2" xfId="2969" xr:uid="{00000000-0005-0000-0000-0000E8070000}"/>
    <cellStyle name="60% - Accent4 4 7" xfId="2528" xr:uid="{00000000-0005-0000-0000-0000E9070000}"/>
    <cellStyle name="60% - Accent4 5" xfId="403" xr:uid="{00000000-0005-0000-0000-0000EA070000}"/>
    <cellStyle name="60% - Accent4 5 2" xfId="1264" xr:uid="{00000000-0005-0000-0000-0000EB070000}"/>
    <cellStyle name="60% - Accent4 5 2 2" xfId="3494" xr:uid="{00000000-0005-0000-0000-0000EC070000}"/>
    <cellStyle name="60% - Accent4 5 3" xfId="1685" xr:uid="{00000000-0005-0000-0000-0000ED070000}"/>
    <cellStyle name="60% - Accent4 5 3 2" xfId="3915" xr:uid="{00000000-0005-0000-0000-0000EE070000}"/>
    <cellStyle name="60% - Accent4 5 4" xfId="2106" xr:uid="{00000000-0005-0000-0000-0000EF070000}"/>
    <cellStyle name="60% - Accent4 5 4 2" xfId="4336" xr:uid="{00000000-0005-0000-0000-0000F0070000}"/>
    <cellStyle name="60% - Accent4 5 5" xfId="844" xr:uid="{00000000-0005-0000-0000-0000F1070000}"/>
    <cellStyle name="60% - Accent4 5 5 2" xfId="3074" xr:uid="{00000000-0005-0000-0000-0000F2070000}"/>
    <cellStyle name="60% - Accent4 5 6" xfId="2633" xr:uid="{00000000-0005-0000-0000-0000F3070000}"/>
    <cellStyle name="60% - Accent4 6" xfId="193" xr:uid="{00000000-0005-0000-0000-0000F4070000}"/>
    <cellStyle name="60% - Accent4 6 2" xfId="1054" xr:uid="{00000000-0005-0000-0000-0000F5070000}"/>
    <cellStyle name="60% - Accent4 6 2 2" xfId="3284" xr:uid="{00000000-0005-0000-0000-0000F6070000}"/>
    <cellStyle name="60% - Accent4 6 3" xfId="2423" xr:uid="{00000000-0005-0000-0000-0000F7070000}"/>
    <cellStyle name="60% - Accent4 7" xfId="571" xr:uid="{00000000-0005-0000-0000-0000F8070000}"/>
    <cellStyle name="60% - Accent4 7 2" xfId="1475" xr:uid="{00000000-0005-0000-0000-0000F9070000}"/>
    <cellStyle name="60% - Accent4 7 2 2" xfId="3705" xr:uid="{00000000-0005-0000-0000-0000FA070000}"/>
    <cellStyle name="60% - Accent4 7 3" xfId="2801" xr:uid="{00000000-0005-0000-0000-0000FB070000}"/>
    <cellStyle name="60% - Accent4 8" xfId="1896" xr:uid="{00000000-0005-0000-0000-0000FC070000}"/>
    <cellStyle name="60% - Accent4 8 2" xfId="4126" xr:uid="{00000000-0005-0000-0000-0000FD070000}"/>
    <cellStyle name="60% - Accent4 9" xfId="634" xr:uid="{00000000-0005-0000-0000-0000FE070000}"/>
    <cellStyle name="60% - Accent4 9 2" xfId="2864" xr:uid="{00000000-0005-0000-0000-0000FF070000}"/>
    <cellStyle name="60% - Accent5" xfId="89" builtinId="48" customBuiltin="1"/>
    <cellStyle name="60% - Accent5 10" xfId="2321" xr:uid="{00000000-0005-0000-0000-000001080000}"/>
    <cellStyle name="60% - Accent5 2" xfId="112" xr:uid="{00000000-0005-0000-0000-000002080000}"/>
    <cellStyle name="60% - Accent5 2 2" xfId="323" xr:uid="{00000000-0005-0000-0000-000003080000}"/>
    <cellStyle name="60% - Accent5 2 2 2" xfId="533" xr:uid="{00000000-0005-0000-0000-000004080000}"/>
    <cellStyle name="60% - Accent5 2 2 2 2" xfId="1394" xr:uid="{00000000-0005-0000-0000-000005080000}"/>
    <cellStyle name="60% - Accent5 2 2 2 2 2" xfId="3624" xr:uid="{00000000-0005-0000-0000-000006080000}"/>
    <cellStyle name="60% - Accent5 2 2 2 3" xfId="1815" xr:uid="{00000000-0005-0000-0000-000007080000}"/>
    <cellStyle name="60% - Accent5 2 2 2 3 2" xfId="4045" xr:uid="{00000000-0005-0000-0000-000008080000}"/>
    <cellStyle name="60% - Accent5 2 2 2 4" xfId="2236" xr:uid="{00000000-0005-0000-0000-000009080000}"/>
    <cellStyle name="60% - Accent5 2 2 2 4 2" xfId="4466" xr:uid="{00000000-0005-0000-0000-00000A080000}"/>
    <cellStyle name="60% - Accent5 2 2 2 5" xfId="974" xr:uid="{00000000-0005-0000-0000-00000B080000}"/>
    <cellStyle name="60% - Accent5 2 2 2 5 2" xfId="3204" xr:uid="{00000000-0005-0000-0000-00000C080000}"/>
    <cellStyle name="60% - Accent5 2 2 2 6" xfId="2763" xr:uid="{00000000-0005-0000-0000-00000D080000}"/>
    <cellStyle name="60% - Accent5 2 2 3" xfId="1184" xr:uid="{00000000-0005-0000-0000-00000E080000}"/>
    <cellStyle name="60% - Accent5 2 2 3 2" xfId="3414" xr:uid="{00000000-0005-0000-0000-00000F080000}"/>
    <cellStyle name="60% - Accent5 2 2 4" xfId="1605" xr:uid="{00000000-0005-0000-0000-000010080000}"/>
    <cellStyle name="60% - Accent5 2 2 4 2" xfId="3835" xr:uid="{00000000-0005-0000-0000-000011080000}"/>
    <cellStyle name="60% - Accent5 2 2 5" xfId="2026" xr:uid="{00000000-0005-0000-0000-000012080000}"/>
    <cellStyle name="60% - Accent5 2 2 5 2" xfId="4256" xr:uid="{00000000-0005-0000-0000-000013080000}"/>
    <cellStyle name="60% - Accent5 2 2 6" xfId="764" xr:uid="{00000000-0005-0000-0000-000014080000}"/>
    <cellStyle name="60% - Accent5 2 2 6 2" xfId="2994" xr:uid="{00000000-0005-0000-0000-000015080000}"/>
    <cellStyle name="60% - Accent5 2 2 7" xfId="2553" xr:uid="{00000000-0005-0000-0000-000016080000}"/>
    <cellStyle name="60% - Accent5 2 3" xfId="428" xr:uid="{00000000-0005-0000-0000-000017080000}"/>
    <cellStyle name="60% - Accent5 2 3 2" xfId="1289" xr:uid="{00000000-0005-0000-0000-000018080000}"/>
    <cellStyle name="60% - Accent5 2 3 2 2" xfId="3519" xr:uid="{00000000-0005-0000-0000-000019080000}"/>
    <cellStyle name="60% - Accent5 2 3 3" xfId="1710" xr:uid="{00000000-0005-0000-0000-00001A080000}"/>
    <cellStyle name="60% - Accent5 2 3 3 2" xfId="3940" xr:uid="{00000000-0005-0000-0000-00001B080000}"/>
    <cellStyle name="60% - Accent5 2 3 4" xfId="2131" xr:uid="{00000000-0005-0000-0000-00001C080000}"/>
    <cellStyle name="60% - Accent5 2 3 4 2" xfId="4361" xr:uid="{00000000-0005-0000-0000-00001D080000}"/>
    <cellStyle name="60% - Accent5 2 3 5" xfId="869" xr:uid="{00000000-0005-0000-0000-00001E080000}"/>
    <cellStyle name="60% - Accent5 2 3 5 2" xfId="3099" xr:uid="{00000000-0005-0000-0000-00001F080000}"/>
    <cellStyle name="60% - Accent5 2 3 6" xfId="2658" xr:uid="{00000000-0005-0000-0000-000020080000}"/>
    <cellStyle name="60% - Accent5 2 4" xfId="218" xr:uid="{00000000-0005-0000-0000-000021080000}"/>
    <cellStyle name="60% - Accent5 2 4 2" xfId="1079" xr:uid="{00000000-0005-0000-0000-000022080000}"/>
    <cellStyle name="60% - Accent5 2 4 2 2" xfId="3309" xr:uid="{00000000-0005-0000-0000-000023080000}"/>
    <cellStyle name="60% - Accent5 2 4 3" xfId="2448" xr:uid="{00000000-0005-0000-0000-000024080000}"/>
    <cellStyle name="60% - Accent5 2 5" xfId="1500" xr:uid="{00000000-0005-0000-0000-000025080000}"/>
    <cellStyle name="60% - Accent5 2 5 2" xfId="3730" xr:uid="{00000000-0005-0000-0000-000026080000}"/>
    <cellStyle name="60% - Accent5 2 6" xfId="1921" xr:uid="{00000000-0005-0000-0000-000027080000}"/>
    <cellStyle name="60% - Accent5 2 6 2" xfId="4151" xr:uid="{00000000-0005-0000-0000-000028080000}"/>
    <cellStyle name="60% - Accent5 2 7" xfId="659" xr:uid="{00000000-0005-0000-0000-000029080000}"/>
    <cellStyle name="60% - Accent5 2 7 2" xfId="2889" xr:uid="{00000000-0005-0000-0000-00002A080000}"/>
    <cellStyle name="60% - Accent5 2 8" xfId="2343" xr:uid="{00000000-0005-0000-0000-00002B080000}"/>
    <cellStyle name="60% - Accent5 3" xfId="132" xr:uid="{00000000-0005-0000-0000-00002C080000}"/>
    <cellStyle name="60% - Accent5 3 2" xfId="343" xr:uid="{00000000-0005-0000-0000-00002D080000}"/>
    <cellStyle name="60% - Accent5 3 2 2" xfId="553" xr:uid="{00000000-0005-0000-0000-00002E080000}"/>
    <cellStyle name="60% - Accent5 3 2 2 2" xfId="1414" xr:uid="{00000000-0005-0000-0000-00002F080000}"/>
    <cellStyle name="60% - Accent5 3 2 2 2 2" xfId="3644" xr:uid="{00000000-0005-0000-0000-000030080000}"/>
    <cellStyle name="60% - Accent5 3 2 2 3" xfId="1835" xr:uid="{00000000-0005-0000-0000-000031080000}"/>
    <cellStyle name="60% - Accent5 3 2 2 3 2" xfId="4065" xr:uid="{00000000-0005-0000-0000-000032080000}"/>
    <cellStyle name="60% - Accent5 3 2 2 4" xfId="2256" xr:uid="{00000000-0005-0000-0000-000033080000}"/>
    <cellStyle name="60% - Accent5 3 2 2 4 2" xfId="4486" xr:uid="{00000000-0005-0000-0000-000034080000}"/>
    <cellStyle name="60% - Accent5 3 2 2 5" xfId="994" xr:uid="{00000000-0005-0000-0000-000035080000}"/>
    <cellStyle name="60% - Accent5 3 2 2 5 2" xfId="3224" xr:uid="{00000000-0005-0000-0000-000036080000}"/>
    <cellStyle name="60% - Accent5 3 2 2 6" xfId="2783" xr:uid="{00000000-0005-0000-0000-000037080000}"/>
    <cellStyle name="60% - Accent5 3 2 3" xfId="1204" xr:uid="{00000000-0005-0000-0000-000038080000}"/>
    <cellStyle name="60% - Accent5 3 2 3 2" xfId="3434" xr:uid="{00000000-0005-0000-0000-000039080000}"/>
    <cellStyle name="60% - Accent5 3 2 4" xfId="1625" xr:uid="{00000000-0005-0000-0000-00003A080000}"/>
    <cellStyle name="60% - Accent5 3 2 4 2" xfId="3855" xr:uid="{00000000-0005-0000-0000-00003B080000}"/>
    <cellStyle name="60% - Accent5 3 2 5" xfId="2046" xr:uid="{00000000-0005-0000-0000-00003C080000}"/>
    <cellStyle name="60% - Accent5 3 2 5 2" xfId="4276" xr:uid="{00000000-0005-0000-0000-00003D080000}"/>
    <cellStyle name="60% - Accent5 3 2 6" xfId="784" xr:uid="{00000000-0005-0000-0000-00003E080000}"/>
    <cellStyle name="60% - Accent5 3 2 6 2" xfId="3014" xr:uid="{00000000-0005-0000-0000-00003F080000}"/>
    <cellStyle name="60% - Accent5 3 2 7" xfId="2573" xr:uid="{00000000-0005-0000-0000-000040080000}"/>
    <cellStyle name="60% - Accent5 3 3" xfId="448" xr:uid="{00000000-0005-0000-0000-000041080000}"/>
    <cellStyle name="60% - Accent5 3 3 2" xfId="1309" xr:uid="{00000000-0005-0000-0000-000042080000}"/>
    <cellStyle name="60% - Accent5 3 3 2 2" xfId="3539" xr:uid="{00000000-0005-0000-0000-000043080000}"/>
    <cellStyle name="60% - Accent5 3 3 3" xfId="1730" xr:uid="{00000000-0005-0000-0000-000044080000}"/>
    <cellStyle name="60% - Accent5 3 3 3 2" xfId="3960" xr:uid="{00000000-0005-0000-0000-000045080000}"/>
    <cellStyle name="60% - Accent5 3 3 4" xfId="2151" xr:uid="{00000000-0005-0000-0000-000046080000}"/>
    <cellStyle name="60% - Accent5 3 3 4 2" xfId="4381" xr:uid="{00000000-0005-0000-0000-000047080000}"/>
    <cellStyle name="60% - Accent5 3 3 5" xfId="889" xr:uid="{00000000-0005-0000-0000-000048080000}"/>
    <cellStyle name="60% - Accent5 3 3 5 2" xfId="3119" xr:uid="{00000000-0005-0000-0000-000049080000}"/>
    <cellStyle name="60% - Accent5 3 3 6" xfId="2678" xr:uid="{00000000-0005-0000-0000-00004A080000}"/>
    <cellStyle name="60% - Accent5 3 4" xfId="238" xr:uid="{00000000-0005-0000-0000-00004B080000}"/>
    <cellStyle name="60% - Accent5 3 4 2" xfId="1099" xr:uid="{00000000-0005-0000-0000-00004C080000}"/>
    <cellStyle name="60% - Accent5 3 4 2 2" xfId="3329" xr:uid="{00000000-0005-0000-0000-00004D080000}"/>
    <cellStyle name="60% - Accent5 3 4 3" xfId="2468" xr:uid="{00000000-0005-0000-0000-00004E080000}"/>
    <cellStyle name="60% - Accent5 3 5" xfId="1520" xr:uid="{00000000-0005-0000-0000-00004F080000}"/>
    <cellStyle name="60% - Accent5 3 5 2" xfId="3750" xr:uid="{00000000-0005-0000-0000-000050080000}"/>
    <cellStyle name="60% - Accent5 3 6" xfId="1941" xr:uid="{00000000-0005-0000-0000-000051080000}"/>
    <cellStyle name="60% - Accent5 3 6 2" xfId="4171" xr:uid="{00000000-0005-0000-0000-000052080000}"/>
    <cellStyle name="60% - Accent5 3 7" xfId="679" xr:uid="{00000000-0005-0000-0000-000053080000}"/>
    <cellStyle name="60% - Accent5 3 7 2" xfId="2909" xr:uid="{00000000-0005-0000-0000-000054080000}"/>
    <cellStyle name="60% - Accent5 3 8" xfId="2363" xr:uid="{00000000-0005-0000-0000-000055080000}"/>
    <cellStyle name="60% - Accent5 4" xfId="301" xr:uid="{00000000-0005-0000-0000-000056080000}"/>
    <cellStyle name="60% - Accent5 4 2" xfId="511" xr:uid="{00000000-0005-0000-0000-000057080000}"/>
    <cellStyle name="60% - Accent5 4 2 2" xfId="1372" xr:uid="{00000000-0005-0000-0000-000058080000}"/>
    <cellStyle name="60% - Accent5 4 2 2 2" xfId="3602" xr:uid="{00000000-0005-0000-0000-000059080000}"/>
    <cellStyle name="60% - Accent5 4 2 3" xfId="1793" xr:uid="{00000000-0005-0000-0000-00005A080000}"/>
    <cellStyle name="60% - Accent5 4 2 3 2" xfId="4023" xr:uid="{00000000-0005-0000-0000-00005B080000}"/>
    <cellStyle name="60% - Accent5 4 2 4" xfId="2214" xr:uid="{00000000-0005-0000-0000-00005C080000}"/>
    <cellStyle name="60% - Accent5 4 2 4 2" xfId="4444" xr:uid="{00000000-0005-0000-0000-00005D080000}"/>
    <cellStyle name="60% - Accent5 4 2 5" xfId="952" xr:uid="{00000000-0005-0000-0000-00005E080000}"/>
    <cellStyle name="60% - Accent5 4 2 5 2" xfId="3182" xr:uid="{00000000-0005-0000-0000-00005F080000}"/>
    <cellStyle name="60% - Accent5 4 2 6" xfId="2741" xr:uid="{00000000-0005-0000-0000-000060080000}"/>
    <cellStyle name="60% - Accent5 4 3" xfId="1162" xr:uid="{00000000-0005-0000-0000-000061080000}"/>
    <cellStyle name="60% - Accent5 4 3 2" xfId="3392" xr:uid="{00000000-0005-0000-0000-000062080000}"/>
    <cellStyle name="60% - Accent5 4 4" xfId="1583" xr:uid="{00000000-0005-0000-0000-000063080000}"/>
    <cellStyle name="60% - Accent5 4 4 2" xfId="3813" xr:uid="{00000000-0005-0000-0000-000064080000}"/>
    <cellStyle name="60% - Accent5 4 5" xfId="2004" xr:uid="{00000000-0005-0000-0000-000065080000}"/>
    <cellStyle name="60% - Accent5 4 5 2" xfId="4234" xr:uid="{00000000-0005-0000-0000-000066080000}"/>
    <cellStyle name="60% - Accent5 4 6" xfId="742" xr:uid="{00000000-0005-0000-0000-000067080000}"/>
    <cellStyle name="60% - Accent5 4 6 2" xfId="2972" xr:uid="{00000000-0005-0000-0000-000068080000}"/>
    <cellStyle name="60% - Accent5 4 7" xfId="2531" xr:uid="{00000000-0005-0000-0000-000069080000}"/>
    <cellStyle name="60% - Accent5 5" xfId="406" xr:uid="{00000000-0005-0000-0000-00006A080000}"/>
    <cellStyle name="60% - Accent5 5 2" xfId="1267" xr:uid="{00000000-0005-0000-0000-00006B080000}"/>
    <cellStyle name="60% - Accent5 5 2 2" xfId="3497" xr:uid="{00000000-0005-0000-0000-00006C080000}"/>
    <cellStyle name="60% - Accent5 5 3" xfId="1688" xr:uid="{00000000-0005-0000-0000-00006D080000}"/>
    <cellStyle name="60% - Accent5 5 3 2" xfId="3918" xr:uid="{00000000-0005-0000-0000-00006E080000}"/>
    <cellStyle name="60% - Accent5 5 4" xfId="2109" xr:uid="{00000000-0005-0000-0000-00006F080000}"/>
    <cellStyle name="60% - Accent5 5 4 2" xfId="4339" xr:uid="{00000000-0005-0000-0000-000070080000}"/>
    <cellStyle name="60% - Accent5 5 5" xfId="847" xr:uid="{00000000-0005-0000-0000-000071080000}"/>
    <cellStyle name="60% - Accent5 5 5 2" xfId="3077" xr:uid="{00000000-0005-0000-0000-000072080000}"/>
    <cellStyle name="60% - Accent5 5 6" xfId="2636" xr:uid="{00000000-0005-0000-0000-000073080000}"/>
    <cellStyle name="60% - Accent5 6" xfId="196" xr:uid="{00000000-0005-0000-0000-000074080000}"/>
    <cellStyle name="60% - Accent5 6 2" xfId="1057" xr:uid="{00000000-0005-0000-0000-000075080000}"/>
    <cellStyle name="60% - Accent5 6 2 2" xfId="3287" xr:uid="{00000000-0005-0000-0000-000076080000}"/>
    <cellStyle name="60% - Accent5 6 3" xfId="2426" xr:uid="{00000000-0005-0000-0000-000077080000}"/>
    <cellStyle name="60% - Accent5 7" xfId="574" xr:uid="{00000000-0005-0000-0000-000078080000}"/>
    <cellStyle name="60% - Accent5 7 2" xfId="1478" xr:uid="{00000000-0005-0000-0000-000079080000}"/>
    <cellStyle name="60% - Accent5 7 2 2" xfId="3708" xr:uid="{00000000-0005-0000-0000-00007A080000}"/>
    <cellStyle name="60% - Accent5 7 3" xfId="2804" xr:uid="{00000000-0005-0000-0000-00007B080000}"/>
    <cellStyle name="60% - Accent5 8" xfId="1899" xr:uid="{00000000-0005-0000-0000-00007C080000}"/>
    <cellStyle name="60% - Accent5 8 2" xfId="4129" xr:uid="{00000000-0005-0000-0000-00007D080000}"/>
    <cellStyle name="60% - Accent5 9" xfId="637" xr:uid="{00000000-0005-0000-0000-00007E080000}"/>
    <cellStyle name="60% - Accent5 9 2" xfId="2867" xr:uid="{00000000-0005-0000-0000-00007F080000}"/>
    <cellStyle name="60% - Accent6" xfId="93" builtinId="52" customBuiltin="1"/>
    <cellStyle name="60% - Accent6 10" xfId="2324" xr:uid="{00000000-0005-0000-0000-000081080000}"/>
    <cellStyle name="60% - Accent6 2" xfId="115" xr:uid="{00000000-0005-0000-0000-000082080000}"/>
    <cellStyle name="60% - Accent6 2 2" xfId="326" xr:uid="{00000000-0005-0000-0000-000083080000}"/>
    <cellStyle name="60% - Accent6 2 2 2" xfId="536" xr:uid="{00000000-0005-0000-0000-000084080000}"/>
    <cellStyle name="60% - Accent6 2 2 2 2" xfId="1397" xr:uid="{00000000-0005-0000-0000-000085080000}"/>
    <cellStyle name="60% - Accent6 2 2 2 2 2" xfId="3627" xr:uid="{00000000-0005-0000-0000-000086080000}"/>
    <cellStyle name="60% - Accent6 2 2 2 3" xfId="1818" xr:uid="{00000000-0005-0000-0000-000087080000}"/>
    <cellStyle name="60% - Accent6 2 2 2 3 2" xfId="4048" xr:uid="{00000000-0005-0000-0000-000088080000}"/>
    <cellStyle name="60% - Accent6 2 2 2 4" xfId="2239" xr:uid="{00000000-0005-0000-0000-000089080000}"/>
    <cellStyle name="60% - Accent6 2 2 2 4 2" xfId="4469" xr:uid="{00000000-0005-0000-0000-00008A080000}"/>
    <cellStyle name="60% - Accent6 2 2 2 5" xfId="977" xr:uid="{00000000-0005-0000-0000-00008B080000}"/>
    <cellStyle name="60% - Accent6 2 2 2 5 2" xfId="3207" xr:uid="{00000000-0005-0000-0000-00008C080000}"/>
    <cellStyle name="60% - Accent6 2 2 2 6" xfId="2766" xr:uid="{00000000-0005-0000-0000-00008D080000}"/>
    <cellStyle name="60% - Accent6 2 2 3" xfId="1187" xr:uid="{00000000-0005-0000-0000-00008E080000}"/>
    <cellStyle name="60% - Accent6 2 2 3 2" xfId="3417" xr:uid="{00000000-0005-0000-0000-00008F080000}"/>
    <cellStyle name="60% - Accent6 2 2 4" xfId="1608" xr:uid="{00000000-0005-0000-0000-000090080000}"/>
    <cellStyle name="60% - Accent6 2 2 4 2" xfId="3838" xr:uid="{00000000-0005-0000-0000-000091080000}"/>
    <cellStyle name="60% - Accent6 2 2 5" xfId="2029" xr:uid="{00000000-0005-0000-0000-000092080000}"/>
    <cellStyle name="60% - Accent6 2 2 5 2" xfId="4259" xr:uid="{00000000-0005-0000-0000-000093080000}"/>
    <cellStyle name="60% - Accent6 2 2 6" xfId="767" xr:uid="{00000000-0005-0000-0000-000094080000}"/>
    <cellStyle name="60% - Accent6 2 2 6 2" xfId="2997" xr:uid="{00000000-0005-0000-0000-000095080000}"/>
    <cellStyle name="60% - Accent6 2 2 7" xfId="2556" xr:uid="{00000000-0005-0000-0000-000096080000}"/>
    <cellStyle name="60% - Accent6 2 3" xfId="431" xr:uid="{00000000-0005-0000-0000-000097080000}"/>
    <cellStyle name="60% - Accent6 2 3 2" xfId="1292" xr:uid="{00000000-0005-0000-0000-000098080000}"/>
    <cellStyle name="60% - Accent6 2 3 2 2" xfId="3522" xr:uid="{00000000-0005-0000-0000-000099080000}"/>
    <cellStyle name="60% - Accent6 2 3 3" xfId="1713" xr:uid="{00000000-0005-0000-0000-00009A080000}"/>
    <cellStyle name="60% - Accent6 2 3 3 2" xfId="3943" xr:uid="{00000000-0005-0000-0000-00009B080000}"/>
    <cellStyle name="60% - Accent6 2 3 4" xfId="2134" xr:uid="{00000000-0005-0000-0000-00009C080000}"/>
    <cellStyle name="60% - Accent6 2 3 4 2" xfId="4364" xr:uid="{00000000-0005-0000-0000-00009D080000}"/>
    <cellStyle name="60% - Accent6 2 3 5" xfId="872" xr:uid="{00000000-0005-0000-0000-00009E080000}"/>
    <cellStyle name="60% - Accent6 2 3 5 2" xfId="3102" xr:uid="{00000000-0005-0000-0000-00009F080000}"/>
    <cellStyle name="60% - Accent6 2 3 6" xfId="2661" xr:uid="{00000000-0005-0000-0000-0000A0080000}"/>
    <cellStyle name="60% - Accent6 2 4" xfId="221" xr:uid="{00000000-0005-0000-0000-0000A1080000}"/>
    <cellStyle name="60% - Accent6 2 4 2" xfId="1082" xr:uid="{00000000-0005-0000-0000-0000A2080000}"/>
    <cellStyle name="60% - Accent6 2 4 2 2" xfId="3312" xr:uid="{00000000-0005-0000-0000-0000A3080000}"/>
    <cellStyle name="60% - Accent6 2 4 3" xfId="2451" xr:uid="{00000000-0005-0000-0000-0000A4080000}"/>
    <cellStyle name="60% - Accent6 2 5" xfId="1503" xr:uid="{00000000-0005-0000-0000-0000A5080000}"/>
    <cellStyle name="60% - Accent6 2 5 2" xfId="3733" xr:uid="{00000000-0005-0000-0000-0000A6080000}"/>
    <cellStyle name="60% - Accent6 2 6" xfId="1924" xr:uid="{00000000-0005-0000-0000-0000A7080000}"/>
    <cellStyle name="60% - Accent6 2 6 2" xfId="4154" xr:uid="{00000000-0005-0000-0000-0000A8080000}"/>
    <cellStyle name="60% - Accent6 2 7" xfId="662" xr:uid="{00000000-0005-0000-0000-0000A9080000}"/>
    <cellStyle name="60% - Accent6 2 7 2" xfId="2892" xr:uid="{00000000-0005-0000-0000-0000AA080000}"/>
    <cellStyle name="60% - Accent6 2 8" xfId="2346" xr:uid="{00000000-0005-0000-0000-0000AB080000}"/>
    <cellStyle name="60% - Accent6 3" xfId="135" xr:uid="{00000000-0005-0000-0000-0000AC080000}"/>
    <cellStyle name="60% - Accent6 3 2" xfId="346" xr:uid="{00000000-0005-0000-0000-0000AD080000}"/>
    <cellStyle name="60% - Accent6 3 2 2" xfId="556" xr:uid="{00000000-0005-0000-0000-0000AE080000}"/>
    <cellStyle name="60% - Accent6 3 2 2 2" xfId="1417" xr:uid="{00000000-0005-0000-0000-0000AF080000}"/>
    <cellStyle name="60% - Accent6 3 2 2 2 2" xfId="3647" xr:uid="{00000000-0005-0000-0000-0000B0080000}"/>
    <cellStyle name="60% - Accent6 3 2 2 3" xfId="1838" xr:uid="{00000000-0005-0000-0000-0000B1080000}"/>
    <cellStyle name="60% - Accent6 3 2 2 3 2" xfId="4068" xr:uid="{00000000-0005-0000-0000-0000B2080000}"/>
    <cellStyle name="60% - Accent6 3 2 2 4" xfId="2259" xr:uid="{00000000-0005-0000-0000-0000B3080000}"/>
    <cellStyle name="60% - Accent6 3 2 2 4 2" xfId="4489" xr:uid="{00000000-0005-0000-0000-0000B4080000}"/>
    <cellStyle name="60% - Accent6 3 2 2 5" xfId="997" xr:uid="{00000000-0005-0000-0000-0000B5080000}"/>
    <cellStyle name="60% - Accent6 3 2 2 5 2" xfId="3227" xr:uid="{00000000-0005-0000-0000-0000B6080000}"/>
    <cellStyle name="60% - Accent6 3 2 2 6" xfId="2786" xr:uid="{00000000-0005-0000-0000-0000B7080000}"/>
    <cellStyle name="60% - Accent6 3 2 3" xfId="1207" xr:uid="{00000000-0005-0000-0000-0000B8080000}"/>
    <cellStyle name="60% - Accent6 3 2 3 2" xfId="3437" xr:uid="{00000000-0005-0000-0000-0000B9080000}"/>
    <cellStyle name="60% - Accent6 3 2 4" xfId="1628" xr:uid="{00000000-0005-0000-0000-0000BA080000}"/>
    <cellStyle name="60% - Accent6 3 2 4 2" xfId="3858" xr:uid="{00000000-0005-0000-0000-0000BB080000}"/>
    <cellStyle name="60% - Accent6 3 2 5" xfId="2049" xr:uid="{00000000-0005-0000-0000-0000BC080000}"/>
    <cellStyle name="60% - Accent6 3 2 5 2" xfId="4279" xr:uid="{00000000-0005-0000-0000-0000BD080000}"/>
    <cellStyle name="60% - Accent6 3 2 6" xfId="787" xr:uid="{00000000-0005-0000-0000-0000BE080000}"/>
    <cellStyle name="60% - Accent6 3 2 6 2" xfId="3017" xr:uid="{00000000-0005-0000-0000-0000BF080000}"/>
    <cellStyle name="60% - Accent6 3 2 7" xfId="2576" xr:uid="{00000000-0005-0000-0000-0000C0080000}"/>
    <cellStyle name="60% - Accent6 3 3" xfId="451" xr:uid="{00000000-0005-0000-0000-0000C1080000}"/>
    <cellStyle name="60% - Accent6 3 3 2" xfId="1312" xr:uid="{00000000-0005-0000-0000-0000C2080000}"/>
    <cellStyle name="60% - Accent6 3 3 2 2" xfId="3542" xr:uid="{00000000-0005-0000-0000-0000C3080000}"/>
    <cellStyle name="60% - Accent6 3 3 3" xfId="1733" xr:uid="{00000000-0005-0000-0000-0000C4080000}"/>
    <cellStyle name="60% - Accent6 3 3 3 2" xfId="3963" xr:uid="{00000000-0005-0000-0000-0000C5080000}"/>
    <cellStyle name="60% - Accent6 3 3 4" xfId="2154" xr:uid="{00000000-0005-0000-0000-0000C6080000}"/>
    <cellStyle name="60% - Accent6 3 3 4 2" xfId="4384" xr:uid="{00000000-0005-0000-0000-0000C7080000}"/>
    <cellStyle name="60% - Accent6 3 3 5" xfId="892" xr:uid="{00000000-0005-0000-0000-0000C8080000}"/>
    <cellStyle name="60% - Accent6 3 3 5 2" xfId="3122" xr:uid="{00000000-0005-0000-0000-0000C9080000}"/>
    <cellStyle name="60% - Accent6 3 3 6" xfId="2681" xr:uid="{00000000-0005-0000-0000-0000CA080000}"/>
    <cellStyle name="60% - Accent6 3 4" xfId="241" xr:uid="{00000000-0005-0000-0000-0000CB080000}"/>
    <cellStyle name="60% - Accent6 3 4 2" xfId="1102" xr:uid="{00000000-0005-0000-0000-0000CC080000}"/>
    <cellStyle name="60% - Accent6 3 4 2 2" xfId="3332" xr:uid="{00000000-0005-0000-0000-0000CD080000}"/>
    <cellStyle name="60% - Accent6 3 4 3" xfId="2471" xr:uid="{00000000-0005-0000-0000-0000CE080000}"/>
    <cellStyle name="60% - Accent6 3 5" xfId="1523" xr:uid="{00000000-0005-0000-0000-0000CF080000}"/>
    <cellStyle name="60% - Accent6 3 5 2" xfId="3753" xr:uid="{00000000-0005-0000-0000-0000D0080000}"/>
    <cellStyle name="60% - Accent6 3 6" xfId="1944" xr:uid="{00000000-0005-0000-0000-0000D1080000}"/>
    <cellStyle name="60% - Accent6 3 6 2" xfId="4174" xr:uid="{00000000-0005-0000-0000-0000D2080000}"/>
    <cellStyle name="60% - Accent6 3 7" xfId="682" xr:uid="{00000000-0005-0000-0000-0000D3080000}"/>
    <cellStyle name="60% - Accent6 3 7 2" xfId="2912" xr:uid="{00000000-0005-0000-0000-0000D4080000}"/>
    <cellStyle name="60% - Accent6 3 8" xfId="2366" xr:uid="{00000000-0005-0000-0000-0000D5080000}"/>
    <cellStyle name="60% - Accent6 4" xfId="304" xr:uid="{00000000-0005-0000-0000-0000D6080000}"/>
    <cellStyle name="60% - Accent6 4 2" xfId="514" xr:uid="{00000000-0005-0000-0000-0000D7080000}"/>
    <cellStyle name="60% - Accent6 4 2 2" xfId="1375" xr:uid="{00000000-0005-0000-0000-0000D8080000}"/>
    <cellStyle name="60% - Accent6 4 2 2 2" xfId="3605" xr:uid="{00000000-0005-0000-0000-0000D9080000}"/>
    <cellStyle name="60% - Accent6 4 2 3" xfId="1796" xr:uid="{00000000-0005-0000-0000-0000DA080000}"/>
    <cellStyle name="60% - Accent6 4 2 3 2" xfId="4026" xr:uid="{00000000-0005-0000-0000-0000DB080000}"/>
    <cellStyle name="60% - Accent6 4 2 4" xfId="2217" xr:uid="{00000000-0005-0000-0000-0000DC080000}"/>
    <cellStyle name="60% - Accent6 4 2 4 2" xfId="4447" xr:uid="{00000000-0005-0000-0000-0000DD080000}"/>
    <cellStyle name="60% - Accent6 4 2 5" xfId="955" xr:uid="{00000000-0005-0000-0000-0000DE080000}"/>
    <cellStyle name="60% - Accent6 4 2 5 2" xfId="3185" xr:uid="{00000000-0005-0000-0000-0000DF080000}"/>
    <cellStyle name="60% - Accent6 4 2 6" xfId="2744" xr:uid="{00000000-0005-0000-0000-0000E0080000}"/>
    <cellStyle name="60% - Accent6 4 3" xfId="1165" xr:uid="{00000000-0005-0000-0000-0000E1080000}"/>
    <cellStyle name="60% - Accent6 4 3 2" xfId="3395" xr:uid="{00000000-0005-0000-0000-0000E2080000}"/>
    <cellStyle name="60% - Accent6 4 4" xfId="1586" xr:uid="{00000000-0005-0000-0000-0000E3080000}"/>
    <cellStyle name="60% - Accent6 4 4 2" xfId="3816" xr:uid="{00000000-0005-0000-0000-0000E4080000}"/>
    <cellStyle name="60% - Accent6 4 5" xfId="2007" xr:uid="{00000000-0005-0000-0000-0000E5080000}"/>
    <cellStyle name="60% - Accent6 4 5 2" xfId="4237" xr:uid="{00000000-0005-0000-0000-0000E6080000}"/>
    <cellStyle name="60% - Accent6 4 6" xfId="745" xr:uid="{00000000-0005-0000-0000-0000E7080000}"/>
    <cellStyle name="60% - Accent6 4 6 2" xfId="2975" xr:uid="{00000000-0005-0000-0000-0000E8080000}"/>
    <cellStyle name="60% - Accent6 4 7" xfId="2534" xr:uid="{00000000-0005-0000-0000-0000E9080000}"/>
    <cellStyle name="60% - Accent6 5" xfId="409" xr:uid="{00000000-0005-0000-0000-0000EA080000}"/>
    <cellStyle name="60% - Accent6 5 2" xfId="1270" xr:uid="{00000000-0005-0000-0000-0000EB080000}"/>
    <cellStyle name="60% - Accent6 5 2 2" xfId="3500" xr:uid="{00000000-0005-0000-0000-0000EC080000}"/>
    <cellStyle name="60% - Accent6 5 3" xfId="1691" xr:uid="{00000000-0005-0000-0000-0000ED080000}"/>
    <cellStyle name="60% - Accent6 5 3 2" xfId="3921" xr:uid="{00000000-0005-0000-0000-0000EE080000}"/>
    <cellStyle name="60% - Accent6 5 4" xfId="2112" xr:uid="{00000000-0005-0000-0000-0000EF080000}"/>
    <cellStyle name="60% - Accent6 5 4 2" xfId="4342" xr:uid="{00000000-0005-0000-0000-0000F0080000}"/>
    <cellStyle name="60% - Accent6 5 5" xfId="850" xr:uid="{00000000-0005-0000-0000-0000F1080000}"/>
    <cellStyle name="60% - Accent6 5 5 2" xfId="3080" xr:uid="{00000000-0005-0000-0000-0000F2080000}"/>
    <cellStyle name="60% - Accent6 5 6" xfId="2639" xr:uid="{00000000-0005-0000-0000-0000F3080000}"/>
    <cellStyle name="60% - Accent6 6" xfId="199" xr:uid="{00000000-0005-0000-0000-0000F4080000}"/>
    <cellStyle name="60% - Accent6 6 2" xfId="1060" xr:uid="{00000000-0005-0000-0000-0000F5080000}"/>
    <cellStyle name="60% - Accent6 6 2 2" xfId="3290" xr:uid="{00000000-0005-0000-0000-0000F6080000}"/>
    <cellStyle name="60% - Accent6 6 3" xfId="2429" xr:uid="{00000000-0005-0000-0000-0000F7080000}"/>
    <cellStyle name="60% - Accent6 7" xfId="577" xr:uid="{00000000-0005-0000-0000-0000F8080000}"/>
    <cellStyle name="60% - Accent6 7 2" xfId="1481" xr:uid="{00000000-0005-0000-0000-0000F9080000}"/>
    <cellStyle name="60% - Accent6 7 2 2" xfId="3711" xr:uid="{00000000-0005-0000-0000-0000FA080000}"/>
    <cellStyle name="60% - Accent6 7 3" xfId="2807" xr:uid="{00000000-0005-0000-0000-0000FB080000}"/>
    <cellStyle name="60% - Accent6 8" xfId="1902" xr:uid="{00000000-0005-0000-0000-0000FC080000}"/>
    <cellStyle name="60% - Accent6 8 2" xfId="4132" xr:uid="{00000000-0005-0000-0000-0000FD080000}"/>
    <cellStyle name="60% - Accent6 9" xfId="640" xr:uid="{00000000-0005-0000-0000-0000FE080000}"/>
    <cellStyle name="60% - Accent6 9 2" xfId="2870" xr:uid="{00000000-0005-0000-0000-0000FF080000}"/>
    <cellStyle name="Accent1" xfId="70" builtinId="29" customBuiltin="1"/>
    <cellStyle name="Accent2" xfId="74" builtinId="33" customBuiltin="1"/>
    <cellStyle name="Accent3" xfId="78" builtinId="37" customBuiltin="1"/>
    <cellStyle name="Accent4" xfId="82" builtinId="41" customBuiltin="1"/>
    <cellStyle name="Accent5" xfId="86" builtinId="45" customBuiltin="1"/>
    <cellStyle name="Accent6" xfId="90" builtinId="49" customBuiltin="1"/>
    <cellStyle name="Bad" xfId="60" builtinId="27" customBuiltin="1"/>
    <cellStyle name="Calculation" xfId="64" builtinId="22" customBuiltin="1"/>
    <cellStyle name="Check Cell" xfId="66" builtinId="23" customBuiltin="1"/>
    <cellStyle name="Comma" xfId="1" builtinId="3"/>
    <cellStyle name="Comma 10" xfId="1419" xr:uid="{00000000-0005-0000-0000-00000A090000}"/>
    <cellStyle name="Comma 10 2" xfId="3649" xr:uid="{00000000-0005-0000-0000-00000B090000}"/>
    <cellStyle name="Comma 11" xfId="1840" xr:uid="{00000000-0005-0000-0000-00000C090000}"/>
    <cellStyle name="Comma 11 2" xfId="4070" xr:uid="{00000000-0005-0000-0000-00000D090000}"/>
    <cellStyle name="Comma 12" xfId="578" xr:uid="{00000000-0005-0000-0000-00000E090000}"/>
    <cellStyle name="Comma 12 2" xfId="2808" xr:uid="{00000000-0005-0000-0000-00000F090000}"/>
    <cellStyle name="Comma 13" xfId="2262" xr:uid="{00000000-0005-0000-0000-000010090000}"/>
    <cellStyle name="Comma 14" xfId="4498" xr:uid="{C2F61396-C3C6-408D-A3C1-30FEB67A162A}"/>
    <cellStyle name="Comma 2" xfId="4" xr:uid="{00000000-0005-0000-0000-000011090000}"/>
    <cellStyle name="Comma 2 10" xfId="1842" xr:uid="{00000000-0005-0000-0000-000012090000}"/>
    <cellStyle name="Comma 2 10 2" xfId="4072" xr:uid="{00000000-0005-0000-0000-000013090000}"/>
    <cellStyle name="Comma 2 11" xfId="580" xr:uid="{00000000-0005-0000-0000-000014090000}"/>
    <cellStyle name="Comma 2 11 2" xfId="2810" xr:uid="{00000000-0005-0000-0000-000015090000}"/>
    <cellStyle name="Comma 2 12" xfId="2264" xr:uid="{00000000-0005-0000-0000-000016090000}"/>
    <cellStyle name="Comma 2 2" xfId="24" xr:uid="{00000000-0005-0000-0000-000017090000}"/>
    <cellStyle name="Comma 2 2 2" xfId="257" xr:uid="{00000000-0005-0000-0000-000018090000}"/>
    <cellStyle name="Comma 2 2 2 2" xfId="467" xr:uid="{00000000-0005-0000-0000-000019090000}"/>
    <cellStyle name="Comma 2 2 2 2 2" xfId="1328" xr:uid="{00000000-0005-0000-0000-00001A090000}"/>
    <cellStyle name="Comma 2 2 2 2 2 2" xfId="3558" xr:uid="{00000000-0005-0000-0000-00001B090000}"/>
    <cellStyle name="Comma 2 2 2 2 3" xfId="1749" xr:uid="{00000000-0005-0000-0000-00001C090000}"/>
    <cellStyle name="Comma 2 2 2 2 3 2" xfId="3979" xr:uid="{00000000-0005-0000-0000-00001D090000}"/>
    <cellStyle name="Comma 2 2 2 2 4" xfId="2170" xr:uid="{00000000-0005-0000-0000-00001E090000}"/>
    <cellStyle name="Comma 2 2 2 2 4 2" xfId="4400" xr:uid="{00000000-0005-0000-0000-00001F090000}"/>
    <cellStyle name="Comma 2 2 2 2 5" xfId="908" xr:uid="{00000000-0005-0000-0000-000020090000}"/>
    <cellStyle name="Comma 2 2 2 2 5 2" xfId="3138" xr:uid="{00000000-0005-0000-0000-000021090000}"/>
    <cellStyle name="Comma 2 2 2 2 6" xfId="2697" xr:uid="{00000000-0005-0000-0000-000022090000}"/>
    <cellStyle name="Comma 2 2 2 3" xfId="1118" xr:uid="{00000000-0005-0000-0000-000023090000}"/>
    <cellStyle name="Comma 2 2 2 3 2" xfId="3348" xr:uid="{00000000-0005-0000-0000-000024090000}"/>
    <cellStyle name="Comma 2 2 2 4" xfId="1539" xr:uid="{00000000-0005-0000-0000-000025090000}"/>
    <cellStyle name="Comma 2 2 2 4 2" xfId="3769" xr:uid="{00000000-0005-0000-0000-000026090000}"/>
    <cellStyle name="Comma 2 2 2 5" xfId="1960" xr:uid="{00000000-0005-0000-0000-000027090000}"/>
    <cellStyle name="Comma 2 2 2 5 2" xfId="4190" xr:uid="{00000000-0005-0000-0000-000028090000}"/>
    <cellStyle name="Comma 2 2 2 6" xfId="698" xr:uid="{00000000-0005-0000-0000-000029090000}"/>
    <cellStyle name="Comma 2 2 2 6 2" xfId="2928" xr:uid="{00000000-0005-0000-0000-00002A090000}"/>
    <cellStyle name="Comma 2 2 2 7" xfId="2487" xr:uid="{00000000-0005-0000-0000-00002B090000}"/>
    <cellStyle name="Comma 2 2 3" xfId="362" xr:uid="{00000000-0005-0000-0000-00002C090000}"/>
    <cellStyle name="Comma 2 2 3 2" xfId="1223" xr:uid="{00000000-0005-0000-0000-00002D090000}"/>
    <cellStyle name="Comma 2 2 3 2 2" xfId="3453" xr:uid="{00000000-0005-0000-0000-00002E090000}"/>
    <cellStyle name="Comma 2 2 3 3" xfId="1644" xr:uid="{00000000-0005-0000-0000-00002F090000}"/>
    <cellStyle name="Comma 2 2 3 3 2" xfId="3874" xr:uid="{00000000-0005-0000-0000-000030090000}"/>
    <cellStyle name="Comma 2 2 3 4" xfId="2065" xr:uid="{00000000-0005-0000-0000-000031090000}"/>
    <cellStyle name="Comma 2 2 3 4 2" xfId="4295" xr:uid="{00000000-0005-0000-0000-000032090000}"/>
    <cellStyle name="Comma 2 2 3 5" xfId="803" xr:uid="{00000000-0005-0000-0000-000033090000}"/>
    <cellStyle name="Comma 2 2 3 5 2" xfId="3033" xr:uid="{00000000-0005-0000-0000-000034090000}"/>
    <cellStyle name="Comma 2 2 3 6" xfId="2592" xr:uid="{00000000-0005-0000-0000-000035090000}"/>
    <cellStyle name="Comma 2 2 4" xfId="152" xr:uid="{00000000-0005-0000-0000-000036090000}"/>
    <cellStyle name="Comma 2 2 4 2" xfId="1013" xr:uid="{00000000-0005-0000-0000-000037090000}"/>
    <cellStyle name="Comma 2 2 4 2 2" xfId="3243" xr:uid="{00000000-0005-0000-0000-000038090000}"/>
    <cellStyle name="Comma 2 2 4 3" xfId="2382" xr:uid="{00000000-0005-0000-0000-000039090000}"/>
    <cellStyle name="Comma 2 2 5" xfId="1434" xr:uid="{00000000-0005-0000-0000-00003A090000}"/>
    <cellStyle name="Comma 2 2 5 2" xfId="3664" xr:uid="{00000000-0005-0000-0000-00003B090000}"/>
    <cellStyle name="Comma 2 2 6" xfId="1855" xr:uid="{00000000-0005-0000-0000-00003C090000}"/>
    <cellStyle name="Comma 2 2 6 2" xfId="4085" xr:uid="{00000000-0005-0000-0000-00003D090000}"/>
    <cellStyle name="Comma 2 2 7" xfId="593" xr:uid="{00000000-0005-0000-0000-00003E090000}"/>
    <cellStyle name="Comma 2 2 7 2" xfId="2823" xr:uid="{00000000-0005-0000-0000-00003F090000}"/>
    <cellStyle name="Comma 2 2 8" xfId="2277" xr:uid="{00000000-0005-0000-0000-000040090000}"/>
    <cellStyle name="Comma 2 3" xfId="33" xr:uid="{00000000-0005-0000-0000-000041090000}"/>
    <cellStyle name="Comma 2 3 2" xfId="266" xr:uid="{00000000-0005-0000-0000-000042090000}"/>
    <cellStyle name="Comma 2 3 2 2" xfId="476" xr:uid="{00000000-0005-0000-0000-000043090000}"/>
    <cellStyle name="Comma 2 3 2 2 2" xfId="1337" xr:uid="{00000000-0005-0000-0000-000044090000}"/>
    <cellStyle name="Comma 2 3 2 2 2 2" xfId="3567" xr:uid="{00000000-0005-0000-0000-000045090000}"/>
    <cellStyle name="Comma 2 3 2 2 3" xfId="1758" xr:uid="{00000000-0005-0000-0000-000046090000}"/>
    <cellStyle name="Comma 2 3 2 2 3 2" xfId="3988" xr:uid="{00000000-0005-0000-0000-000047090000}"/>
    <cellStyle name="Comma 2 3 2 2 4" xfId="2179" xr:uid="{00000000-0005-0000-0000-000048090000}"/>
    <cellStyle name="Comma 2 3 2 2 4 2" xfId="4409" xr:uid="{00000000-0005-0000-0000-000049090000}"/>
    <cellStyle name="Comma 2 3 2 2 5" xfId="917" xr:uid="{00000000-0005-0000-0000-00004A090000}"/>
    <cellStyle name="Comma 2 3 2 2 5 2" xfId="3147" xr:uid="{00000000-0005-0000-0000-00004B090000}"/>
    <cellStyle name="Comma 2 3 2 2 6" xfId="2706" xr:uid="{00000000-0005-0000-0000-00004C090000}"/>
    <cellStyle name="Comma 2 3 2 3" xfId="1127" xr:uid="{00000000-0005-0000-0000-00004D090000}"/>
    <cellStyle name="Comma 2 3 2 3 2" xfId="3357" xr:uid="{00000000-0005-0000-0000-00004E090000}"/>
    <cellStyle name="Comma 2 3 2 4" xfId="1548" xr:uid="{00000000-0005-0000-0000-00004F090000}"/>
    <cellStyle name="Comma 2 3 2 4 2" xfId="3778" xr:uid="{00000000-0005-0000-0000-000050090000}"/>
    <cellStyle name="Comma 2 3 2 5" xfId="1969" xr:uid="{00000000-0005-0000-0000-000051090000}"/>
    <cellStyle name="Comma 2 3 2 5 2" xfId="4199" xr:uid="{00000000-0005-0000-0000-000052090000}"/>
    <cellStyle name="Comma 2 3 2 6" xfId="707" xr:uid="{00000000-0005-0000-0000-000053090000}"/>
    <cellStyle name="Comma 2 3 2 6 2" xfId="2937" xr:uid="{00000000-0005-0000-0000-000054090000}"/>
    <cellStyle name="Comma 2 3 2 7" xfId="2496" xr:uid="{00000000-0005-0000-0000-000055090000}"/>
    <cellStyle name="Comma 2 3 3" xfId="371" xr:uid="{00000000-0005-0000-0000-000056090000}"/>
    <cellStyle name="Comma 2 3 3 2" xfId="1232" xr:uid="{00000000-0005-0000-0000-000057090000}"/>
    <cellStyle name="Comma 2 3 3 2 2" xfId="3462" xr:uid="{00000000-0005-0000-0000-000058090000}"/>
    <cellStyle name="Comma 2 3 3 3" xfId="1653" xr:uid="{00000000-0005-0000-0000-000059090000}"/>
    <cellStyle name="Comma 2 3 3 3 2" xfId="3883" xr:uid="{00000000-0005-0000-0000-00005A090000}"/>
    <cellStyle name="Comma 2 3 3 4" xfId="2074" xr:uid="{00000000-0005-0000-0000-00005B090000}"/>
    <cellStyle name="Comma 2 3 3 4 2" xfId="4304" xr:uid="{00000000-0005-0000-0000-00005C090000}"/>
    <cellStyle name="Comma 2 3 3 5" xfId="812" xr:uid="{00000000-0005-0000-0000-00005D090000}"/>
    <cellStyle name="Comma 2 3 3 5 2" xfId="3042" xr:uid="{00000000-0005-0000-0000-00005E090000}"/>
    <cellStyle name="Comma 2 3 3 6" xfId="2601" xr:uid="{00000000-0005-0000-0000-00005F090000}"/>
    <cellStyle name="Comma 2 3 4" xfId="161" xr:uid="{00000000-0005-0000-0000-000060090000}"/>
    <cellStyle name="Comma 2 3 4 2" xfId="1022" xr:uid="{00000000-0005-0000-0000-000061090000}"/>
    <cellStyle name="Comma 2 3 4 2 2" xfId="3252" xr:uid="{00000000-0005-0000-0000-000062090000}"/>
    <cellStyle name="Comma 2 3 4 3" xfId="2391" xr:uid="{00000000-0005-0000-0000-000063090000}"/>
    <cellStyle name="Comma 2 3 5" xfId="1443" xr:uid="{00000000-0005-0000-0000-000064090000}"/>
    <cellStyle name="Comma 2 3 5 2" xfId="3673" xr:uid="{00000000-0005-0000-0000-000065090000}"/>
    <cellStyle name="Comma 2 3 6" xfId="1864" xr:uid="{00000000-0005-0000-0000-000066090000}"/>
    <cellStyle name="Comma 2 3 6 2" xfId="4094" xr:uid="{00000000-0005-0000-0000-000067090000}"/>
    <cellStyle name="Comma 2 3 7" xfId="602" xr:uid="{00000000-0005-0000-0000-000068090000}"/>
    <cellStyle name="Comma 2 3 7 2" xfId="2832" xr:uid="{00000000-0005-0000-0000-000069090000}"/>
    <cellStyle name="Comma 2 3 8" xfId="2286" xr:uid="{00000000-0005-0000-0000-00006A090000}"/>
    <cellStyle name="Comma 2 4" xfId="42" xr:uid="{00000000-0005-0000-0000-00006B090000}"/>
    <cellStyle name="Comma 2 4 2" xfId="275" xr:uid="{00000000-0005-0000-0000-00006C090000}"/>
    <cellStyle name="Comma 2 4 2 2" xfId="485" xr:uid="{00000000-0005-0000-0000-00006D090000}"/>
    <cellStyle name="Comma 2 4 2 2 2" xfId="1346" xr:uid="{00000000-0005-0000-0000-00006E090000}"/>
    <cellStyle name="Comma 2 4 2 2 2 2" xfId="3576" xr:uid="{00000000-0005-0000-0000-00006F090000}"/>
    <cellStyle name="Comma 2 4 2 2 3" xfId="1767" xr:uid="{00000000-0005-0000-0000-000070090000}"/>
    <cellStyle name="Comma 2 4 2 2 3 2" xfId="3997" xr:uid="{00000000-0005-0000-0000-000071090000}"/>
    <cellStyle name="Comma 2 4 2 2 4" xfId="2188" xr:uid="{00000000-0005-0000-0000-000072090000}"/>
    <cellStyle name="Comma 2 4 2 2 4 2" xfId="4418" xr:uid="{00000000-0005-0000-0000-000073090000}"/>
    <cellStyle name="Comma 2 4 2 2 5" xfId="926" xr:uid="{00000000-0005-0000-0000-000074090000}"/>
    <cellStyle name="Comma 2 4 2 2 5 2" xfId="3156" xr:uid="{00000000-0005-0000-0000-000075090000}"/>
    <cellStyle name="Comma 2 4 2 2 6" xfId="2715" xr:uid="{00000000-0005-0000-0000-000076090000}"/>
    <cellStyle name="Comma 2 4 2 3" xfId="1136" xr:uid="{00000000-0005-0000-0000-000077090000}"/>
    <cellStyle name="Comma 2 4 2 3 2" xfId="3366" xr:uid="{00000000-0005-0000-0000-000078090000}"/>
    <cellStyle name="Comma 2 4 2 4" xfId="1557" xr:uid="{00000000-0005-0000-0000-000079090000}"/>
    <cellStyle name="Comma 2 4 2 4 2" xfId="3787" xr:uid="{00000000-0005-0000-0000-00007A090000}"/>
    <cellStyle name="Comma 2 4 2 5" xfId="1978" xr:uid="{00000000-0005-0000-0000-00007B090000}"/>
    <cellStyle name="Comma 2 4 2 5 2" xfId="4208" xr:uid="{00000000-0005-0000-0000-00007C090000}"/>
    <cellStyle name="Comma 2 4 2 6" xfId="716" xr:uid="{00000000-0005-0000-0000-00007D090000}"/>
    <cellStyle name="Comma 2 4 2 6 2" xfId="2946" xr:uid="{00000000-0005-0000-0000-00007E090000}"/>
    <cellStyle name="Comma 2 4 2 7" xfId="2505" xr:uid="{00000000-0005-0000-0000-00007F090000}"/>
    <cellStyle name="Comma 2 4 3" xfId="380" xr:uid="{00000000-0005-0000-0000-000080090000}"/>
    <cellStyle name="Comma 2 4 3 2" xfId="1241" xr:uid="{00000000-0005-0000-0000-000081090000}"/>
    <cellStyle name="Comma 2 4 3 2 2" xfId="3471" xr:uid="{00000000-0005-0000-0000-000082090000}"/>
    <cellStyle name="Comma 2 4 3 3" xfId="1662" xr:uid="{00000000-0005-0000-0000-000083090000}"/>
    <cellStyle name="Comma 2 4 3 3 2" xfId="3892" xr:uid="{00000000-0005-0000-0000-000084090000}"/>
    <cellStyle name="Comma 2 4 3 4" xfId="2083" xr:uid="{00000000-0005-0000-0000-000085090000}"/>
    <cellStyle name="Comma 2 4 3 4 2" xfId="4313" xr:uid="{00000000-0005-0000-0000-000086090000}"/>
    <cellStyle name="Comma 2 4 3 5" xfId="821" xr:uid="{00000000-0005-0000-0000-000087090000}"/>
    <cellStyle name="Comma 2 4 3 5 2" xfId="3051" xr:uid="{00000000-0005-0000-0000-000088090000}"/>
    <cellStyle name="Comma 2 4 3 6" xfId="2610" xr:uid="{00000000-0005-0000-0000-000089090000}"/>
    <cellStyle name="Comma 2 4 4" xfId="170" xr:uid="{00000000-0005-0000-0000-00008A090000}"/>
    <cellStyle name="Comma 2 4 4 2" xfId="1031" xr:uid="{00000000-0005-0000-0000-00008B090000}"/>
    <cellStyle name="Comma 2 4 4 2 2" xfId="3261" xr:uid="{00000000-0005-0000-0000-00008C090000}"/>
    <cellStyle name="Comma 2 4 4 3" xfId="2400" xr:uid="{00000000-0005-0000-0000-00008D090000}"/>
    <cellStyle name="Comma 2 4 5" xfId="1452" xr:uid="{00000000-0005-0000-0000-00008E090000}"/>
    <cellStyle name="Comma 2 4 5 2" xfId="3682" xr:uid="{00000000-0005-0000-0000-00008F090000}"/>
    <cellStyle name="Comma 2 4 6" xfId="1873" xr:uid="{00000000-0005-0000-0000-000090090000}"/>
    <cellStyle name="Comma 2 4 6 2" xfId="4103" xr:uid="{00000000-0005-0000-0000-000091090000}"/>
    <cellStyle name="Comma 2 4 7" xfId="611" xr:uid="{00000000-0005-0000-0000-000092090000}"/>
    <cellStyle name="Comma 2 4 7 2" xfId="2841" xr:uid="{00000000-0005-0000-0000-000093090000}"/>
    <cellStyle name="Comma 2 4 8" xfId="2295" xr:uid="{00000000-0005-0000-0000-000094090000}"/>
    <cellStyle name="Comma 2 5" xfId="51" xr:uid="{00000000-0005-0000-0000-000095090000}"/>
    <cellStyle name="Comma 2 5 2" xfId="284" xr:uid="{00000000-0005-0000-0000-000096090000}"/>
    <cellStyle name="Comma 2 5 2 2" xfId="494" xr:uid="{00000000-0005-0000-0000-000097090000}"/>
    <cellStyle name="Comma 2 5 2 2 2" xfId="1355" xr:uid="{00000000-0005-0000-0000-000098090000}"/>
    <cellStyle name="Comma 2 5 2 2 2 2" xfId="3585" xr:uid="{00000000-0005-0000-0000-000099090000}"/>
    <cellStyle name="Comma 2 5 2 2 3" xfId="1776" xr:uid="{00000000-0005-0000-0000-00009A090000}"/>
    <cellStyle name="Comma 2 5 2 2 3 2" xfId="4006" xr:uid="{00000000-0005-0000-0000-00009B090000}"/>
    <cellStyle name="Comma 2 5 2 2 4" xfId="2197" xr:uid="{00000000-0005-0000-0000-00009C090000}"/>
    <cellStyle name="Comma 2 5 2 2 4 2" xfId="4427" xr:uid="{00000000-0005-0000-0000-00009D090000}"/>
    <cellStyle name="Comma 2 5 2 2 5" xfId="935" xr:uid="{00000000-0005-0000-0000-00009E090000}"/>
    <cellStyle name="Comma 2 5 2 2 5 2" xfId="3165" xr:uid="{00000000-0005-0000-0000-00009F090000}"/>
    <cellStyle name="Comma 2 5 2 2 6" xfId="2724" xr:uid="{00000000-0005-0000-0000-0000A0090000}"/>
    <cellStyle name="Comma 2 5 2 3" xfId="1145" xr:uid="{00000000-0005-0000-0000-0000A1090000}"/>
    <cellStyle name="Comma 2 5 2 3 2" xfId="3375" xr:uid="{00000000-0005-0000-0000-0000A2090000}"/>
    <cellStyle name="Comma 2 5 2 4" xfId="1566" xr:uid="{00000000-0005-0000-0000-0000A3090000}"/>
    <cellStyle name="Comma 2 5 2 4 2" xfId="3796" xr:uid="{00000000-0005-0000-0000-0000A4090000}"/>
    <cellStyle name="Comma 2 5 2 5" xfId="1987" xr:uid="{00000000-0005-0000-0000-0000A5090000}"/>
    <cellStyle name="Comma 2 5 2 5 2" xfId="4217" xr:uid="{00000000-0005-0000-0000-0000A6090000}"/>
    <cellStyle name="Comma 2 5 2 6" xfId="725" xr:uid="{00000000-0005-0000-0000-0000A7090000}"/>
    <cellStyle name="Comma 2 5 2 6 2" xfId="2955" xr:uid="{00000000-0005-0000-0000-0000A8090000}"/>
    <cellStyle name="Comma 2 5 2 7" xfId="2514" xr:uid="{00000000-0005-0000-0000-0000A9090000}"/>
    <cellStyle name="Comma 2 5 3" xfId="389" xr:uid="{00000000-0005-0000-0000-0000AA090000}"/>
    <cellStyle name="Comma 2 5 3 2" xfId="1250" xr:uid="{00000000-0005-0000-0000-0000AB090000}"/>
    <cellStyle name="Comma 2 5 3 2 2" xfId="3480" xr:uid="{00000000-0005-0000-0000-0000AC090000}"/>
    <cellStyle name="Comma 2 5 3 3" xfId="1671" xr:uid="{00000000-0005-0000-0000-0000AD090000}"/>
    <cellStyle name="Comma 2 5 3 3 2" xfId="3901" xr:uid="{00000000-0005-0000-0000-0000AE090000}"/>
    <cellStyle name="Comma 2 5 3 4" xfId="2092" xr:uid="{00000000-0005-0000-0000-0000AF090000}"/>
    <cellStyle name="Comma 2 5 3 4 2" xfId="4322" xr:uid="{00000000-0005-0000-0000-0000B0090000}"/>
    <cellStyle name="Comma 2 5 3 5" xfId="830" xr:uid="{00000000-0005-0000-0000-0000B1090000}"/>
    <cellStyle name="Comma 2 5 3 5 2" xfId="3060" xr:uid="{00000000-0005-0000-0000-0000B2090000}"/>
    <cellStyle name="Comma 2 5 3 6" xfId="2619" xr:uid="{00000000-0005-0000-0000-0000B3090000}"/>
    <cellStyle name="Comma 2 5 4" xfId="179" xr:uid="{00000000-0005-0000-0000-0000B4090000}"/>
    <cellStyle name="Comma 2 5 4 2" xfId="1040" xr:uid="{00000000-0005-0000-0000-0000B5090000}"/>
    <cellStyle name="Comma 2 5 4 2 2" xfId="3270" xr:uid="{00000000-0005-0000-0000-0000B6090000}"/>
    <cellStyle name="Comma 2 5 4 3" xfId="2409" xr:uid="{00000000-0005-0000-0000-0000B7090000}"/>
    <cellStyle name="Comma 2 5 5" xfId="1461" xr:uid="{00000000-0005-0000-0000-0000B8090000}"/>
    <cellStyle name="Comma 2 5 5 2" xfId="3691" xr:uid="{00000000-0005-0000-0000-0000B9090000}"/>
    <cellStyle name="Comma 2 5 6" xfId="1882" xr:uid="{00000000-0005-0000-0000-0000BA090000}"/>
    <cellStyle name="Comma 2 5 6 2" xfId="4112" xr:uid="{00000000-0005-0000-0000-0000BB090000}"/>
    <cellStyle name="Comma 2 5 7" xfId="620" xr:uid="{00000000-0005-0000-0000-0000BC090000}"/>
    <cellStyle name="Comma 2 5 7 2" xfId="2850" xr:uid="{00000000-0005-0000-0000-0000BD090000}"/>
    <cellStyle name="Comma 2 5 8" xfId="2304" xr:uid="{00000000-0005-0000-0000-0000BE090000}"/>
    <cellStyle name="Comma 2 6" xfId="244" xr:uid="{00000000-0005-0000-0000-0000BF090000}"/>
    <cellStyle name="Comma 2 6 2" xfId="454" xr:uid="{00000000-0005-0000-0000-0000C0090000}"/>
    <cellStyle name="Comma 2 6 2 2" xfId="1315" xr:uid="{00000000-0005-0000-0000-0000C1090000}"/>
    <cellStyle name="Comma 2 6 2 2 2" xfId="3545" xr:uid="{00000000-0005-0000-0000-0000C2090000}"/>
    <cellStyle name="Comma 2 6 2 3" xfId="1736" xr:uid="{00000000-0005-0000-0000-0000C3090000}"/>
    <cellStyle name="Comma 2 6 2 3 2" xfId="3966" xr:uid="{00000000-0005-0000-0000-0000C4090000}"/>
    <cellStyle name="Comma 2 6 2 4" xfId="2157" xr:uid="{00000000-0005-0000-0000-0000C5090000}"/>
    <cellStyle name="Comma 2 6 2 4 2" xfId="4387" xr:uid="{00000000-0005-0000-0000-0000C6090000}"/>
    <cellStyle name="Comma 2 6 2 5" xfId="895" xr:uid="{00000000-0005-0000-0000-0000C7090000}"/>
    <cellStyle name="Comma 2 6 2 5 2" xfId="3125" xr:uid="{00000000-0005-0000-0000-0000C8090000}"/>
    <cellStyle name="Comma 2 6 2 6" xfId="2684" xr:uid="{00000000-0005-0000-0000-0000C9090000}"/>
    <cellStyle name="Comma 2 6 3" xfId="1105" xr:uid="{00000000-0005-0000-0000-0000CA090000}"/>
    <cellStyle name="Comma 2 6 3 2" xfId="3335" xr:uid="{00000000-0005-0000-0000-0000CB090000}"/>
    <cellStyle name="Comma 2 6 4" xfId="1526" xr:uid="{00000000-0005-0000-0000-0000CC090000}"/>
    <cellStyle name="Comma 2 6 4 2" xfId="3756" xr:uid="{00000000-0005-0000-0000-0000CD090000}"/>
    <cellStyle name="Comma 2 6 5" xfId="1947" xr:uid="{00000000-0005-0000-0000-0000CE090000}"/>
    <cellStyle name="Comma 2 6 5 2" xfId="4177" xr:uid="{00000000-0005-0000-0000-0000CF090000}"/>
    <cellStyle name="Comma 2 6 6" xfId="685" xr:uid="{00000000-0005-0000-0000-0000D0090000}"/>
    <cellStyle name="Comma 2 6 6 2" xfId="2915" xr:uid="{00000000-0005-0000-0000-0000D1090000}"/>
    <cellStyle name="Comma 2 6 7" xfId="2474" xr:uid="{00000000-0005-0000-0000-0000D2090000}"/>
    <cellStyle name="Comma 2 7" xfId="349" xr:uid="{00000000-0005-0000-0000-0000D3090000}"/>
    <cellStyle name="Comma 2 7 2" xfId="1210" xr:uid="{00000000-0005-0000-0000-0000D4090000}"/>
    <cellStyle name="Comma 2 7 2 2" xfId="3440" xr:uid="{00000000-0005-0000-0000-0000D5090000}"/>
    <cellStyle name="Comma 2 7 3" xfId="1631" xr:uid="{00000000-0005-0000-0000-0000D6090000}"/>
    <cellStyle name="Comma 2 7 3 2" xfId="3861" xr:uid="{00000000-0005-0000-0000-0000D7090000}"/>
    <cellStyle name="Comma 2 7 4" xfId="2052" xr:uid="{00000000-0005-0000-0000-0000D8090000}"/>
    <cellStyle name="Comma 2 7 4 2" xfId="4282" xr:uid="{00000000-0005-0000-0000-0000D9090000}"/>
    <cellStyle name="Comma 2 7 5" xfId="790" xr:uid="{00000000-0005-0000-0000-0000DA090000}"/>
    <cellStyle name="Comma 2 7 5 2" xfId="3020" xr:uid="{00000000-0005-0000-0000-0000DB090000}"/>
    <cellStyle name="Comma 2 7 6" xfId="2579" xr:uid="{00000000-0005-0000-0000-0000DC090000}"/>
    <cellStyle name="Comma 2 8" xfId="138" xr:uid="{00000000-0005-0000-0000-0000DD090000}"/>
    <cellStyle name="Comma 2 8 2" xfId="1000" xr:uid="{00000000-0005-0000-0000-0000DE090000}"/>
    <cellStyle name="Comma 2 8 2 2" xfId="3230" xr:uid="{00000000-0005-0000-0000-0000DF090000}"/>
    <cellStyle name="Comma 2 8 3" xfId="2369" xr:uid="{00000000-0005-0000-0000-0000E0090000}"/>
    <cellStyle name="Comma 2 9" xfId="1421" xr:uid="{00000000-0005-0000-0000-0000E1090000}"/>
    <cellStyle name="Comma 2 9 2" xfId="3651" xr:uid="{00000000-0005-0000-0000-0000E2090000}"/>
    <cellStyle name="Comma 3" xfId="20" xr:uid="{00000000-0005-0000-0000-0000E3090000}"/>
    <cellStyle name="Comma 3 2" xfId="253" xr:uid="{00000000-0005-0000-0000-0000E4090000}"/>
    <cellStyle name="Comma 3 2 2" xfId="463" xr:uid="{00000000-0005-0000-0000-0000E5090000}"/>
    <cellStyle name="Comma 3 2 2 2" xfId="1324" xr:uid="{00000000-0005-0000-0000-0000E6090000}"/>
    <cellStyle name="Comma 3 2 2 2 2" xfId="3554" xr:uid="{00000000-0005-0000-0000-0000E7090000}"/>
    <cellStyle name="Comma 3 2 2 3" xfId="1745" xr:uid="{00000000-0005-0000-0000-0000E8090000}"/>
    <cellStyle name="Comma 3 2 2 3 2" xfId="3975" xr:uid="{00000000-0005-0000-0000-0000E9090000}"/>
    <cellStyle name="Comma 3 2 2 4" xfId="2166" xr:uid="{00000000-0005-0000-0000-0000EA090000}"/>
    <cellStyle name="Comma 3 2 2 4 2" xfId="4396" xr:uid="{00000000-0005-0000-0000-0000EB090000}"/>
    <cellStyle name="Comma 3 2 2 5" xfId="904" xr:uid="{00000000-0005-0000-0000-0000EC090000}"/>
    <cellStyle name="Comma 3 2 2 5 2" xfId="3134" xr:uid="{00000000-0005-0000-0000-0000ED090000}"/>
    <cellStyle name="Comma 3 2 2 6" xfId="2693" xr:uid="{00000000-0005-0000-0000-0000EE090000}"/>
    <cellStyle name="Comma 3 2 3" xfId="1114" xr:uid="{00000000-0005-0000-0000-0000EF090000}"/>
    <cellStyle name="Comma 3 2 3 2" xfId="3344" xr:uid="{00000000-0005-0000-0000-0000F0090000}"/>
    <cellStyle name="Comma 3 2 4" xfId="1535" xr:uid="{00000000-0005-0000-0000-0000F1090000}"/>
    <cellStyle name="Comma 3 2 4 2" xfId="3765" xr:uid="{00000000-0005-0000-0000-0000F2090000}"/>
    <cellStyle name="Comma 3 2 5" xfId="1956" xr:uid="{00000000-0005-0000-0000-0000F3090000}"/>
    <cellStyle name="Comma 3 2 5 2" xfId="4186" xr:uid="{00000000-0005-0000-0000-0000F4090000}"/>
    <cellStyle name="Comma 3 2 6" xfId="694" xr:uid="{00000000-0005-0000-0000-0000F5090000}"/>
    <cellStyle name="Comma 3 2 6 2" xfId="2924" xr:uid="{00000000-0005-0000-0000-0000F6090000}"/>
    <cellStyle name="Comma 3 2 7" xfId="2483" xr:uid="{00000000-0005-0000-0000-0000F7090000}"/>
    <cellStyle name="Comma 3 3" xfId="358" xr:uid="{00000000-0005-0000-0000-0000F8090000}"/>
    <cellStyle name="Comma 3 3 2" xfId="1219" xr:uid="{00000000-0005-0000-0000-0000F9090000}"/>
    <cellStyle name="Comma 3 3 2 2" xfId="3449" xr:uid="{00000000-0005-0000-0000-0000FA090000}"/>
    <cellStyle name="Comma 3 3 3" xfId="1640" xr:uid="{00000000-0005-0000-0000-0000FB090000}"/>
    <cellStyle name="Comma 3 3 3 2" xfId="3870" xr:uid="{00000000-0005-0000-0000-0000FC090000}"/>
    <cellStyle name="Comma 3 3 4" xfId="2061" xr:uid="{00000000-0005-0000-0000-0000FD090000}"/>
    <cellStyle name="Comma 3 3 4 2" xfId="4291" xr:uid="{00000000-0005-0000-0000-0000FE090000}"/>
    <cellStyle name="Comma 3 3 5" xfId="799" xr:uid="{00000000-0005-0000-0000-0000FF090000}"/>
    <cellStyle name="Comma 3 3 5 2" xfId="3029" xr:uid="{00000000-0005-0000-0000-0000000A0000}"/>
    <cellStyle name="Comma 3 3 6" xfId="2588" xr:uid="{00000000-0005-0000-0000-0000010A0000}"/>
    <cellStyle name="Comma 3 4" xfId="148" xr:uid="{00000000-0005-0000-0000-0000020A0000}"/>
    <cellStyle name="Comma 3 4 2" xfId="1009" xr:uid="{00000000-0005-0000-0000-0000030A0000}"/>
    <cellStyle name="Comma 3 4 2 2" xfId="3239" xr:uid="{00000000-0005-0000-0000-0000040A0000}"/>
    <cellStyle name="Comma 3 4 3" xfId="2378" xr:uid="{00000000-0005-0000-0000-0000050A0000}"/>
    <cellStyle name="Comma 3 5" xfId="1430" xr:uid="{00000000-0005-0000-0000-0000060A0000}"/>
    <cellStyle name="Comma 3 5 2" xfId="3660" xr:uid="{00000000-0005-0000-0000-0000070A0000}"/>
    <cellStyle name="Comma 3 6" xfId="1851" xr:uid="{00000000-0005-0000-0000-0000080A0000}"/>
    <cellStyle name="Comma 3 6 2" xfId="4081" xr:uid="{00000000-0005-0000-0000-0000090A0000}"/>
    <cellStyle name="Comma 3 7" xfId="589" xr:uid="{00000000-0005-0000-0000-00000A0A0000}"/>
    <cellStyle name="Comma 3 7 2" xfId="2819" xr:uid="{00000000-0005-0000-0000-00000B0A0000}"/>
    <cellStyle name="Comma 3 8" xfId="2273" xr:uid="{00000000-0005-0000-0000-00000C0A0000}"/>
    <cellStyle name="Comma 4" xfId="29" xr:uid="{00000000-0005-0000-0000-00000D0A0000}"/>
    <cellStyle name="Comma 4 2" xfId="262" xr:uid="{00000000-0005-0000-0000-00000E0A0000}"/>
    <cellStyle name="Comma 4 2 2" xfId="472" xr:uid="{00000000-0005-0000-0000-00000F0A0000}"/>
    <cellStyle name="Comma 4 2 2 2" xfId="1333" xr:uid="{00000000-0005-0000-0000-0000100A0000}"/>
    <cellStyle name="Comma 4 2 2 2 2" xfId="3563" xr:uid="{00000000-0005-0000-0000-0000110A0000}"/>
    <cellStyle name="Comma 4 2 2 3" xfId="1754" xr:uid="{00000000-0005-0000-0000-0000120A0000}"/>
    <cellStyle name="Comma 4 2 2 3 2" xfId="3984" xr:uid="{00000000-0005-0000-0000-0000130A0000}"/>
    <cellStyle name="Comma 4 2 2 4" xfId="2175" xr:uid="{00000000-0005-0000-0000-0000140A0000}"/>
    <cellStyle name="Comma 4 2 2 4 2" xfId="4405" xr:uid="{00000000-0005-0000-0000-0000150A0000}"/>
    <cellStyle name="Comma 4 2 2 5" xfId="913" xr:uid="{00000000-0005-0000-0000-0000160A0000}"/>
    <cellStyle name="Comma 4 2 2 5 2" xfId="3143" xr:uid="{00000000-0005-0000-0000-0000170A0000}"/>
    <cellStyle name="Comma 4 2 2 6" xfId="2702" xr:uid="{00000000-0005-0000-0000-0000180A0000}"/>
    <cellStyle name="Comma 4 2 3" xfId="1123" xr:uid="{00000000-0005-0000-0000-0000190A0000}"/>
    <cellStyle name="Comma 4 2 3 2" xfId="3353" xr:uid="{00000000-0005-0000-0000-00001A0A0000}"/>
    <cellStyle name="Comma 4 2 4" xfId="1544" xr:uid="{00000000-0005-0000-0000-00001B0A0000}"/>
    <cellStyle name="Comma 4 2 4 2" xfId="3774" xr:uid="{00000000-0005-0000-0000-00001C0A0000}"/>
    <cellStyle name="Comma 4 2 5" xfId="1965" xr:uid="{00000000-0005-0000-0000-00001D0A0000}"/>
    <cellStyle name="Comma 4 2 5 2" xfId="4195" xr:uid="{00000000-0005-0000-0000-00001E0A0000}"/>
    <cellStyle name="Comma 4 2 6" xfId="703" xr:uid="{00000000-0005-0000-0000-00001F0A0000}"/>
    <cellStyle name="Comma 4 2 6 2" xfId="2933" xr:uid="{00000000-0005-0000-0000-0000200A0000}"/>
    <cellStyle name="Comma 4 2 7" xfId="2492" xr:uid="{00000000-0005-0000-0000-0000210A0000}"/>
    <cellStyle name="Comma 4 3" xfId="367" xr:uid="{00000000-0005-0000-0000-0000220A0000}"/>
    <cellStyle name="Comma 4 3 2" xfId="1228" xr:uid="{00000000-0005-0000-0000-0000230A0000}"/>
    <cellStyle name="Comma 4 3 2 2" xfId="3458" xr:uid="{00000000-0005-0000-0000-0000240A0000}"/>
    <cellStyle name="Comma 4 3 3" xfId="1649" xr:uid="{00000000-0005-0000-0000-0000250A0000}"/>
    <cellStyle name="Comma 4 3 3 2" xfId="3879" xr:uid="{00000000-0005-0000-0000-0000260A0000}"/>
    <cellStyle name="Comma 4 3 4" xfId="2070" xr:uid="{00000000-0005-0000-0000-0000270A0000}"/>
    <cellStyle name="Comma 4 3 4 2" xfId="4300" xr:uid="{00000000-0005-0000-0000-0000280A0000}"/>
    <cellStyle name="Comma 4 3 5" xfId="808" xr:uid="{00000000-0005-0000-0000-0000290A0000}"/>
    <cellStyle name="Comma 4 3 5 2" xfId="3038" xr:uid="{00000000-0005-0000-0000-00002A0A0000}"/>
    <cellStyle name="Comma 4 3 6" xfId="2597" xr:uid="{00000000-0005-0000-0000-00002B0A0000}"/>
    <cellStyle name="Comma 4 4" xfId="157" xr:uid="{00000000-0005-0000-0000-00002C0A0000}"/>
    <cellStyle name="Comma 4 4 2" xfId="1018" xr:uid="{00000000-0005-0000-0000-00002D0A0000}"/>
    <cellStyle name="Comma 4 4 2 2" xfId="3248" xr:uid="{00000000-0005-0000-0000-00002E0A0000}"/>
    <cellStyle name="Comma 4 4 3" xfId="2387" xr:uid="{00000000-0005-0000-0000-00002F0A0000}"/>
    <cellStyle name="Comma 4 5" xfId="1439" xr:uid="{00000000-0005-0000-0000-0000300A0000}"/>
    <cellStyle name="Comma 4 5 2" xfId="3669" xr:uid="{00000000-0005-0000-0000-0000310A0000}"/>
    <cellStyle name="Comma 4 6" xfId="1860" xr:uid="{00000000-0005-0000-0000-0000320A0000}"/>
    <cellStyle name="Comma 4 6 2" xfId="4090" xr:uid="{00000000-0005-0000-0000-0000330A0000}"/>
    <cellStyle name="Comma 4 7" xfId="598" xr:uid="{00000000-0005-0000-0000-0000340A0000}"/>
    <cellStyle name="Comma 4 7 2" xfId="2828" xr:uid="{00000000-0005-0000-0000-0000350A0000}"/>
    <cellStyle name="Comma 4 8" xfId="2282" xr:uid="{00000000-0005-0000-0000-0000360A0000}"/>
    <cellStyle name="Comma 42" xfId="4497" xr:uid="{E3C53B04-D758-4506-B29A-7D9D6DE20864}"/>
    <cellStyle name="Comma 5" xfId="38" xr:uid="{00000000-0005-0000-0000-0000370A0000}"/>
    <cellStyle name="Comma 5 2" xfId="271" xr:uid="{00000000-0005-0000-0000-0000380A0000}"/>
    <cellStyle name="Comma 5 2 2" xfId="481" xr:uid="{00000000-0005-0000-0000-0000390A0000}"/>
    <cellStyle name="Comma 5 2 2 2" xfId="1342" xr:uid="{00000000-0005-0000-0000-00003A0A0000}"/>
    <cellStyle name="Comma 5 2 2 2 2" xfId="3572" xr:uid="{00000000-0005-0000-0000-00003B0A0000}"/>
    <cellStyle name="Comma 5 2 2 3" xfId="1763" xr:uid="{00000000-0005-0000-0000-00003C0A0000}"/>
    <cellStyle name="Comma 5 2 2 3 2" xfId="3993" xr:uid="{00000000-0005-0000-0000-00003D0A0000}"/>
    <cellStyle name="Comma 5 2 2 4" xfId="2184" xr:uid="{00000000-0005-0000-0000-00003E0A0000}"/>
    <cellStyle name="Comma 5 2 2 4 2" xfId="4414" xr:uid="{00000000-0005-0000-0000-00003F0A0000}"/>
    <cellStyle name="Comma 5 2 2 5" xfId="922" xr:uid="{00000000-0005-0000-0000-0000400A0000}"/>
    <cellStyle name="Comma 5 2 2 5 2" xfId="3152" xr:uid="{00000000-0005-0000-0000-0000410A0000}"/>
    <cellStyle name="Comma 5 2 2 6" xfId="2711" xr:uid="{00000000-0005-0000-0000-0000420A0000}"/>
    <cellStyle name="Comma 5 2 3" xfId="1132" xr:uid="{00000000-0005-0000-0000-0000430A0000}"/>
    <cellStyle name="Comma 5 2 3 2" xfId="3362" xr:uid="{00000000-0005-0000-0000-0000440A0000}"/>
    <cellStyle name="Comma 5 2 4" xfId="1553" xr:uid="{00000000-0005-0000-0000-0000450A0000}"/>
    <cellStyle name="Comma 5 2 4 2" xfId="3783" xr:uid="{00000000-0005-0000-0000-0000460A0000}"/>
    <cellStyle name="Comma 5 2 5" xfId="1974" xr:uid="{00000000-0005-0000-0000-0000470A0000}"/>
    <cellStyle name="Comma 5 2 5 2" xfId="4204" xr:uid="{00000000-0005-0000-0000-0000480A0000}"/>
    <cellStyle name="Comma 5 2 6" xfId="712" xr:uid="{00000000-0005-0000-0000-0000490A0000}"/>
    <cellStyle name="Comma 5 2 6 2" xfId="2942" xr:uid="{00000000-0005-0000-0000-00004A0A0000}"/>
    <cellStyle name="Comma 5 2 7" xfId="2501" xr:uid="{00000000-0005-0000-0000-00004B0A0000}"/>
    <cellStyle name="Comma 5 3" xfId="376" xr:uid="{00000000-0005-0000-0000-00004C0A0000}"/>
    <cellStyle name="Comma 5 3 2" xfId="1237" xr:uid="{00000000-0005-0000-0000-00004D0A0000}"/>
    <cellStyle name="Comma 5 3 2 2" xfId="3467" xr:uid="{00000000-0005-0000-0000-00004E0A0000}"/>
    <cellStyle name="Comma 5 3 3" xfId="1658" xr:uid="{00000000-0005-0000-0000-00004F0A0000}"/>
    <cellStyle name="Comma 5 3 3 2" xfId="3888" xr:uid="{00000000-0005-0000-0000-0000500A0000}"/>
    <cellStyle name="Comma 5 3 4" xfId="2079" xr:uid="{00000000-0005-0000-0000-0000510A0000}"/>
    <cellStyle name="Comma 5 3 4 2" xfId="4309" xr:uid="{00000000-0005-0000-0000-0000520A0000}"/>
    <cellStyle name="Comma 5 3 5" xfId="817" xr:uid="{00000000-0005-0000-0000-0000530A0000}"/>
    <cellStyle name="Comma 5 3 5 2" xfId="3047" xr:uid="{00000000-0005-0000-0000-0000540A0000}"/>
    <cellStyle name="Comma 5 3 6" xfId="2606" xr:uid="{00000000-0005-0000-0000-0000550A0000}"/>
    <cellStyle name="Comma 5 4" xfId="166" xr:uid="{00000000-0005-0000-0000-0000560A0000}"/>
    <cellStyle name="Comma 5 4 2" xfId="1027" xr:uid="{00000000-0005-0000-0000-0000570A0000}"/>
    <cellStyle name="Comma 5 4 2 2" xfId="3257" xr:uid="{00000000-0005-0000-0000-0000580A0000}"/>
    <cellStyle name="Comma 5 4 3" xfId="2396" xr:uid="{00000000-0005-0000-0000-0000590A0000}"/>
    <cellStyle name="Comma 5 5" xfId="1448" xr:uid="{00000000-0005-0000-0000-00005A0A0000}"/>
    <cellStyle name="Comma 5 5 2" xfId="3678" xr:uid="{00000000-0005-0000-0000-00005B0A0000}"/>
    <cellStyle name="Comma 5 6" xfId="1869" xr:uid="{00000000-0005-0000-0000-00005C0A0000}"/>
    <cellStyle name="Comma 5 6 2" xfId="4099" xr:uid="{00000000-0005-0000-0000-00005D0A0000}"/>
    <cellStyle name="Comma 5 7" xfId="607" xr:uid="{00000000-0005-0000-0000-00005E0A0000}"/>
    <cellStyle name="Comma 5 7 2" xfId="2837" xr:uid="{00000000-0005-0000-0000-00005F0A0000}"/>
    <cellStyle name="Comma 5 8" xfId="2291" xr:uid="{00000000-0005-0000-0000-0000600A0000}"/>
    <cellStyle name="Comma 6" xfId="47" xr:uid="{00000000-0005-0000-0000-0000610A0000}"/>
    <cellStyle name="Comma 6 2" xfId="280" xr:uid="{00000000-0005-0000-0000-0000620A0000}"/>
    <cellStyle name="Comma 6 2 2" xfId="490" xr:uid="{00000000-0005-0000-0000-0000630A0000}"/>
    <cellStyle name="Comma 6 2 2 2" xfId="1351" xr:uid="{00000000-0005-0000-0000-0000640A0000}"/>
    <cellStyle name="Comma 6 2 2 2 2" xfId="3581" xr:uid="{00000000-0005-0000-0000-0000650A0000}"/>
    <cellStyle name="Comma 6 2 2 3" xfId="1772" xr:uid="{00000000-0005-0000-0000-0000660A0000}"/>
    <cellStyle name="Comma 6 2 2 3 2" xfId="4002" xr:uid="{00000000-0005-0000-0000-0000670A0000}"/>
    <cellStyle name="Comma 6 2 2 4" xfId="2193" xr:uid="{00000000-0005-0000-0000-0000680A0000}"/>
    <cellStyle name="Comma 6 2 2 4 2" xfId="4423" xr:uid="{00000000-0005-0000-0000-0000690A0000}"/>
    <cellStyle name="Comma 6 2 2 5" xfId="931" xr:uid="{00000000-0005-0000-0000-00006A0A0000}"/>
    <cellStyle name="Comma 6 2 2 5 2" xfId="3161" xr:uid="{00000000-0005-0000-0000-00006B0A0000}"/>
    <cellStyle name="Comma 6 2 2 6" xfId="2720" xr:uid="{00000000-0005-0000-0000-00006C0A0000}"/>
    <cellStyle name="Comma 6 2 3" xfId="1141" xr:uid="{00000000-0005-0000-0000-00006D0A0000}"/>
    <cellStyle name="Comma 6 2 3 2" xfId="3371" xr:uid="{00000000-0005-0000-0000-00006E0A0000}"/>
    <cellStyle name="Comma 6 2 4" xfId="1562" xr:uid="{00000000-0005-0000-0000-00006F0A0000}"/>
    <cellStyle name="Comma 6 2 4 2" xfId="3792" xr:uid="{00000000-0005-0000-0000-0000700A0000}"/>
    <cellStyle name="Comma 6 2 5" xfId="1983" xr:uid="{00000000-0005-0000-0000-0000710A0000}"/>
    <cellStyle name="Comma 6 2 5 2" xfId="4213" xr:uid="{00000000-0005-0000-0000-0000720A0000}"/>
    <cellStyle name="Comma 6 2 6" xfId="721" xr:uid="{00000000-0005-0000-0000-0000730A0000}"/>
    <cellStyle name="Comma 6 2 6 2" xfId="2951" xr:uid="{00000000-0005-0000-0000-0000740A0000}"/>
    <cellStyle name="Comma 6 2 7" xfId="2510" xr:uid="{00000000-0005-0000-0000-0000750A0000}"/>
    <cellStyle name="Comma 6 3" xfId="385" xr:uid="{00000000-0005-0000-0000-0000760A0000}"/>
    <cellStyle name="Comma 6 3 2" xfId="1246" xr:uid="{00000000-0005-0000-0000-0000770A0000}"/>
    <cellStyle name="Comma 6 3 2 2" xfId="3476" xr:uid="{00000000-0005-0000-0000-0000780A0000}"/>
    <cellStyle name="Comma 6 3 3" xfId="1667" xr:uid="{00000000-0005-0000-0000-0000790A0000}"/>
    <cellStyle name="Comma 6 3 3 2" xfId="3897" xr:uid="{00000000-0005-0000-0000-00007A0A0000}"/>
    <cellStyle name="Comma 6 3 4" xfId="2088" xr:uid="{00000000-0005-0000-0000-00007B0A0000}"/>
    <cellStyle name="Comma 6 3 4 2" xfId="4318" xr:uid="{00000000-0005-0000-0000-00007C0A0000}"/>
    <cellStyle name="Comma 6 3 5" xfId="826" xr:uid="{00000000-0005-0000-0000-00007D0A0000}"/>
    <cellStyle name="Comma 6 3 5 2" xfId="3056" xr:uid="{00000000-0005-0000-0000-00007E0A0000}"/>
    <cellStyle name="Comma 6 3 6" xfId="2615" xr:uid="{00000000-0005-0000-0000-00007F0A0000}"/>
    <cellStyle name="Comma 6 4" xfId="175" xr:uid="{00000000-0005-0000-0000-0000800A0000}"/>
    <cellStyle name="Comma 6 4 2" xfId="1036" xr:uid="{00000000-0005-0000-0000-0000810A0000}"/>
    <cellStyle name="Comma 6 4 2 2" xfId="3266" xr:uid="{00000000-0005-0000-0000-0000820A0000}"/>
    <cellStyle name="Comma 6 4 3" xfId="2405" xr:uid="{00000000-0005-0000-0000-0000830A0000}"/>
    <cellStyle name="Comma 6 5" xfId="1457" xr:uid="{00000000-0005-0000-0000-0000840A0000}"/>
    <cellStyle name="Comma 6 5 2" xfId="3687" xr:uid="{00000000-0005-0000-0000-0000850A0000}"/>
    <cellStyle name="Comma 6 6" xfId="1878" xr:uid="{00000000-0005-0000-0000-0000860A0000}"/>
    <cellStyle name="Comma 6 6 2" xfId="4108" xr:uid="{00000000-0005-0000-0000-0000870A0000}"/>
    <cellStyle name="Comma 6 7" xfId="616" xr:uid="{00000000-0005-0000-0000-0000880A0000}"/>
    <cellStyle name="Comma 6 7 2" xfId="2846" xr:uid="{00000000-0005-0000-0000-0000890A0000}"/>
    <cellStyle name="Comma 6 8" xfId="2300" xr:uid="{00000000-0005-0000-0000-00008A0A0000}"/>
    <cellStyle name="Comma 7" xfId="242" xr:uid="{00000000-0005-0000-0000-00008B0A0000}"/>
    <cellStyle name="Comma 7 2" xfId="452" xr:uid="{00000000-0005-0000-0000-00008C0A0000}"/>
    <cellStyle name="Comma 7 2 2" xfId="1313" xr:uid="{00000000-0005-0000-0000-00008D0A0000}"/>
    <cellStyle name="Comma 7 2 2 2" xfId="3543" xr:uid="{00000000-0005-0000-0000-00008E0A0000}"/>
    <cellStyle name="Comma 7 2 3" xfId="1734" xr:uid="{00000000-0005-0000-0000-00008F0A0000}"/>
    <cellStyle name="Comma 7 2 3 2" xfId="3964" xr:uid="{00000000-0005-0000-0000-0000900A0000}"/>
    <cellStyle name="Comma 7 2 4" xfId="2155" xr:uid="{00000000-0005-0000-0000-0000910A0000}"/>
    <cellStyle name="Comma 7 2 4 2" xfId="4385" xr:uid="{00000000-0005-0000-0000-0000920A0000}"/>
    <cellStyle name="Comma 7 2 5" xfId="893" xr:uid="{00000000-0005-0000-0000-0000930A0000}"/>
    <cellStyle name="Comma 7 2 5 2" xfId="3123" xr:uid="{00000000-0005-0000-0000-0000940A0000}"/>
    <cellStyle name="Comma 7 2 6" xfId="2682" xr:uid="{00000000-0005-0000-0000-0000950A0000}"/>
    <cellStyle name="Comma 7 3" xfId="1103" xr:uid="{00000000-0005-0000-0000-0000960A0000}"/>
    <cellStyle name="Comma 7 3 2" xfId="3333" xr:uid="{00000000-0005-0000-0000-0000970A0000}"/>
    <cellStyle name="Comma 7 4" xfId="1524" xr:uid="{00000000-0005-0000-0000-0000980A0000}"/>
    <cellStyle name="Comma 7 4 2" xfId="3754" xr:uid="{00000000-0005-0000-0000-0000990A0000}"/>
    <cellStyle name="Comma 7 5" xfId="1945" xr:uid="{00000000-0005-0000-0000-00009A0A0000}"/>
    <cellStyle name="Comma 7 5 2" xfId="4175" xr:uid="{00000000-0005-0000-0000-00009B0A0000}"/>
    <cellStyle name="Comma 7 6" xfId="683" xr:uid="{00000000-0005-0000-0000-00009C0A0000}"/>
    <cellStyle name="Comma 7 6 2" xfId="2913" xr:uid="{00000000-0005-0000-0000-00009D0A0000}"/>
    <cellStyle name="Comma 7 7" xfId="2472" xr:uid="{00000000-0005-0000-0000-00009E0A0000}"/>
    <cellStyle name="Comma 8" xfId="347" xr:uid="{00000000-0005-0000-0000-00009F0A0000}"/>
    <cellStyle name="Comma 8 2" xfId="1208" xr:uid="{00000000-0005-0000-0000-0000A00A0000}"/>
    <cellStyle name="Comma 8 2 2" xfId="3438" xr:uid="{00000000-0005-0000-0000-0000A10A0000}"/>
    <cellStyle name="Comma 8 3" xfId="1629" xr:uid="{00000000-0005-0000-0000-0000A20A0000}"/>
    <cellStyle name="Comma 8 3 2" xfId="3859" xr:uid="{00000000-0005-0000-0000-0000A30A0000}"/>
    <cellStyle name="Comma 8 4" xfId="2050" xr:uid="{00000000-0005-0000-0000-0000A40A0000}"/>
    <cellStyle name="Comma 8 4 2" xfId="4280" xr:uid="{00000000-0005-0000-0000-0000A50A0000}"/>
    <cellStyle name="Comma 8 5" xfId="788" xr:uid="{00000000-0005-0000-0000-0000A60A0000}"/>
    <cellStyle name="Comma 8 5 2" xfId="3018" xr:uid="{00000000-0005-0000-0000-0000A70A0000}"/>
    <cellStyle name="Comma 8 6" xfId="2577" xr:uid="{00000000-0005-0000-0000-0000A80A0000}"/>
    <cellStyle name="Comma 9" xfId="136" xr:uid="{00000000-0005-0000-0000-0000A90A0000}"/>
    <cellStyle name="Comma 9 2" xfId="998" xr:uid="{00000000-0005-0000-0000-0000AA0A0000}"/>
    <cellStyle name="Comma 9 2 2" xfId="3228" xr:uid="{00000000-0005-0000-0000-0000AB0A0000}"/>
    <cellStyle name="Comma 9 3" xfId="2367" xr:uid="{00000000-0005-0000-0000-0000AC0A0000}"/>
    <cellStyle name="Explanatory Text" xfId="68" builtinId="53" customBuiltin="1"/>
    <cellStyle name="Good" xfId="59" builtinId="26" customBuiltin="1"/>
    <cellStyle name="Heading 1" xfId="55" builtinId="16" customBuiltin="1"/>
    <cellStyle name="Heading 2" xfId="56" builtinId="17" customBuiltin="1"/>
    <cellStyle name="Heading 3" xfId="57" builtinId="18" customBuiltin="1"/>
    <cellStyle name="Heading 4" xfId="58" builtinId="19" customBuiltin="1"/>
    <cellStyle name="Hyperlink" xfId="3" builtinId="8"/>
    <cellStyle name="Input" xfId="62" builtinId="20" customBuiltin="1"/>
    <cellStyle name="Linked Cell" xfId="65" builtinId="24" customBuiltin="1"/>
    <cellStyle name="Neutral" xfId="61" builtinId="28" customBuiltin="1"/>
    <cellStyle name="Normal" xfId="0" builtinId="0"/>
    <cellStyle name="Normal 10" xfId="116" xr:uid="{00000000-0005-0000-0000-0000B80A0000}"/>
    <cellStyle name="Normal 10 2" xfId="327" xr:uid="{00000000-0005-0000-0000-0000B90A0000}"/>
    <cellStyle name="Normal 10 2 2" xfId="537" xr:uid="{00000000-0005-0000-0000-0000BA0A0000}"/>
    <cellStyle name="Normal 10 2 2 2" xfId="1398" xr:uid="{00000000-0005-0000-0000-0000BB0A0000}"/>
    <cellStyle name="Normal 10 2 2 2 2" xfId="3628" xr:uid="{00000000-0005-0000-0000-0000BC0A0000}"/>
    <cellStyle name="Normal 10 2 2 3" xfId="1819" xr:uid="{00000000-0005-0000-0000-0000BD0A0000}"/>
    <cellStyle name="Normal 10 2 2 3 2" xfId="4049" xr:uid="{00000000-0005-0000-0000-0000BE0A0000}"/>
    <cellStyle name="Normal 10 2 2 4" xfId="2240" xr:uid="{00000000-0005-0000-0000-0000BF0A0000}"/>
    <cellStyle name="Normal 10 2 2 4 2" xfId="4470" xr:uid="{00000000-0005-0000-0000-0000C00A0000}"/>
    <cellStyle name="Normal 10 2 2 5" xfId="978" xr:uid="{00000000-0005-0000-0000-0000C10A0000}"/>
    <cellStyle name="Normal 10 2 2 5 2" xfId="3208" xr:uid="{00000000-0005-0000-0000-0000C20A0000}"/>
    <cellStyle name="Normal 10 2 2 6" xfId="2767" xr:uid="{00000000-0005-0000-0000-0000C30A0000}"/>
    <cellStyle name="Normal 10 2 3" xfId="1188" xr:uid="{00000000-0005-0000-0000-0000C40A0000}"/>
    <cellStyle name="Normal 10 2 3 2" xfId="3418" xr:uid="{00000000-0005-0000-0000-0000C50A0000}"/>
    <cellStyle name="Normal 10 2 4" xfId="1609" xr:uid="{00000000-0005-0000-0000-0000C60A0000}"/>
    <cellStyle name="Normal 10 2 4 2" xfId="3839" xr:uid="{00000000-0005-0000-0000-0000C70A0000}"/>
    <cellStyle name="Normal 10 2 5" xfId="2030" xr:uid="{00000000-0005-0000-0000-0000C80A0000}"/>
    <cellStyle name="Normal 10 2 5 2" xfId="4260" xr:uid="{00000000-0005-0000-0000-0000C90A0000}"/>
    <cellStyle name="Normal 10 2 6" xfId="768" xr:uid="{00000000-0005-0000-0000-0000CA0A0000}"/>
    <cellStyle name="Normal 10 2 6 2" xfId="2998" xr:uid="{00000000-0005-0000-0000-0000CB0A0000}"/>
    <cellStyle name="Normal 10 2 7" xfId="2557" xr:uid="{00000000-0005-0000-0000-0000CC0A0000}"/>
    <cellStyle name="Normal 10 3" xfId="432" xr:uid="{00000000-0005-0000-0000-0000CD0A0000}"/>
    <cellStyle name="Normal 10 3 2" xfId="1293" xr:uid="{00000000-0005-0000-0000-0000CE0A0000}"/>
    <cellStyle name="Normal 10 3 2 2" xfId="3523" xr:uid="{00000000-0005-0000-0000-0000CF0A0000}"/>
    <cellStyle name="Normal 10 3 3" xfId="1714" xr:uid="{00000000-0005-0000-0000-0000D00A0000}"/>
    <cellStyle name="Normal 10 3 3 2" xfId="3944" xr:uid="{00000000-0005-0000-0000-0000D10A0000}"/>
    <cellStyle name="Normal 10 3 4" xfId="2135" xr:uid="{00000000-0005-0000-0000-0000D20A0000}"/>
    <cellStyle name="Normal 10 3 4 2" xfId="4365" xr:uid="{00000000-0005-0000-0000-0000D30A0000}"/>
    <cellStyle name="Normal 10 3 5" xfId="873" xr:uid="{00000000-0005-0000-0000-0000D40A0000}"/>
    <cellStyle name="Normal 10 3 5 2" xfId="3103" xr:uid="{00000000-0005-0000-0000-0000D50A0000}"/>
    <cellStyle name="Normal 10 3 6" xfId="2662" xr:uid="{00000000-0005-0000-0000-0000D60A0000}"/>
    <cellStyle name="Normal 10 4" xfId="222" xr:uid="{00000000-0005-0000-0000-0000D70A0000}"/>
    <cellStyle name="Normal 10 4 2" xfId="1083" xr:uid="{00000000-0005-0000-0000-0000D80A0000}"/>
    <cellStyle name="Normal 10 4 2 2" xfId="3313" xr:uid="{00000000-0005-0000-0000-0000D90A0000}"/>
    <cellStyle name="Normal 10 4 3" xfId="2452" xr:uid="{00000000-0005-0000-0000-0000DA0A0000}"/>
    <cellStyle name="Normal 10 5" xfId="1504" xr:uid="{00000000-0005-0000-0000-0000DB0A0000}"/>
    <cellStyle name="Normal 10 5 2" xfId="3734" xr:uid="{00000000-0005-0000-0000-0000DC0A0000}"/>
    <cellStyle name="Normal 10 6" xfId="1925" xr:uid="{00000000-0005-0000-0000-0000DD0A0000}"/>
    <cellStyle name="Normal 10 6 2" xfId="4155" xr:uid="{00000000-0005-0000-0000-0000DE0A0000}"/>
    <cellStyle name="Normal 10 7" xfId="663" xr:uid="{00000000-0005-0000-0000-0000DF0A0000}"/>
    <cellStyle name="Normal 10 7 2" xfId="2893" xr:uid="{00000000-0005-0000-0000-0000E00A0000}"/>
    <cellStyle name="Normal 10 8" xfId="2347" xr:uid="{00000000-0005-0000-0000-0000E10A0000}"/>
    <cellStyle name="Normal 11" xfId="557" xr:uid="{00000000-0005-0000-0000-0000E20A0000}"/>
    <cellStyle name="Normal 11 2" xfId="1839" xr:uid="{00000000-0005-0000-0000-0000E30A0000}"/>
    <cellStyle name="Normal 11 2 2" xfId="4069" xr:uid="{00000000-0005-0000-0000-0000E40A0000}"/>
    <cellStyle name="Normal 11 3" xfId="2260" xr:uid="{00000000-0005-0000-0000-0000E50A0000}"/>
    <cellStyle name="Normal 11 3 2" xfId="4490" xr:uid="{00000000-0005-0000-0000-0000E60A0000}"/>
    <cellStyle name="Normal 11 4" xfId="1418" xr:uid="{00000000-0005-0000-0000-0000E70A0000}"/>
    <cellStyle name="Normal 11 4 2" xfId="3648" xr:uid="{00000000-0005-0000-0000-0000E80A0000}"/>
    <cellStyle name="Normal 11 5" xfId="2787" xr:uid="{00000000-0005-0000-0000-0000E90A0000}"/>
    <cellStyle name="Normal 12" xfId="558" xr:uid="{00000000-0005-0000-0000-0000EA0A0000}"/>
    <cellStyle name="Normal 12 2" xfId="2788" xr:uid="{00000000-0005-0000-0000-0000EB0A0000}"/>
    <cellStyle name="Normal 13" xfId="2261" xr:uid="{00000000-0005-0000-0000-0000EC0A0000}"/>
    <cellStyle name="Normal 14" xfId="4491" xr:uid="{4AB155D2-3D09-4DE8-B19D-32FE1B26F112}"/>
    <cellStyle name="Normal 2" xfId="5" xr:uid="{00000000-0005-0000-0000-0000ED0A0000}"/>
    <cellStyle name="Normal 2 10" xfId="139" xr:uid="{00000000-0005-0000-0000-0000EE0A0000}"/>
    <cellStyle name="Normal 2 10 2" xfId="1001" xr:uid="{00000000-0005-0000-0000-0000EF0A0000}"/>
    <cellStyle name="Normal 2 10 2 2" xfId="3231" xr:uid="{00000000-0005-0000-0000-0000F00A0000}"/>
    <cellStyle name="Normal 2 10 3" xfId="2370" xr:uid="{00000000-0005-0000-0000-0000F10A0000}"/>
    <cellStyle name="Normal 2 11" xfId="1422" xr:uid="{00000000-0005-0000-0000-0000F20A0000}"/>
    <cellStyle name="Normal 2 11 2" xfId="3652" xr:uid="{00000000-0005-0000-0000-0000F30A0000}"/>
    <cellStyle name="Normal 2 12" xfId="1843" xr:uid="{00000000-0005-0000-0000-0000F40A0000}"/>
    <cellStyle name="Normal 2 12 2" xfId="4073" xr:uid="{00000000-0005-0000-0000-0000F50A0000}"/>
    <cellStyle name="Normal 2 13" xfId="581" xr:uid="{00000000-0005-0000-0000-0000F60A0000}"/>
    <cellStyle name="Normal 2 13 2" xfId="2811" xr:uid="{00000000-0005-0000-0000-0000F70A0000}"/>
    <cellStyle name="Normal 2 14" xfId="2265" xr:uid="{00000000-0005-0000-0000-0000F80A0000}"/>
    <cellStyle name="Normal 2 2" xfId="6" xr:uid="{00000000-0005-0000-0000-0000F90A0000}"/>
    <cellStyle name="Normal 2 3" xfId="7" xr:uid="{00000000-0005-0000-0000-0000FA0A0000}"/>
    <cellStyle name="Normal 2 3 10" xfId="1844" xr:uid="{00000000-0005-0000-0000-0000FB0A0000}"/>
    <cellStyle name="Normal 2 3 10 2" xfId="4074" xr:uid="{00000000-0005-0000-0000-0000FC0A0000}"/>
    <cellStyle name="Normal 2 3 11" xfId="582" xr:uid="{00000000-0005-0000-0000-0000FD0A0000}"/>
    <cellStyle name="Normal 2 3 11 2" xfId="2812" xr:uid="{00000000-0005-0000-0000-0000FE0A0000}"/>
    <cellStyle name="Normal 2 3 12" xfId="2266" xr:uid="{00000000-0005-0000-0000-0000FF0A0000}"/>
    <cellStyle name="Normal 2 3 2" xfId="26" xr:uid="{00000000-0005-0000-0000-0000000B0000}"/>
    <cellStyle name="Normal 2 3 2 2" xfId="259" xr:uid="{00000000-0005-0000-0000-0000010B0000}"/>
    <cellStyle name="Normal 2 3 2 2 2" xfId="469" xr:uid="{00000000-0005-0000-0000-0000020B0000}"/>
    <cellStyle name="Normal 2 3 2 2 2 2" xfId="1330" xr:uid="{00000000-0005-0000-0000-0000030B0000}"/>
    <cellStyle name="Normal 2 3 2 2 2 2 2" xfId="3560" xr:uid="{00000000-0005-0000-0000-0000040B0000}"/>
    <cellStyle name="Normal 2 3 2 2 2 3" xfId="1751" xr:uid="{00000000-0005-0000-0000-0000050B0000}"/>
    <cellStyle name="Normal 2 3 2 2 2 3 2" xfId="3981" xr:uid="{00000000-0005-0000-0000-0000060B0000}"/>
    <cellStyle name="Normal 2 3 2 2 2 4" xfId="2172" xr:uid="{00000000-0005-0000-0000-0000070B0000}"/>
    <cellStyle name="Normal 2 3 2 2 2 4 2" xfId="4402" xr:uid="{00000000-0005-0000-0000-0000080B0000}"/>
    <cellStyle name="Normal 2 3 2 2 2 5" xfId="910" xr:uid="{00000000-0005-0000-0000-0000090B0000}"/>
    <cellStyle name="Normal 2 3 2 2 2 5 2" xfId="3140" xr:uid="{00000000-0005-0000-0000-00000A0B0000}"/>
    <cellStyle name="Normal 2 3 2 2 2 6" xfId="2699" xr:uid="{00000000-0005-0000-0000-00000B0B0000}"/>
    <cellStyle name="Normal 2 3 2 2 3" xfId="1120" xr:uid="{00000000-0005-0000-0000-00000C0B0000}"/>
    <cellStyle name="Normal 2 3 2 2 3 2" xfId="3350" xr:uid="{00000000-0005-0000-0000-00000D0B0000}"/>
    <cellStyle name="Normal 2 3 2 2 4" xfId="1541" xr:uid="{00000000-0005-0000-0000-00000E0B0000}"/>
    <cellStyle name="Normal 2 3 2 2 4 2" xfId="3771" xr:uid="{00000000-0005-0000-0000-00000F0B0000}"/>
    <cellStyle name="Normal 2 3 2 2 5" xfId="1962" xr:uid="{00000000-0005-0000-0000-0000100B0000}"/>
    <cellStyle name="Normal 2 3 2 2 5 2" xfId="4192" xr:uid="{00000000-0005-0000-0000-0000110B0000}"/>
    <cellStyle name="Normal 2 3 2 2 6" xfId="700" xr:uid="{00000000-0005-0000-0000-0000120B0000}"/>
    <cellStyle name="Normal 2 3 2 2 6 2" xfId="2930" xr:uid="{00000000-0005-0000-0000-0000130B0000}"/>
    <cellStyle name="Normal 2 3 2 2 7" xfId="2489" xr:uid="{00000000-0005-0000-0000-0000140B0000}"/>
    <cellStyle name="Normal 2 3 2 3" xfId="364" xr:uid="{00000000-0005-0000-0000-0000150B0000}"/>
    <cellStyle name="Normal 2 3 2 3 2" xfId="1225" xr:uid="{00000000-0005-0000-0000-0000160B0000}"/>
    <cellStyle name="Normal 2 3 2 3 2 2" xfId="3455" xr:uid="{00000000-0005-0000-0000-0000170B0000}"/>
    <cellStyle name="Normal 2 3 2 3 3" xfId="1646" xr:uid="{00000000-0005-0000-0000-0000180B0000}"/>
    <cellStyle name="Normal 2 3 2 3 3 2" xfId="3876" xr:uid="{00000000-0005-0000-0000-0000190B0000}"/>
    <cellStyle name="Normal 2 3 2 3 4" xfId="2067" xr:uid="{00000000-0005-0000-0000-00001A0B0000}"/>
    <cellStyle name="Normal 2 3 2 3 4 2" xfId="4297" xr:uid="{00000000-0005-0000-0000-00001B0B0000}"/>
    <cellStyle name="Normal 2 3 2 3 5" xfId="805" xr:uid="{00000000-0005-0000-0000-00001C0B0000}"/>
    <cellStyle name="Normal 2 3 2 3 5 2" xfId="3035" xr:uid="{00000000-0005-0000-0000-00001D0B0000}"/>
    <cellStyle name="Normal 2 3 2 3 6" xfId="2594" xr:uid="{00000000-0005-0000-0000-00001E0B0000}"/>
    <cellStyle name="Normal 2 3 2 4" xfId="154" xr:uid="{00000000-0005-0000-0000-00001F0B0000}"/>
    <cellStyle name="Normal 2 3 2 4 2" xfId="1015" xr:uid="{00000000-0005-0000-0000-0000200B0000}"/>
    <cellStyle name="Normal 2 3 2 4 2 2" xfId="3245" xr:uid="{00000000-0005-0000-0000-0000210B0000}"/>
    <cellStyle name="Normal 2 3 2 4 3" xfId="2384" xr:uid="{00000000-0005-0000-0000-0000220B0000}"/>
    <cellStyle name="Normal 2 3 2 5" xfId="1436" xr:uid="{00000000-0005-0000-0000-0000230B0000}"/>
    <cellStyle name="Normal 2 3 2 5 2" xfId="3666" xr:uid="{00000000-0005-0000-0000-0000240B0000}"/>
    <cellStyle name="Normal 2 3 2 6" xfId="1857" xr:uid="{00000000-0005-0000-0000-0000250B0000}"/>
    <cellStyle name="Normal 2 3 2 6 2" xfId="4087" xr:uid="{00000000-0005-0000-0000-0000260B0000}"/>
    <cellStyle name="Normal 2 3 2 7" xfId="595" xr:uid="{00000000-0005-0000-0000-0000270B0000}"/>
    <cellStyle name="Normal 2 3 2 7 2" xfId="2825" xr:uid="{00000000-0005-0000-0000-0000280B0000}"/>
    <cellStyle name="Normal 2 3 2 8" xfId="2279" xr:uid="{00000000-0005-0000-0000-0000290B0000}"/>
    <cellStyle name="Normal 2 3 3" xfId="35" xr:uid="{00000000-0005-0000-0000-00002A0B0000}"/>
    <cellStyle name="Normal 2 3 3 2" xfId="268" xr:uid="{00000000-0005-0000-0000-00002B0B0000}"/>
    <cellStyle name="Normal 2 3 3 2 2" xfId="478" xr:uid="{00000000-0005-0000-0000-00002C0B0000}"/>
    <cellStyle name="Normal 2 3 3 2 2 2" xfId="1339" xr:uid="{00000000-0005-0000-0000-00002D0B0000}"/>
    <cellStyle name="Normal 2 3 3 2 2 2 2" xfId="3569" xr:uid="{00000000-0005-0000-0000-00002E0B0000}"/>
    <cellStyle name="Normal 2 3 3 2 2 3" xfId="1760" xr:uid="{00000000-0005-0000-0000-00002F0B0000}"/>
    <cellStyle name="Normal 2 3 3 2 2 3 2" xfId="3990" xr:uid="{00000000-0005-0000-0000-0000300B0000}"/>
    <cellStyle name="Normal 2 3 3 2 2 4" xfId="2181" xr:uid="{00000000-0005-0000-0000-0000310B0000}"/>
    <cellStyle name="Normal 2 3 3 2 2 4 2" xfId="4411" xr:uid="{00000000-0005-0000-0000-0000320B0000}"/>
    <cellStyle name="Normal 2 3 3 2 2 5" xfId="919" xr:uid="{00000000-0005-0000-0000-0000330B0000}"/>
    <cellStyle name="Normal 2 3 3 2 2 5 2" xfId="3149" xr:uid="{00000000-0005-0000-0000-0000340B0000}"/>
    <cellStyle name="Normal 2 3 3 2 2 6" xfId="2708" xr:uid="{00000000-0005-0000-0000-0000350B0000}"/>
    <cellStyle name="Normal 2 3 3 2 3" xfId="1129" xr:uid="{00000000-0005-0000-0000-0000360B0000}"/>
    <cellStyle name="Normal 2 3 3 2 3 2" xfId="3359" xr:uid="{00000000-0005-0000-0000-0000370B0000}"/>
    <cellStyle name="Normal 2 3 3 2 4" xfId="1550" xr:uid="{00000000-0005-0000-0000-0000380B0000}"/>
    <cellStyle name="Normal 2 3 3 2 4 2" xfId="3780" xr:uid="{00000000-0005-0000-0000-0000390B0000}"/>
    <cellStyle name="Normal 2 3 3 2 5" xfId="1971" xr:uid="{00000000-0005-0000-0000-00003A0B0000}"/>
    <cellStyle name="Normal 2 3 3 2 5 2" xfId="4201" xr:uid="{00000000-0005-0000-0000-00003B0B0000}"/>
    <cellStyle name="Normal 2 3 3 2 6" xfId="709" xr:uid="{00000000-0005-0000-0000-00003C0B0000}"/>
    <cellStyle name="Normal 2 3 3 2 6 2" xfId="2939" xr:uid="{00000000-0005-0000-0000-00003D0B0000}"/>
    <cellStyle name="Normal 2 3 3 2 7" xfId="2498" xr:uid="{00000000-0005-0000-0000-00003E0B0000}"/>
    <cellStyle name="Normal 2 3 3 3" xfId="373" xr:uid="{00000000-0005-0000-0000-00003F0B0000}"/>
    <cellStyle name="Normal 2 3 3 3 2" xfId="1234" xr:uid="{00000000-0005-0000-0000-0000400B0000}"/>
    <cellStyle name="Normal 2 3 3 3 2 2" xfId="3464" xr:uid="{00000000-0005-0000-0000-0000410B0000}"/>
    <cellStyle name="Normal 2 3 3 3 3" xfId="1655" xr:uid="{00000000-0005-0000-0000-0000420B0000}"/>
    <cellStyle name="Normal 2 3 3 3 3 2" xfId="3885" xr:uid="{00000000-0005-0000-0000-0000430B0000}"/>
    <cellStyle name="Normal 2 3 3 3 4" xfId="2076" xr:uid="{00000000-0005-0000-0000-0000440B0000}"/>
    <cellStyle name="Normal 2 3 3 3 4 2" xfId="4306" xr:uid="{00000000-0005-0000-0000-0000450B0000}"/>
    <cellStyle name="Normal 2 3 3 3 5" xfId="814" xr:uid="{00000000-0005-0000-0000-0000460B0000}"/>
    <cellStyle name="Normal 2 3 3 3 5 2" xfId="3044" xr:uid="{00000000-0005-0000-0000-0000470B0000}"/>
    <cellStyle name="Normal 2 3 3 3 6" xfId="2603" xr:uid="{00000000-0005-0000-0000-0000480B0000}"/>
    <cellStyle name="Normal 2 3 3 4" xfId="163" xr:uid="{00000000-0005-0000-0000-0000490B0000}"/>
    <cellStyle name="Normal 2 3 3 4 2" xfId="1024" xr:uid="{00000000-0005-0000-0000-00004A0B0000}"/>
    <cellStyle name="Normal 2 3 3 4 2 2" xfId="3254" xr:uid="{00000000-0005-0000-0000-00004B0B0000}"/>
    <cellStyle name="Normal 2 3 3 4 3" xfId="2393" xr:uid="{00000000-0005-0000-0000-00004C0B0000}"/>
    <cellStyle name="Normal 2 3 3 5" xfId="1445" xr:uid="{00000000-0005-0000-0000-00004D0B0000}"/>
    <cellStyle name="Normal 2 3 3 5 2" xfId="3675" xr:uid="{00000000-0005-0000-0000-00004E0B0000}"/>
    <cellStyle name="Normal 2 3 3 6" xfId="1866" xr:uid="{00000000-0005-0000-0000-00004F0B0000}"/>
    <cellStyle name="Normal 2 3 3 6 2" xfId="4096" xr:uid="{00000000-0005-0000-0000-0000500B0000}"/>
    <cellStyle name="Normal 2 3 3 7" xfId="604" xr:uid="{00000000-0005-0000-0000-0000510B0000}"/>
    <cellStyle name="Normal 2 3 3 7 2" xfId="2834" xr:uid="{00000000-0005-0000-0000-0000520B0000}"/>
    <cellStyle name="Normal 2 3 3 8" xfId="2288" xr:uid="{00000000-0005-0000-0000-0000530B0000}"/>
    <cellStyle name="Normal 2 3 4" xfId="44" xr:uid="{00000000-0005-0000-0000-0000540B0000}"/>
    <cellStyle name="Normal 2 3 4 2" xfId="277" xr:uid="{00000000-0005-0000-0000-0000550B0000}"/>
    <cellStyle name="Normal 2 3 4 2 2" xfId="487" xr:uid="{00000000-0005-0000-0000-0000560B0000}"/>
    <cellStyle name="Normal 2 3 4 2 2 2" xfId="1348" xr:uid="{00000000-0005-0000-0000-0000570B0000}"/>
    <cellStyle name="Normal 2 3 4 2 2 2 2" xfId="3578" xr:uid="{00000000-0005-0000-0000-0000580B0000}"/>
    <cellStyle name="Normal 2 3 4 2 2 3" xfId="1769" xr:uid="{00000000-0005-0000-0000-0000590B0000}"/>
    <cellStyle name="Normal 2 3 4 2 2 3 2" xfId="3999" xr:uid="{00000000-0005-0000-0000-00005A0B0000}"/>
    <cellStyle name="Normal 2 3 4 2 2 4" xfId="2190" xr:uid="{00000000-0005-0000-0000-00005B0B0000}"/>
    <cellStyle name="Normal 2 3 4 2 2 4 2" xfId="4420" xr:uid="{00000000-0005-0000-0000-00005C0B0000}"/>
    <cellStyle name="Normal 2 3 4 2 2 5" xfId="928" xr:uid="{00000000-0005-0000-0000-00005D0B0000}"/>
    <cellStyle name="Normal 2 3 4 2 2 5 2" xfId="3158" xr:uid="{00000000-0005-0000-0000-00005E0B0000}"/>
    <cellStyle name="Normal 2 3 4 2 2 6" xfId="2717" xr:uid="{00000000-0005-0000-0000-00005F0B0000}"/>
    <cellStyle name="Normal 2 3 4 2 3" xfId="1138" xr:uid="{00000000-0005-0000-0000-0000600B0000}"/>
    <cellStyle name="Normal 2 3 4 2 3 2" xfId="3368" xr:uid="{00000000-0005-0000-0000-0000610B0000}"/>
    <cellStyle name="Normal 2 3 4 2 4" xfId="1559" xr:uid="{00000000-0005-0000-0000-0000620B0000}"/>
    <cellStyle name="Normal 2 3 4 2 4 2" xfId="3789" xr:uid="{00000000-0005-0000-0000-0000630B0000}"/>
    <cellStyle name="Normal 2 3 4 2 5" xfId="1980" xr:uid="{00000000-0005-0000-0000-0000640B0000}"/>
    <cellStyle name="Normal 2 3 4 2 5 2" xfId="4210" xr:uid="{00000000-0005-0000-0000-0000650B0000}"/>
    <cellStyle name="Normal 2 3 4 2 6" xfId="718" xr:uid="{00000000-0005-0000-0000-0000660B0000}"/>
    <cellStyle name="Normal 2 3 4 2 6 2" xfId="2948" xr:uid="{00000000-0005-0000-0000-0000670B0000}"/>
    <cellStyle name="Normal 2 3 4 2 7" xfId="2507" xr:uid="{00000000-0005-0000-0000-0000680B0000}"/>
    <cellStyle name="Normal 2 3 4 3" xfId="382" xr:uid="{00000000-0005-0000-0000-0000690B0000}"/>
    <cellStyle name="Normal 2 3 4 3 2" xfId="1243" xr:uid="{00000000-0005-0000-0000-00006A0B0000}"/>
    <cellStyle name="Normal 2 3 4 3 2 2" xfId="3473" xr:uid="{00000000-0005-0000-0000-00006B0B0000}"/>
    <cellStyle name="Normal 2 3 4 3 3" xfId="1664" xr:uid="{00000000-0005-0000-0000-00006C0B0000}"/>
    <cellStyle name="Normal 2 3 4 3 3 2" xfId="3894" xr:uid="{00000000-0005-0000-0000-00006D0B0000}"/>
    <cellStyle name="Normal 2 3 4 3 4" xfId="2085" xr:uid="{00000000-0005-0000-0000-00006E0B0000}"/>
    <cellStyle name="Normal 2 3 4 3 4 2" xfId="4315" xr:uid="{00000000-0005-0000-0000-00006F0B0000}"/>
    <cellStyle name="Normal 2 3 4 3 5" xfId="823" xr:uid="{00000000-0005-0000-0000-0000700B0000}"/>
    <cellStyle name="Normal 2 3 4 3 5 2" xfId="3053" xr:uid="{00000000-0005-0000-0000-0000710B0000}"/>
    <cellStyle name="Normal 2 3 4 3 6" xfId="2612" xr:uid="{00000000-0005-0000-0000-0000720B0000}"/>
    <cellStyle name="Normal 2 3 4 4" xfId="172" xr:uid="{00000000-0005-0000-0000-0000730B0000}"/>
    <cellStyle name="Normal 2 3 4 4 2" xfId="1033" xr:uid="{00000000-0005-0000-0000-0000740B0000}"/>
    <cellStyle name="Normal 2 3 4 4 2 2" xfId="3263" xr:uid="{00000000-0005-0000-0000-0000750B0000}"/>
    <cellStyle name="Normal 2 3 4 4 3" xfId="2402" xr:uid="{00000000-0005-0000-0000-0000760B0000}"/>
    <cellStyle name="Normal 2 3 4 5" xfId="1454" xr:uid="{00000000-0005-0000-0000-0000770B0000}"/>
    <cellStyle name="Normal 2 3 4 5 2" xfId="3684" xr:uid="{00000000-0005-0000-0000-0000780B0000}"/>
    <cellStyle name="Normal 2 3 4 6" xfId="1875" xr:uid="{00000000-0005-0000-0000-0000790B0000}"/>
    <cellStyle name="Normal 2 3 4 6 2" xfId="4105" xr:uid="{00000000-0005-0000-0000-00007A0B0000}"/>
    <cellStyle name="Normal 2 3 4 7" xfId="613" xr:uid="{00000000-0005-0000-0000-00007B0B0000}"/>
    <cellStyle name="Normal 2 3 4 7 2" xfId="2843" xr:uid="{00000000-0005-0000-0000-00007C0B0000}"/>
    <cellStyle name="Normal 2 3 4 8" xfId="2297" xr:uid="{00000000-0005-0000-0000-00007D0B0000}"/>
    <cellStyle name="Normal 2 3 5" xfId="53" xr:uid="{00000000-0005-0000-0000-00007E0B0000}"/>
    <cellStyle name="Normal 2 3 5 2" xfId="286" xr:uid="{00000000-0005-0000-0000-00007F0B0000}"/>
    <cellStyle name="Normal 2 3 5 2 2" xfId="496" xr:uid="{00000000-0005-0000-0000-0000800B0000}"/>
    <cellStyle name="Normal 2 3 5 2 2 2" xfId="1357" xr:uid="{00000000-0005-0000-0000-0000810B0000}"/>
    <cellStyle name="Normal 2 3 5 2 2 2 2" xfId="3587" xr:uid="{00000000-0005-0000-0000-0000820B0000}"/>
    <cellStyle name="Normal 2 3 5 2 2 3" xfId="1778" xr:uid="{00000000-0005-0000-0000-0000830B0000}"/>
    <cellStyle name="Normal 2 3 5 2 2 3 2" xfId="4008" xr:uid="{00000000-0005-0000-0000-0000840B0000}"/>
    <cellStyle name="Normal 2 3 5 2 2 4" xfId="2199" xr:uid="{00000000-0005-0000-0000-0000850B0000}"/>
    <cellStyle name="Normal 2 3 5 2 2 4 2" xfId="4429" xr:uid="{00000000-0005-0000-0000-0000860B0000}"/>
    <cellStyle name="Normal 2 3 5 2 2 5" xfId="937" xr:uid="{00000000-0005-0000-0000-0000870B0000}"/>
    <cellStyle name="Normal 2 3 5 2 2 5 2" xfId="3167" xr:uid="{00000000-0005-0000-0000-0000880B0000}"/>
    <cellStyle name="Normal 2 3 5 2 2 6" xfId="2726" xr:uid="{00000000-0005-0000-0000-0000890B0000}"/>
    <cellStyle name="Normal 2 3 5 2 3" xfId="1147" xr:uid="{00000000-0005-0000-0000-00008A0B0000}"/>
    <cellStyle name="Normal 2 3 5 2 3 2" xfId="3377" xr:uid="{00000000-0005-0000-0000-00008B0B0000}"/>
    <cellStyle name="Normal 2 3 5 2 4" xfId="1568" xr:uid="{00000000-0005-0000-0000-00008C0B0000}"/>
    <cellStyle name="Normal 2 3 5 2 4 2" xfId="3798" xr:uid="{00000000-0005-0000-0000-00008D0B0000}"/>
    <cellStyle name="Normal 2 3 5 2 5" xfId="1989" xr:uid="{00000000-0005-0000-0000-00008E0B0000}"/>
    <cellStyle name="Normal 2 3 5 2 5 2" xfId="4219" xr:uid="{00000000-0005-0000-0000-00008F0B0000}"/>
    <cellStyle name="Normal 2 3 5 2 6" xfId="727" xr:uid="{00000000-0005-0000-0000-0000900B0000}"/>
    <cellStyle name="Normal 2 3 5 2 6 2" xfId="2957" xr:uid="{00000000-0005-0000-0000-0000910B0000}"/>
    <cellStyle name="Normal 2 3 5 2 7" xfId="2516" xr:uid="{00000000-0005-0000-0000-0000920B0000}"/>
    <cellStyle name="Normal 2 3 5 3" xfId="391" xr:uid="{00000000-0005-0000-0000-0000930B0000}"/>
    <cellStyle name="Normal 2 3 5 3 2" xfId="1252" xr:uid="{00000000-0005-0000-0000-0000940B0000}"/>
    <cellStyle name="Normal 2 3 5 3 2 2" xfId="3482" xr:uid="{00000000-0005-0000-0000-0000950B0000}"/>
    <cellStyle name="Normal 2 3 5 3 3" xfId="1673" xr:uid="{00000000-0005-0000-0000-0000960B0000}"/>
    <cellStyle name="Normal 2 3 5 3 3 2" xfId="3903" xr:uid="{00000000-0005-0000-0000-0000970B0000}"/>
    <cellStyle name="Normal 2 3 5 3 4" xfId="2094" xr:uid="{00000000-0005-0000-0000-0000980B0000}"/>
    <cellStyle name="Normal 2 3 5 3 4 2" xfId="4324" xr:uid="{00000000-0005-0000-0000-0000990B0000}"/>
    <cellStyle name="Normal 2 3 5 3 5" xfId="832" xr:uid="{00000000-0005-0000-0000-00009A0B0000}"/>
    <cellStyle name="Normal 2 3 5 3 5 2" xfId="3062" xr:uid="{00000000-0005-0000-0000-00009B0B0000}"/>
    <cellStyle name="Normal 2 3 5 3 6" xfId="2621" xr:uid="{00000000-0005-0000-0000-00009C0B0000}"/>
    <cellStyle name="Normal 2 3 5 4" xfId="181" xr:uid="{00000000-0005-0000-0000-00009D0B0000}"/>
    <cellStyle name="Normal 2 3 5 4 2" xfId="1042" xr:uid="{00000000-0005-0000-0000-00009E0B0000}"/>
    <cellStyle name="Normal 2 3 5 4 2 2" xfId="3272" xr:uid="{00000000-0005-0000-0000-00009F0B0000}"/>
    <cellStyle name="Normal 2 3 5 4 3" xfId="2411" xr:uid="{00000000-0005-0000-0000-0000A00B0000}"/>
    <cellStyle name="Normal 2 3 5 5" xfId="1463" xr:uid="{00000000-0005-0000-0000-0000A10B0000}"/>
    <cellStyle name="Normal 2 3 5 5 2" xfId="3693" xr:uid="{00000000-0005-0000-0000-0000A20B0000}"/>
    <cellStyle name="Normal 2 3 5 6" xfId="1884" xr:uid="{00000000-0005-0000-0000-0000A30B0000}"/>
    <cellStyle name="Normal 2 3 5 6 2" xfId="4114" xr:uid="{00000000-0005-0000-0000-0000A40B0000}"/>
    <cellStyle name="Normal 2 3 5 7" xfId="622" xr:uid="{00000000-0005-0000-0000-0000A50B0000}"/>
    <cellStyle name="Normal 2 3 5 7 2" xfId="2852" xr:uid="{00000000-0005-0000-0000-0000A60B0000}"/>
    <cellStyle name="Normal 2 3 5 8" xfId="2306" xr:uid="{00000000-0005-0000-0000-0000A70B0000}"/>
    <cellStyle name="Normal 2 3 6" xfId="246" xr:uid="{00000000-0005-0000-0000-0000A80B0000}"/>
    <cellStyle name="Normal 2 3 6 2" xfId="456" xr:uid="{00000000-0005-0000-0000-0000A90B0000}"/>
    <cellStyle name="Normal 2 3 6 2 2" xfId="1317" xr:uid="{00000000-0005-0000-0000-0000AA0B0000}"/>
    <cellStyle name="Normal 2 3 6 2 2 2" xfId="3547" xr:uid="{00000000-0005-0000-0000-0000AB0B0000}"/>
    <cellStyle name="Normal 2 3 6 2 3" xfId="1738" xr:uid="{00000000-0005-0000-0000-0000AC0B0000}"/>
    <cellStyle name="Normal 2 3 6 2 3 2" xfId="3968" xr:uid="{00000000-0005-0000-0000-0000AD0B0000}"/>
    <cellStyle name="Normal 2 3 6 2 4" xfId="2159" xr:uid="{00000000-0005-0000-0000-0000AE0B0000}"/>
    <cellStyle name="Normal 2 3 6 2 4 2" xfId="4389" xr:uid="{00000000-0005-0000-0000-0000AF0B0000}"/>
    <cellStyle name="Normal 2 3 6 2 5" xfId="897" xr:uid="{00000000-0005-0000-0000-0000B00B0000}"/>
    <cellStyle name="Normal 2 3 6 2 5 2" xfId="3127" xr:uid="{00000000-0005-0000-0000-0000B10B0000}"/>
    <cellStyle name="Normal 2 3 6 2 6" xfId="2686" xr:uid="{00000000-0005-0000-0000-0000B20B0000}"/>
    <cellStyle name="Normal 2 3 6 3" xfId="1107" xr:uid="{00000000-0005-0000-0000-0000B30B0000}"/>
    <cellStyle name="Normal 2 3 6 3 2" xfId="3337" xr:uid="{00000000-0005-0000-0000-0000B40B0000}"/>
    <cellStyle name="Normal 2 3 6 4" xfId="1528" xr:uid="{00000000-0005-0000-0000-0000B50B0000}"/>
    <cellStyle name="Normal 2 3 6 4 2" xfId="3758" xr:uid="{00000000-0005-0000-0000-0000B60B0000}"/>
    <cellStyle name="Normal 2 3 6 5" xfId="1949" xr:uid="{00000000-0005-0000-0000-0000B70B0000}"/>
    <cellStyle name="Normal 2 3 6 5 2" xfId="4179" xr:uid="{00000000-0005-0000-0000-0000B80B0000}"/>
    <cellStyle name="Normal 2 3 6 6" xfId="687" xr:uid="{00000000-0005-0000-0000-0000B90B0000}"/>
    <cellStyle name="Normal 2 3 6 6 2" xfId="2917" xr:uid="{00000000-0005-0000-0000-0000BA0B0000}"/>
    <cellStyle name="Normal 2 3 6 7" xfId="2476" xr:uid="{00000000-0005-0000-0000-0000BB0B0000}"/>
    <cellStyle name="Normal 2 3 7" xfId="351" xr:uid="{00000000-0005-0000-0000-0000BC0B0000}"/>
    <cellStyle name="Normal 2 3 7 2" xfId="1212" xr:uid="{00000000-0005-0000-0000-0000BD0B0000}"/>
    <cellStyle name="Normal 2 3 7 2 2" xfId="3442" xr:uid="{00000000-0005-0000-0000-0000BE0B0000}"/>
    <cellStyle name="Normal 2 3 7 3" xfId="1633" xr:uid="{00000000-0005-0000-0000-0000BF0B0000}"/>
    <cellStyle name="Normal 2 3 7 3 2" xfId="3863" xr:uid="{00000000-0005-0000-0000-0000C00B0000}"/>
    <cellStyle name="Normal 2 3 7 4" xfId="2054" xr:uid="{00000000-0005-0000-0000-0000C10B0000}"/>
    <cellStyle name="Normal 2 3 7 4 2" xfId="4284" xr:uid="{00000000-0005-0000-0000-0000C20B0000}"/>
    <cellStyle name="Normal 2 3 7 5" xfId="792" xr:uid="{00000000-0005-0000-0000-0000C30B0000}"/>
    <cellStyle name="Normal 2 3 7 5 2" xfId="3022" xr:uid="{00000000-0005-0000-0000-0000C40B0000}"/>
    <cellStyle name="Normal 2 3 7 6" xfId="2581" xr:uid="{00000000-0005-0000-0000-0000C50B0000}"/>
    <cellStyle name="Normal 2 3 8" xfId="140" xr:uid="{00000000-0005-0000-0000-0000C60B0000}"/>
    <cellStyle name="Normal 2 3 8 2" xfId="1002" xr:uid="{00000000-0005-0000-0000-0000C70B0000}"/>
    <cellStyle name="Normal 2 3 8 2 2" xfId="3232" xr:uid="{00000000-0005-0000-0000-0000C80B0000}"/>
    <cellStyle name="Normal 2 3 8 3" xfId="2371" xr:uid="{00000000-0005-0000-0000-0000C90B0000}"/>
    <cellStyle name="Normal 2 3 9" xfId="1423" xr:uid="{00000000-0005-0000-0000-0000CA0B0000}"/>
    <cellStyle name="Normal 2 3 9 2" xfId="3653" xr:uid="{00000000-0005-0000-0000-0000CB0B0000}"/>
    <cellStyle name="Normal 2 4" xfId="22" xr:uid="{00000000-0005-0000-0000-0000CC0B0000}"/>
    <cellStyle name="Normal 2 4 2" xfId="255" xr:uid="{00000000-0005-0000-0000-0000CD0B0000}"/>
    <cellStyle name="Normal 2 4 2 2" xfId="465" xr:uid="{00000000-0005-0000-0000-0000CE0B0000}"/>
    <cellStyle name="Normal 2 4 2 2 2" xfId="1326" xr:uid="{00000000-0005-0000-0000-0000CF0B0000}"/>
    <cellStyle name="Normal 2 4 2 2 2 2" xfId="3556" xr:uid="{00000000-0005-0000-0000-0000D00B0000}"/>
    <cellStyle name="Normal 2 4 2 2 3" xfId="1747" xr:uid="{00000000-0005-0000-0000-0000D10B0000}"/>
    <cellStyle name="Normal 2 4 2 2 3 2" xfId="3977" xr:uid="{00000000-0005-0000-0000-0000D20B0000}"/>
    <cellStyle name="Normal 2 4 2 2 4" xfId="2168" xr:uid="{00000000-0005-0000-0000-0000D30B0000}"/>
    <cellStyle name="Normal 2 4 2 2 4 2" xfId="4398" xr:uid="{00000000-0005-0000-0000-0000D40B0000}"/>
    <cellStyle name="Normal 2 4 2 2 5" xfId="906" xr:uid="{00000000-0005-0000-0000-0000D50B0000}"/>
    <cellStyle name="Normal 2 4 2 2 5 2" xfId="3136" xr:uid="{00000000-0005-0000-0000-0000D60B0000}"/>
    <cellStyle name="Normal 2 4 2 2 6" xfId="2695" xr:uid="{00000000-0005-0000-0000-0000D70B0000}"/>
    <cellStyle name="Normal 2 4 2 3" xfId="1116" xr:uid="{00000000-0005-0000-0000-0000D80B0000}"/>
    <cellStyle name="Normal 2 4 2 3 2" xfId="3346" xr:uid="{00000000-0005-0000-0000-0000D90B0000}"/>
    <cellStyle name="Normal 2 4 2 4" xfId="1537" xr:uid="{00000000-0005-0000-0000-0000DA0B0000}"/>
    <cellStyle name="Normal 2 4 2 4 2" xfId="3767" xr:uid="{00000000-0005-0000-0000-0000DB0B0000}"/>
    <cellStyle name="Normal 2 4 2 5" xfId="1958" xr:uid="{00000000-0005-0000-0000-0000DC0B0000}"/>
    <cellStyle name="Normal 2 4 2 5 2" xfId="4188" xr:uid="{00000000-0005-0000-0000-0000DD0B0000}"/>
    <cellStyle name="Normal 2 4 2 6" xfId="696" xr:uid="{00000000-0005-0000-0000-0000DE0B0000}"/>
    <cellStyle name="Normal 2 4 2 6 2" xfId="2926" xr:uid="{00000000-0005-0000-0000-0000DF0B0000}"/>
    <cellStyle name="Normal 2 4 2 7" xfId="2485" xr:uid="{00000000-0005-0000-0000-0000E00B0000}"/>
    <cellStyle name="Normal 2 4 3" xfId="360" xr:uid="{00000000-0005-0000-0000-0000E10B0000}"/>
    <cellStyle name="Normal 2 4 3 2" xfId="1221" xr:uid="{00000000-0005-0000-0000-0000E20B0000}"/>
    <cellStyle name="Normal 2 4 3 2 2" xfId="3451" xr:uid="{00000000-0005-0000-0000-0000E30B0000}"/>
    <cellStyle name="Normal 2 4 3 3" xfId="1642" xr:uid="{00000000-0005-0000-0000-0000E40B0000}"/>
    <cellStyle name="Normal 2 4 3 3 2" xfId="3872" xr:uid="{00000000-0005-0000-0000-0000E50B0000}"/>
    <cellStyle name="Normal 2 4 3 4" xfId="2063" xr:uid="{00000000-0005-0000-0000-0000E60B0000}"/>
    <cellStyle name="Normal 2 4 3 4 2" xfId="4293" xr:uid="{00000000-0005-0000-0000-0000E70B0000}"/>
    <cellStyle name="Normal 2 4 3 5" xfId="801" xr:uid="{00000000-0005-0000-0000-0000E80B0000}"/>
    <cellStyle name="Normal 2 4 3 5 2" xfId="3031" xr:uid="{00000000-0005-0000-0000-0000E90B0000}"/>
    <cellStyle name="Normal 2 4 3 6" xfId="2590" xr:uid="{00000000-0005-0000-0000-0000EA0B0000}"/>
    <cellStyle name="Normal 2 4 4" xfId="150" xr:uid="{00000000-0005-0000-0000-0000EB0B0000}"/>
    <cellStyle name="Normal 2 4 4 2" xfId="1011" xr:uid="{00000000-0005-0000-0000-0000EC0B0000}"/>
    <cellStyle name="Normal 2 4 4 2 2" xfId="3241" xr:uid="{00000000-0005-0000-0000-0000ED0B0000}"/>
    <cellStyle name="Normal 2 4 4 3" xfId="2380" xr:uid="{00000000-0005-0000-0000-0000EE0B0000}"/>
    <cellStyle name="Normal 2 4 5" xfId="1432" xr:uid="{00000000-0005-0000-0000-0000EF0B0000}"/>
    <cellStyle name="Normal 2 4 5 2" xfId="3662" xr:uid="{00000000-0005-0000-0000-0000F00B0000}"/>
    <cellStyle name="Normal 2 4 6" xfId="1853" xr:uid="{00000000-0005-0000-0000-0000F10B0000}"/>
    <cellStyle name="Normal 2 4 6 2" xfId="4083" xr:uid="{00000000-0005-0000-0000-0000F20B0000}"/>
    <cellStyle name="Normal 2 4 7" xfId="591" xr:uid="{00000000-0005-0000-0000-0000F30B0000}"/>
    <cellStyle name="Normal 2 4 7 2" xfId="2821" xr:uid="{00000000-0005-0000-0000-0000F40B0000}"/>
    <cellStyle name="Normal 2 4 8" xfId="2275" xr:uid="{00000000-0005-0000-0000-0000F50B0000}"/>
    <cellStyle name="Normal 2 5" xfId="31" xr:uid="{00000000-0005-0000-0000-0000F60B0000}"/>
    <cellStyle name="Normal 2 5 2" xfId="264" xr:uid="{00000000-0005-0000-0000-0000F70B0000}"/>
    <cellStyle name="Normal 2 5 2 2" xfId="474" xr:uid="{00000000-0005-0000-0000-0000F80B0000}"/>
    <cellStyle name="Normal 2 5 2 2 2" xfId="1335" xr:uid="{00000000-0005-0000-0000-0000F90B0000}"/>
    <cellStyle name="Normal 2 5 2 2 2 2" xfId="3565" xr:uid="{00000000-0005-0000-0000-0000FA0B0000}"/>
    <cellStyle name="Normal 2 5 2 2 3" xfId="1756" xr:uid="{00000000-0005-0000-0000-0000FB0B0000}"/>
    <cellStyle name="Normal 2 5 2 2 3 2" xfId="3986" xr:uid="{00000000-0005-0000-0000-0000FC0B0000}"/>
    <cellStyle name="Normal 2 5 2 2 4" xfId="2177" xr:uid="{00000000-0005-0000-0000-0000FD0B0000}"/>
    <cellStyle name="Normal 2 5 2 2 4 2" xfId="4407" xr:uid="{00000000-0005-0000-0000-0000FE0B0000}"/>
    <cellStyle name="Normal 2 5 2 2 5" xfId="915" xr:uid="{00000000-0005-0000-0000-0000FF0B0000}"/>
    <cellStyle name="Normal 2 5 2 2 5 2" xfId="3145" xr:uid="{00000000-0005-0000-0000-0000000C0000}"/>
    <cellStyle name="Normal 2 5 2 2 6" xfId="2704" xr:uid="{00000000-0005-0000-0000-0000010C0000}"/>
    <cellStyle name="Normal 2 5 2 3" xfId="1125" xr:uid="{00000000-0005-0000-0000-0000020C0000}"/>
    <cellStyle name="Normal 2 5 2 3 2" xfId="3355" xr:uid="{00000000-0005-0000-0000-0000030C0000}"/>
    <cellStyle name="Normal 2 5 2 4" xfId="1546" xr:uid="{00000000-0005-0000-0000-0000040C0000}"/>
    <cellStyle name="Normal 2 5 2 4 2" xfId="3776" xr:uid="{00000000-0005-0000-0000-0000050C0000}"/>
    <cellStyle name="Normal 2 5 2 5" xfId="1967" xr:uid="{00000000-0005-0000-0000-0000060C0000}"/>
    <cellStyle name="Normal 2 5 2 5 2" xfId="4197" xr:uid="{00000000-0005-0000-0000-0000070C0000}"/>
    <cellStyle name="Normal 2 5 2 6" xfId="705" xr:uid="{00000000-0005-0000-0000-0000080C0000}"/>
    <cellStyle name="Normal 2 5 2 6 2" xfId="2935" xr:uid="{00000000-0005-0000-0000-0000090C0000}"/>
    <cellStyle name="Normal 2 5 2 7" xfId="2494" xr:uid="{00000000-0005-0000-0000-00000A0C0000}"/>
    <cellStyle name="Normal 2 5 3" xfId="369" xr:uid="{00000000-0005-0000-0000-00000B0C0000}"/>
    <cellStyle name="Normal 2 5 3 2" xfId="1230" xr:uid="{00000000-0005-0000-0000-00000C0C0000}"/>
    <cellStyle name="Normal 2 5 3 2 2" xfId="3460" xr:uid="{00000000-0005-0000-0000-00000D0C0000}"/>
    <cellStyle name="Normal 2 5 3 3" xfId="1651" xr:uid="{00000000-0005-0000-0000-00000E0C0000}"/>
    <cellStyle name="Normal 2 5 3 3 2" xfId="3881" xr:uid="{00000000-0005-0000-0000-00000F0C0000}"/>
    <cellStyle name="Normal 2 5 3 4" xfId="2072" xr:uid="{00000000-0005-0000-0000-0000100C0000}"/>
    <cellStyle name="Normal 2 5 3 4 2" xfId="4302" xr:uid="{00000000-0005-0000-0000-0000110C0000}"/>
    <cellStyle name="Normal 2 5 3 5" xfId="810" xr:uid="{00000000-0005-0000-0000-0000120C0000}"/>
    <cellStyle name="Normal 2 5 3 5 2" xfId="3040" xr:uid="{00000000-0005-0000-0000-0000130C0000}"/>
    <cellStyle name="Normal 2 5 3 6" xfId="2599" xr:uid="{00000000-0005-0000-0000-0000140C0000}"/>
    <cellStyle name="Normal 2 5 4" xfId="159" xr:uid="{00000000-0005-0000-0000-0000150C0000}"/>
    <cellStyle name="Normal 2 5 4 2" xfId="1020" xr:uid="{00000000-0005-0000-0000-0000160C0000}"/>
    <cellStyle name="Normal 2 5 4 2 2" xfId="3250" xr:uid="{00000000-0005-0000-0000-0000170C0000}"/>
    <cellStyle name="Normal 2 5 4 3" xfId="2389" xr:uid="{00000000-0005-0000-0000-0000180C0000}"/>
    <cellStyle name="Normal 2 5 5" xfId="1441" xr:uid="{00000000-0005-0000-0000-0000190C0000}"/>
    <cellStyle name="Normal 2 5 5 2" xfId="3671" xr:uid="{00000000-0005-0000-0000-00001A0C0000}"/>
    <cellStyle name="Normal 2 5 6" xfId="1862" xr:uid="{00000000-0005-0000-0000-00001B0C0000}"/>
    <cellStyle name="Normal 2 5 6 2" xfId="4092" xr:uid="{00000000-0005-0000-0000-00001C0C0000}"/>
    <cellStyle name="Normal 2 5 7" xfId="600" xr:uid="{00000000-0005-0000-0000-00001D0C0000}"/>
    <cellStyle name="Normal 2 5 7 2" xfId="2830" xr:uid="{00000000-0005-0000-0000-00001E0C0000}"/>
    <cellStyle name="Normal 2 5 8" xfId="2284" xr:uid="{00000000-0005-0000-0000-00001F0C0000}"/>
    <cellStyle name="Normal 2 6" xfId="40" xr:uid="{00000000-0005-0000-0000-0000200C0000}"/>
    <cellStyle name="Normal 2 6 2" xfId="273" xr:uid="{00000000-0005-0000-0000-0000210C0000}"/>
    <cellStyle name="Normal 2 6 2 2" xfId="483" xr:uid="{00000000-0005-0000-0000-0000220C0000}"/>
    <cellStyle name="Normal 2 6 2 2 2" xfId="1344" xr:uid="{00000000-0005-0000-0000-0000230C0000}"/>
    <cellStyle name="Normal 2 6 2 2 2 2" xfId="3574" xr:uid="{00000000-0005-0000-0000-0000240C0000}"/>
    <cellStyle name="Normal 2 6 2 2 3" xfId="1765" xr:uid="{00000000-0005-0000-0000-0000250C0000}"/>
    <cellStyle name="Normal 2 6 2 2 3 2" xfId="3995" xr:uid="{00000000-0005-0000-0000-0000260C0000}"/>
    <cellStyle name="Normal 2 6 2 2 4" xfId="2186" xr:uid="{00000000-0005-0000-0000-0000270C0000}"/>
    <cellStyle name="Normal 2 6 2 2 4 2" xfId="4416" xr:uid="{00000000-0005-0000-0000-0000280C0000}"/>
    <cellStyle name="Normal 2 6 2 2 5" xfId="924" xr:uid="{00000000-0005-0000-0000-0000290C0000}"/>
    <cellStyle name="Normal 2 6 2 2 5 2" xfId="3154" xr:uid="{00000000-0005-0000-0000-00002A0C0000}"/>
    <cellStyle name="Normal 2 6 2 2 6" xfId="2713" xr:uid="{00000000-0005-0000-0000-00002B0C0000}"/>
    <cellStyle name="Normal 2 6 2 3" xfId="1134" xr:uid="{00000000-0005-0000-0000-00002C0C0000}"/>
    <cellStyle name="Normal 2 6 2 3 2" xfId="3364" xr:uid="{00000000-0005-0000-0000-00002D0C0000}"/>
    <cellStyle name="Normal 2 6 2 4" xfId="1555" xr:uid="{00000000-0005-0000-0000-00002E0C0000}"/>
    <cellStyle name="Normal 2 6 2 4 2" xfId="3785" xr:uid="{00000000-0005-0000-0000-00002F0C0000}"/>
    <cellStyle name="Normal 2 6 2 5" xfId="1976" xr:uid="{00000000-0005-0000-0000-0000300C0000}"/>
    <cellStyle name="Normal 2 6 2 5 2" xfId="4206" xr:uid="{00000000-0005-0000-0000-0000310C0000}"/>
    <cellStyle name="Normal 2 6 2 6" xfId="714" xr:uid="{00000000-0005-0000-0000-0000320C0000}"/>
    <cellStyle name="Normal 2 6 2 6 2" xfId="2944" xr:uid="{00000000-0005-0000-0000-0000330C0000}"/>
    <cellStyle name="Normal 2 6 2 7" xfId="2503" xr:uid="{00000000-0005-0000-0000-0000340C0000}"/>
    <cellStyle name="Normal 2 6 3" xfId="378" xr:uid="{00000000-0005-0000-0000-0000350C0000}"/>
    <cellStyle name="Normal 2 6 3 2" xfId="1239" xr:uid="{00000000-0005-0000-0000-0000360C0000}"/>
    <cellStyle name="Normal 2 6 3 2 2" xfId="3469" xr:uid="{00000000-0005-0000-0000-0000370C0000}"/>
    <cellStyle name="Normal 2 6 3 3" xfId="1660" xr:uid="{00000000-0005-0000-0000-0000380C0000}"/>
    <cellStyle name="Normal 2 6 3 3 2" xfId="3890" xr:uid="{00000000-0005-0000-0000-0000390C0000}"/>
    <cellStyle name="Normal 2 6 3 4" xfId="2081" xr:uid="{00000000-0005-0000-0000-00003A0C0000}"/>
    <cellStyle name="Normal 2 6 3 4 2" xfId="4311" xr:uid="{00000000-0005-0000-0000-00003B0C0000}"/>
    <cellStyle name="Normal 2 6 3 5" xfId="819" xr:uid="{00000000-0005-0000-0000-00003C0C0000}"/>
    <cellStyle name="Normal 2 6 3 5 2" xfId="3049" xr:uid="{00000000-0005-0000-0000-00003D0C0000}"/>
    <cellStyle name="Normal 2 6 3 6" xfId="2608" xr:uid="{00000000-0005-0000-0000-00003E0C0000}"/>
    <cellStyle name="Normal 2 6 4" xfId="168" xr:uid="{00000000-0005-0000-0000-00003F0C0000}"/>
    <cellStyle name="Normal 2 6 4 2" xfId="1029" xr:uid="{00000000-0005-0000-0000-0000400C0000}"/>
    <cellStyle name="Normal 2 6 4 2 2" xfId="3259" xr:uid="{00000000-0005-0000-0000-0000410C0000}"/>
    <cellStyle name="Normal 2 6 4 3" xfId="2398" xr:uid="{00000000-0005-0000-0000-0000420C0000}"/>
    <cellStyle name="Normal 2 6 5" xfId="1450" xr:uid="{00000000-0005-0000-0000-0000430C0000}"/>
    <cellStyle name="Normal 2 6 5 2" xfId="3680" xr:uid="{00000000-0005-0000-0000-0000440C0000}"/>
    <cellStyle name="Normal 2 6 6" xfId="1871" xr:uid="{00000000-0005-0000-0000-0000450C0000}"/>
    <cellStyle name="Normal 2 6 6 2" xfId="4101" xr:uid="{00000000-0005-0000-0000-0000460C0000}"/>
    <cellStyle name="Normal 2 6 7" xfId="609" xr:uid="{00000000-0005-0000-0000-0000470C0000}"/>
    <cellStyle name="Normal 2 6 7 2" xfId="2839" xr:uid="{00000000-0005-0000-0000-0000480C0000}"/>
    <cellStyle name="Normal 2 6 8" xfId="2293" xr:uid="{00000000-0005-0000-0000-0000490C0000}"/>
    <cellStyle name="Normal 2 7" xfId="49" xr:uid="{00000000-0005-0000-0000-00004A0C0000}"/>
    <cellStyle name="Normal 2 7 2" xfId="282" xr:uid="{00000000-0005-0000-0000-00004B0C0000}"/>
    <cellStyle name="Normal 2 7 2 2" xfId="492" xr:uid="{00000000-0005-0000-0000-00004C0C0000}"/>
    <cellStyle name="Normal 2 7 2 2 2" xfId="1353" xr:uid="{00000000-0005-0000-0000-00004D0C0000}"/>
    <cellStyle name="Normal 2 7 2 2 2 2" xfId="3583" xr:uid="{00000000-0005-0000-0000-00004E0C0000}"/>
    <cellStyle name="Normal 2 7 2 2 3" xfId="1774" xr:uid="{00000000-0005-0000-0000-00004F0C0000}"/>
    <cellStyle name="Normal 2 7 2 2 3 2" xfId="4004" xr:uid="{00000000-0005-0000-0000-0000500C0000}"/>
    <cellStyle name="Normal 2 7 2 2 4" xfId="2195" xr:uid="{00000000-0005-0000-0000-0000510C0000}"/>
    <cellStyle name="Normal 2 7 2 2 4 2" xfId="4425" xr:uid="{00000000-0005-0000-0000-0000520C0000}"/>
    <cellStyle name="Normal 2 7 2 2 5" xfId="933" xr:uid="{00000000-0005-0000-0000-0000530C0000}"/>
    <cellStyle name="Normal 2 7 2 2 5 2" xfId="3163" xr:uid="{00000000-0005-0000-0000-0000540C0000}"/>
    <cellStyle name="Normal 2 7 2 2 6" xfId="2722" xr:uid="{00000000-0005-0000-0000-0000550C0000}"/>
    <cellStyle name="Normal 2 7 2 3" xfId="1143" xr:uid="{00000000-0005-0000-0000-0000560C0000}"/>
    <cellStyle name="Normal 2 7 2 3 2" xfId="3373" xr:uid="{00000000-0005-0000-0000-0000570C0000}"/>
    <cellStyle name="Normal 2 7 2 4" xfId="1564" xr:uid="{00000000-0005-0000-0000-0000580C0000}"/>
    <cellStyle name="Normal 2 7 2 4 2" xfId="3794" xr:uid="{00000000-0005-0000-0000-0000590C0000}"/>
    <cellStyle name="Normal 2 7 2 5" xfId="1985" xr:uid="{00000000-0005-0000-0000-00005A0C0000}"/>
    <cellStyle name="Normal 2 7 2 5 2" xfId="4215" xr:uid="{00000000-0005-0000-0000-00005B0C0000}"/>
    <cellStyle name="Normal 2 7 2 6" xfId="723" xr:uid="{00000000-0005-0000-0000-00005C0C0000}"/>
    <cellStyle name="Normal 2 7 2 6 2" xfId="2953" xr:uid="{00000000-0005-0000-0000-00005D0C0000}"/>
    <cellStyle name="Normal 2 7 2 7" xfId="2512" xr:uid="{00000000-0005-0000-0000-00005E0C0000}"/>
    <cellStyle name="Normal 2 7 3" xfId="387" xr:uid="{00000000-0005-0000-0000-00005F0C0000}"/>
    <cellStyle name="Normal 2 7 3 2" xfId="1248" xr:uid="{00000000-0005-0000-0000-0000600C0000}"/>
    <cellStyle name="Normal 2 7 3 2 2" xfId="3478" xr:uid="{00000000-0005-0000-0000-0000610C0000}"/>
    <cellStyle name="Normal 2 7 3 3" xfId="1669" xr:uid="{00000000-0005-0000-0000-0000620C0000}"/>
    <cellStyle name="Normal 2 7 3 3 2" xfId="3899" xr:uid="{00000000-0005-0000-0000-0000630C0000}"/>
    <cellStyle name="Normal 2 7 3 4" xfId="2090" xr:uid="{00000000-0005-0000-0000-0000640C0000}"/>
    <cellStyle name="Normal 2 7 3 4 2" xfId="4320" xr:uid="{00000000-0005-0000-0000-0000650C0000}"/>
    <cellStyle name="Normal 2 7 3 5" xfId="828" xr:uid="{00000000-0005-0000-0000-0000660C0000}"/>
    <cellStyle name="Normal 2 7 3 5 2" xfId="3058" xr:uid="{00000000-0005-0000-0000-0000670C0000}"/>
    <cellStyle name="Normal 2 7 3 6" xfId="2617" xr:uid="{00000000-0005-0000-0000-0000680C0000}"/>
    <cellStyle name="Normal 2 7 4" xfId="177" xr:uid="{00000000-0005-0000-0000-0000690C0000}"/>
    <cellStyle name="Normal 2 7 4 2" xfId="1038" xr:uid="{00000000-0005-0000-0000-00006A0C0000}"/>
    <cellStyle name="Normal 2 7 4 2 2" xfId="3268" xr:uid="{00000000-0005-0000-0000-00006B0C0000}"/>
    <cellStyle name="Normal 2 7 4 3" xfId="2407" xr:uid="{00000000-0005-0000-0000-00006C0C0000}"/>
    <cellStyle name="Normal 2 7 5" xfId="1459" xr:uid="{00000000-0005-0000-0000-00006D0C0000}"/>
    <cellStyle name="Normal 2 7 5 2" xfId="3689" xr:uid="{00000000-0005-0000-0000-00006E0C0000}"/>
    <cellStyle name="Normal 2 7 6" xfId="1880" xr:uid="{00000000-0005-0000-0000-00006F0C0000}"/>
    <cellStyle name="Normal 2 7 6 2" xfId="4110" xr:uid="{00000000-0005-0000-0000-0000700C0000}"/>
    <cellStyle name="Normal 2 7 7" xfId="618" xr:uid="{00000000-0005-0000-0000-0000710C0000}"/>
    <cellStyle name="Normal 2 7 7 2" xfId="2848" xr:uid="{00000000-0005-0000-0000-0000720C0000}"/>
    <cellStyle name="Normal 2 7 8" xfId="2302" xr:uid="{00000000-0005-0000-0000-0000730C0000}"/>
    <cellStyle name="Normal 2 8" xfId="245" xr:uid="{00000000-0005-0000-0000-0000740C0000}"/>
    <cellStyle name="Normal 2 8 2" xfId="455" xr:uid="{00000000-0005-0000-0000-0000750C0000}"/>
    <cellStyle name="Normal 2 8 2 2" xfId="1316" xr:uid="{00000000-0005-0000-0000-0000760C0000}"/>
    <cellStyle name="Normal 2 8 2 2 2" xfId="3546" xr:uid="{00000000-0005-0000-0000-0000770C0000}"/>
    <cellStyle name="Normal 2 8 2 3" xfId="1737" xr:uid="{00000000-0005-0000-0000-0000780C0000}"/>
    <cellStyle name="Normal 2 8 2 3 2" xfId="3967" xr:uid="{00000000-0005-0000-0000-0000790C0000}"/>
    <cellStyle name="Normal 2 8 2 4" xfId="2158" xr:uid="{00000000-0005-0000-0000-00007A0C0000}"/>
    <cellStyle name="Normal 2 8 2 4 2" xfId="4388" xr:uid="{00000000-0005-0000-0000-00007B0C0000}"/>
    <cellStyle name="Normal 2 8 2 5" xfId="896" xr:uid="{00000000-0005-0000-0000-00007C0C0000}"/>
    <cellStyle name="Normal 2 8 2 5 2" xfId="3126" xr:uid="{00000000-0005-0000-0000-00007D0C0000}"/>
    <cellStyle name="Normal 2 8 2 6" xfId="2685" xr:uid="{00000000-0005-0000-0000-00007E0C0000}"/>
    <cellStyle name="Normal 2 8 3" xfId="1106" xr:uid="{00000000-0005-0000-0000-00007F0C0000}"/>
    <cellStyle name="Normal 2 8 3 2" xfId="3336" xr:uid="{00000000-0005-0000-0000-0000800C0000}"/>
    <cellStyle name="Normal 2 8 4" xfId="1527" xr:uid="{00000000-0005-0000-0000-0000810C0000}"/>
    <cellStyle name="Normal 2 8 4 2" xfId="3757" xr:uid="{00000000-0005-0000-0000-0000820C0000}"/>
    <cellStyle name="Normal 2 8 5" xfId="1948" xr:uid="{00000000-0005-0000-0000-0000830C0000}"/>
    <cellStyle name="Normal 2 8 5 2" xfId="4178" xr:uid="{00000000-0005-0000-0000-0000840C0000}"/>
    <cellStyle name="Normal 2 8 6" xfId="686" xr:uid="{00000000-0005-0000-0000-0000850C0000}"/>
    <cellStyle name="Normal 2 8 6 2" xfId="2916" xr:uid="{00000000-0005-0000-0000-0000860C0000}"/>
    <cellStyle name="Normal 2 8 7" xfId="2475" xr:uid="{00000000-0005-0000-0000-0000870C0000}"/>
    <cellStyle name="Normal 2 9" xfId="350" xr:uid="{00000000-0005-0000-0000-0000880C0000}"/>
    <cellStyle name="Normal 2 9 2" xfId="1211" xr:uid="{00000000-0005-0000-0000-0000890C0000}"/>
    <cellStyle name="Normal 2 9 2 2" xfId="3441" xr:uid="{00000000-0005-0000-0000-00008A0C0000}"/>
    <cellStyle name="Normal 2 9 3" xfId="1632" xr:uid="{00000000-0005-0000-0000-00008B0C0000}"/>
    <cellStyle name="Normal 2 9 3 2" xfId="3862" xr:uid="{00000000-0005-0000-0000-00008C0C0000}"/>
    <cellStyle name="Normal 2 9 4" xfId="2053" xr:uid="{00000000-0005-0000-0000-00008D0C0000}"/>
    <cellStyle name="Normal 2 9 4 2" xfId="4283" xr:uid="{00000000-0005-0000-0000-00008E0C0000}"/>
    <cellStyle name="Normal 2 9 5" xfId="791" xr:uid="{00000000-0005-0000-0000-00008F0C0000}"/>
    <cellStyle name="Normal 2 9 5 2" xfId="3021" xr:uid="{00000000-0005-0000-0000-0000900C0000}"/>
    <cellStyle name="Normal 2 9 6" xfId="2580" xr:uid="{00000000-0005-0000-0000-0000910C0000}"/>
    <cellStyle name="Normal 26" xfId="8" xr:uid="{00000000-0005-0000-0000-0000920C0000}"/>
    <cellStyle name="Normal 26 10" xfId="1424" xr:uid="{00000000-0005-0000-0000-0000930C0000}"/>
    <cellStyle name="Normal 26 10 2" xfId="3654" xr:uid="{00000000-0005-0000-0000-0000940C0000}"/>
    <cellStyle name="Normal 26 11" xfId="1845" xr:uid="{00000000-0005-0000-0000-0000950C0000}"/>
    <cellStyle name="Normal 26 11 2" xfId="4075" xr:uid="{00000000-0005-0000-0000-0000960C0000}"/>
    <cellStyle name="Normal 26 12" xfId="583" xr:uid="{00000000-0005-0000-0000-0000970C0000}"/>
    <cellStyle name="Normal 26 12 2" xfId="2813" xr:uid="{00000000-0005-0000-0000-0000980C0000}"/>
    <cellStyle name="Normal 26 13" xfId="2267" xr:uid="{00000000-0005-0000-0000-0000990C0000}"/>
    <cellStyle name="Normal 26 2" xfId="9" xr:uid="{00000000-0005-0000-0000-00009A0C0000}"/>
    <cellStyle name="Normal 26 2 10" xfId="1846" xr:uid="{00000000-0005-0000-0000-00009B0C0000}"/>
    <cellStyle name="Normal 26 2 10 2" xfId="4076" xr:uid="{00000000-0005-0000-0000-00009C0C0000}"/>
    <cellStyle name="Normal 26 2 11" xfId="584" xr:uid="{00000000-0005-0000-0000-00009D0C0000}"/>
    <cellStyle name="Normal 26 2 11 2" xfId="2814" xr:uid="{00000000-0005-0000-0000-00009E0C0000}"/>
    <cellStyle name="Normal 26 2 12" xfId="2268" xr:uid="{00000000-0005-0000-0000-00009F0C0000}"/>
    <cellStyle name="Normal 26 2 2" xfId="23" xr:uid="{00000000-0005-0000-0000-0000A00C0000}"/>
    <cellStyle name="Normal 26 2 2 2" xfId="256" xr:uid="{00000000-0005-0000-0000-0000A10C0000}"/>
    <cellStyle name="Normal 26 2 2 2 2" xfId="466" xr:uid="{00000000-0005-0000-0000-0000A20C0000}"/>
    <cellStyle name="Normal 26 2 2 2 2 2" xfId="1327" xr:uid="{00000000-0005-0000-0000-0000A30C0000}"/>
    <cellStyle name="Normal 26 2 2 2 2 2 2" xfId="3557" xr:uid="{00000000-0005-0000-0000-0000A40C0000}"/>
    <cellStyle name="Normal 26 2 2 2 2 3" xfId="1748" xr:uid="{00000000-0005-0000-0000-0000A50C0000}"/>
    <cellStyle name="Normal 26 2 2 2 2 3 2" xfId="3978" xr:uid="{00000000-0005-0000-0000-0000A60C0000}"/>
    <cellStyle name="Normal 26 2 2 2 2 4" xfId="2169" xr:uid="{00000000-0005-0000-0000-0000A70C0000}"/>
    <cellStyle name="Normal 26 2 2 2 2 4 2" xfId="4399" xr:uid="{00000000-0005-0000-0000-0000A80C0000}"/>
    <cellStyle name="Normal 26 2 2 2 2 5" xfId="907" xr:uid="{00000000-0005-0000-0000-0000A90C0000}"/>
    <cellStyle name="Normal 26 2 2 2 2 5 2" xfId="3137" xr:uid="{00000000-0005-0000-0000-0000AA0C0000}"/>
    <cellStyle name="Normal 26 2 2 2 2 6" xfId="2696" xr:uid="{00000000-0005-0000-0000-0000AB0C0000}"/>
    <cellStyle name="Normal 26 2 2 2 3" xfId="1117" xr:uid="{00000000-0005-0000-0000-0000AC0C0000}"/>
    <cellStyle name="Normal 26 2 2 2 3 2" xfId="3347" xr:uid="{00000000-0005-0000-0000-0000AD0C0000}"/>
    <cellStyle name="Normal 26 2 2 2 4" xfId="1538" xr:uid="{00000000-0005-0000-0000-0000AE0C0000}"/>
    <cellStyle name="Normal 26 2 2 2 4 2" xfId="3768" xr:uid="{00000000-0005-0000-0000-0000AF0C0000}"/>
    <cellStyle name="Normal 26 2 2 2 5" xfId="1959" xr:uid="{00000000-0005-0000-0000-0000B00C0000}"/>
    <cellStyle name="Normal 26 2 2 2 5 2" xfId="4189" xr:uid="{00000000-0005-0000-0000-0000B10C0000}"/>
    <cellStyle name="Normal 26 2 2 2 6" xfId="697" xr:uid="{00000000-0005-0000-0000-0000B20C0000}"/>
    <cellStyle name="Normal 26 2 2 2 6 2" xfId="2927" xr:uid="{00000000-0005-0000-0000-0000B30C0000}"/>
    <cellStyle name="Normal 26 2 2 2 7" xfId="2486" xr:uid="{00000000-0005-0000-0000-0000B40C0000}"/>
    <cellStyle name="Normal 26 2 2 3" xfId="361" xr:uid="{00000000-0005-0000-0000-0000B50C0000}"/>
    <cellStyle name="Normal 26 2 2 3 2" xfId="1222" xr:uid="{00000000-0005-0000-0000-0000B60C0000}"/>
    <cellStyle name="Normal 26 2 2 3 2 2" xfId="3452" xr:uid="{00000000-0005-0000-0000-0000B70C0000}"/>
    <cellStyle name="Normal 26 2 2 3 3" xfId="1643" xr:uid="{00000000-0005-0000-0000-0000B80C0000}"/>
    <cellStyle name="Normal 26 2 2 3 3 2" xfId="3873" xr:uid="{00000000-0005-0000-0000-0000B90C0000}"/>
    <cellStyle name="Normal 26 2 2 3 4" xfId="2064" xr:uid="{00000000-0005-0000-0000-0000BA0C0000}"/>
    <cellStyle name="Normal 26 2 2 3 4 2" xfId="4294" xr:uid="{00000000-0005-0000-0000-0000BB0C0000}"/>
    <cellStyle name="Normal 26 2 2 3 5" xfId="802" xr:uid="{00000000-0005-0000-0000-0000BC0C0000}"/>
    <cellStyle name="Normal 26 2 2 3 5 2" xfId="3032" xr:uid="{00000000-0005-0000-0000-0000BD0C0000}"/>
    <cellStyle name="Normal 26 2 2 3 6" xfId="2591" xr:uid="{00000000-0005-0000-0000-0000BE0C0000}"/>
    <cellStyle name="Normal 26 2 2 4" xfId="151" xr:uid="{00000000-0005-0000-0000-0000BF0C0000}"/>
    <cellStyle name="Normal 26 2 2 4 2" xfId="1012" xr:uid="{00000000-0005-0000-0000-0000C00C0000}"/>
    <cellStyle name="Normal 26 2 2 4 2 2" xfId="3242" xr:uid="{00000000-0005-0000-0000-0000C10C0000}"/>
    <cellStyle name="Normal 26 2 2 4 3" xfId="2381" xr:uid="{00000000-0005-0000-0000-0000C20C0000}"/>
    <cellStyle name="Normal 26 2 2 5" xfId="1433" xr:uid="{00000000-0005-0000-0000-0000C30C0000}"/>
    <cellStyle name="Normal 26 2 2 5 2" xfId="3663" xr:uid="{00000000-0005-0000-0000-0000C40C0000}"/>
    <cellStyle name="Normal 26 2 2 6" xfId="1854" xr:uid="{00000000-0005-0000-0000-0000C50C0000}"/>
    <cellStyle name="Normal 26 2 2 6 2" xfId="4084" xr:uid="{00000000-0005-0000-0000-0000C60C0000}"/>
    <cellStyle name="Normal 26 2 2 7" xfId="592" xr:uid="{00000000-0005-0000-0000-0000C70C0000}"/>
    <cellStyle name="Normal 26 2 2 7 2" xfId="2822" xr:uid="{00000000-0005-0000-0000-0000C80C0000}"/>
    <cellStyle name="Normal 26 2 2 8" xfId="2276" xr:uid="{00000000-0005-0000-0000-0000C90C0000}"/>
    <cellStyle name="Normal 26 2 3" xfId="32" xr:uid="{00000000-0005-0000-0000-0000CA0C0000}"/>
    <cellStyle name="Normal 26 2 3 2" xfId="265" xr:uid="{00000000-0005-0000-0000-0000CB0C0000}"/>
    <cellStyle name="Normal 26 2 3 2 2" xfId="475" xr:uid="{00000000-0005-0000-0000-0000CC0C0000}"/>
    <cellStyle name="Normal 26 2 3 2 2 2" xfId="1336" xr:uid="{00000000-0005-0000-0000-0000CD0C0000}"/>
    <cellStyle name="Normal 26 2 3 2 2 2 2" xfId="3566" xr:uid="{00000000-0005-0000-0000-0000CE0C0000}"/>
    <cellStyle name="Normal 26 2 3 2 2 3" xfId="1757" xr:uid="{00000000-0005-0000-0000-0000CF0C0000}"/>
    <cellStyle name="Normal 26 2 3 2 2 3 2" xfId="3987" xr:uid="{00000000-0005-0000-0000-0000D00C0000}"/>
    <cellStyle name="Normal 26 2 3 2 2 4" xfId="2178" xr:uid="{00000000-0005-0000-0000-0000D10C0000}"/>
    <cellStyle name="Normal 26 2 3 2 2 4 2" xfId="4408" xr:uid="{00000000-0005-0000-0000-0000D20C0000}"/>
    <cellStyle name="Normal 26 2 3 2 2 5" xfId="916" xr:uid="{00000000-0005-0000-0000-0000D30C0000}"/>
    <cellStyle name="Normal 26 2 3 2 2 5 2" xfId="3146" xr:uid="{00000000-0005-0000-0000-0000D40C0000}"/>
    <cellStyle name="Normal 26 2 3 2 2 6" xfId="2705" xr:uid="{00000000-0005-0000-0000-0000D50C0000}"/>
    <cellStyle name="Normal 26 2 3 2 3" xfId="1126" xr:uid="{00000000-0005-0000-0000-0000D60C0000}"/>
    <cellStyle name="Normal 26 2 3 2 3 2" xfId="3356" xr:uid="{00000000-0005-0000-0000-0000D70C0000}"/>
    <cellStyle name="Normal 26 2 3 2 4" xfId="1547" xr:uid="{00000000-0005-0000-0000-0000D80C0000}"/>
    <cellStyle name="Normal 26 2 3 2 4 2" xfId="3777" xr:uid="{00000000-0005-0000-0000-0000D90C0000}"/>
    <cellStyle name="Normal 26 2 3 2 5" xfId="1968" xr:uid="{00000000-0005-0000-0000-0000DA0C0000}"/>
    <cellStyle name="Normal 26 2 3 2 5 2" xfId="4198" xr:uid="{00000000-0005-0000-0000-0000DB0C0000}"/>
    <cellStyle name="Normal 26 2 3 2 6" xfId="706" xr:uid="{00000000-0005-0000-0000-0000DC0C0000}"/>
    <cellStyle name="Normal 26 2 3 2 6 2" xfId="2936" xr:uid="{00000000-0005-0000-0000-0000DD0C0000}"/>
    <cellStyle name="Normal 26 2 3 2 7" xfId="2495" xr:uid="{00000000-0005-0000-0000-0000DE0C0000}"/>
    <cellStyle name="Normal 26 2 3 3" xfId="370" xr:uid="{00000000-0005-0000-0000-0000DF0C0000}"/>
    <cellStyle name="Normal 26 2 3 3 2" xfId="1231" xr:uid="{00000000-0005-0000-0000-0000E00C0000}"/>
    <cellStyle name="Normal 26 2 3 3 2 2" xfId="3461" xr:uid="{00000000-0005-0000-0000-0000E10C0000}"/>
    <cellStyle name="Normal 26 2 3 3 3" xfId="1652" xr:uid="{00000000-0005-0000-0000-0000E20C0000}"/>
    <cellStyle name="Normal 26 2 3 3 3 2" xfId="3882" xr:uid="{00000000-0005-0000-0000-0000E30C0000}"/>
    <cellStyle name="Normal 26 2 3 3 4" xfId="2073" xr:uid="{00000000-0005-0000-0000-0000E40C0000}"/>
    <cellStyle name="Normal 26 2 3 3 4 2" xfId="4303" xr:uid="{00000000-0005-0000-0000-0000E50C0000}"/>
    <cellStyle name="Normal 26 2 3 3 5" xfId="811" xr:uid="{00000000-0005-0000-0000-0000E60C0000}"/>
    <cellStyle name="Normal 26 2 3 3 5 2" xfId="3041" xr:uid="{00000000-0005-0000-0000-0000E70C0000}"/>
    <cellStyle name="Normal 26 2 3 3 6" xfId="2600" xr:uid="{00000000-0005-0000-0000-0000E80C0000}"/>
    <cellStyle name="Normal 26 2 3 4" xfId="160" xr:uid="{00000000-0005-0000-0000-0000E90C0000}"/>
    <cellStyle name="Normal 26 2 3 4 2" xfId="1021" xr:uid="{00000000-0005-0000-0000-0000EA0C0000}"/>
    <cellStyle name="Normal 26 2 3 4 2 2" xfId="3251" xr:uid="{00000000-0005-0000-0000-0000EB0C0000}"/>
    <cellStyle name="Normal 26 2 3 4 3" xfId="2390" xr:uid="{00000000-0005-0000-0000-0000EC0C0000}"/>
    <cellStyle name="Normal 26 2 3 5" xfId="1442" xr:uid="{00000000-0005-0000-0000-0000ED0C0000}"/>
    <cellStyle name="Normal 26 2 3 5 2" xfId="3672" xr:uid="{00000000-0005-0000-0000-0000EE0C0000}"/>
    <cellStyle name="Normal 26 2 3 6" xfId="1863" xr:uid="{00000000-0005-0000-0000-0000EF0C0000}"/>
    <cellStyle name="Normal 26 2 3 6 2" xfId="4093" xr:uid="{00000000-0005-0000-0000-0000F00C0000}"/>
    <cellStyle name="Normal 26 2 3 7" xfId="601" xr:uid="{00000000-0005-0000-0000-0000F10C0000}"/>
    <cellStyle name="Normal 26 2 3 7 2" xfId="2831" xr:uid="{00000000-0005-0000-0000-0000F20C0000}"/>
    <cellStyle name="Normal 26 2 3 8" xfId="2285" xr:uid="{00000000-0005-0000-0000-0000F30C0000}"/>
    <cellStyle name="Normal 26 2 4" xfId="41" xr:uid="{00000000-0005-0000-0000-0000F40C0000}"/>
    <cellStyle name="Normal 26 2 4 2" xfId="274" xr:uid="{00000000-0005-0000-0000-0000F50C0000}"/>
    <cellStyle name="Normal 26 2 4 2 2" xfId="484" xr:uid="{00000000-0005-0000-0000-0000F60C0000}"/>
    <cellStyle name="Normal 26 2 4 2 2 2" xfId="1345" xr:uid="{00000000-0005-0000-0000-0000F70C0000}"/>
    <cellStyle name="Normal 26 2 4 2 2 2 2" xfId="3575" xr:uid="{00000000-0005-0000-0000-0000F80C0000}"/>
    <cellStyle name="Normal 26 2 4 2 2 3" xfId="1766" xr:uid="{00000000-0005-0000-0000-0000F90C0000}"/>
    <cellStyle name="Normal 26 2 4 2 2 3 2" xfId="3996" xr:uid="{00000000-0005-0000-0000-0000FA0C0000}"/>
    <cellStyle name="Normal 26 2 4 2 2 4" xfId="2187" xr:uid="{00000000-0005-0000-0000-0000FB0C0000}"/>
    <cellStyle name="Normal 26 2 4 2 2 4 2" xfId="4417" xr:uid="{00000000-0005-0000-0000-0000FC0C0000}"/>
    <cellStyle name="Normal 26 2 4 2 2 5" xfId="925" xr:uid="{00000000-0005-0000-0000-0000FD0C0000}"/>
    <cellStyle name="Normal 26 2 4 2 2 5 2" xfId="3155" xr:uid="{00000000-0005-0000-0000-0000FE0C0000}"/>
    <cellStyle name="Normal 26 2 4 2 2 6" xfId="2714" xr:uid="{00000000-0005-0000-0000-0000FF0C0000}"/>
    <cellStyle name="Normal 26 2 4 2 3" xfId="1135" xr:uid="{00000000-0005-0000-0000-0000000D0000}"/>
    <cellStyle name="Normal 26 2 4 2 3 2" xfId="3365" xr:uid="{00000000-0005-0000-0000-0000010D0000}"/>
    <cellStyle name="Normal 26 2 4 2 4" xfId="1556" xr:uid="{00000000-0005-0000-0000-0000020D0000}"/>
    <cellStyle name="Normal 26 2 4 2 4 2" xfId="3786" xr:uid="{00000000-0005-0000-0000-0000030D0000}"/>
    <cellStyle name="Normal 26 2 4 2 5" xfId="1977" xr:uid="{00000000-0005-0000-0000-0000040D0000}"/>
    <cellStyle name="Normal 26 2 4 2 5 2" xfId="4207" xr:uid="{00000000-0005-0000-0000-0000050D0000}"/>
    <cellStyle name="Normal 26 2 4 2 6" xfId="715" xr:uid="{00000000-0005-0000-0000-0000060D0000}"/>
    <cellStyle name="Normal 26 2 4 2 6 2" xfId="2945" xr:uid="{00000000-0005-0000-0000-0000070D0000}"/>
    <cellStyle name="Normal 26 2 4 2 7" xfId="2504" xr:uid="{00000000-0005-0000-0000-0000080D0000}"/>
    <cellStyle name="Normal 26 2 4 3" xfId="379" xr:uid="{00000000-0005-0000-0000-0000090D0000}"/>
    <cellStyle name="Normal 26 2 4 3 2" xfId="1240" xr:uid="{00000000-0005-0000-0000-00000A0D0000}"/>
    <cellStyle name="Normal 26 2 4 3 2 2" xfId="3470" xr:uid="{00000000-0005-0000-0000-00000B0D0000}"/>
    <cellStyle name="Normal 26 2 4 3 3" xfId="1661" xr:uid="{00000000-0005-0000-0000-00000C0D0000}"/>
    <cellStyle name="Normal 26 2 4 3 3 2" xfId="3891" xr:uid="{00000000-0005-0000-0000-00000D0D0000}"/>
    <cellStyle name="Normal 26 2 4 3 4" xfId="2082" xr:uid="{00000000-0005-0000-0000-00000E0D0000}"/>
    <cellStyle name="Normal 26 2 4 3 4 2" xfId="4312" xr:uid="{00000000-0005-0000-0000-00000F0D0000}"/>
    <cellStyle name="Normal 26 2 4 3 5" xfId="820" xr:uid="{00000000-0005-0000-0000-0000100D0000}"/>
    <cellStyle name="Normal 26 2 4 3 5 2" xfId="3050" xr:uid="{00000000-0005-0000-0000-0000110D0000}"/>
    <cellStyle name="Normal 26 2 4 3 6" xfId="2609" xr:uid="{00000000-0005-0000-0000-0000120D0000}"/>
    <cellStyle name="Normal 26 2 4 4" xfId="169" xr:uid="{00000000-0005-0000-0000-0000130D0000}"/>
    <cellStyle name="Normal 26 2 4 4 2" xfId="1030" xr:uid="{00000000-0005-0000-0000-0000140D0000}"/>
    <cellStyle name="Normal 26 2 4 4 2 2" xfId="3260" xr:uid="{00000000-0005-0000-0000-0000150D0000}"/>
    <cellStyle name="Normal 26 2 4 4 3" xfId="2399" xr:uid="{00000000-0005-0000-0000-0000160D0000}"/>
    <cellStyle name="Normal 26 2 4 5" xfId="1451" xr:uid="{00000000-0005-0000-0000-0000170D0000}"/>
    <cellStyle name="Normal 26 2 4 5 2" xfId="3681" xr:uid="{00000000-0005-0000-0000-0000180D0000}"/>
    <cellStyle name="Normal 26 2 4 6" xfId="1872" xr:uid="{00000000-0005-0000-0000-0000190D0000}"/>
    <cellStyle name="Normal 26 2 4 6 2" xfId="4102" xr:uid="{00000000-0005-0000-0000-00001A0D0000}"/>
    <cellStyle name="Normal 26 2 4 7" xfId="610" xr:uid="{00000000-0005-0000-0000-00001B0D0000}"/>
    <cellStyle name="Normal 26 2 4 7 2" xfId="2840" xr:uid="{00000000-0005-0000-0000-00001C0D0000}"/>
    <cellStyle name="Normal 26 2 4 8" xfId="2294" xr:uid="{00000000-0005-0000-0000-00001D0D0000}"/>
    <cellStyle name="Normal 26 2 5" xfId="50" xr:uid="{00000000-0005-0000-0000-00001E0D0000}"/>
    <cellStyle name="Normal 26 2 5 2" xfId="283" xr:uid="{00000000-0005-0000-0000-00001F0D0000}"/>
    <cellStyle name="Normal 26 2 5 2 2" xfId="493" xr:uid="{00000000-0005-0000-0000-0000200D0000}"/>
    <cellStyle name="Normal 26 2 5 2 2 2" xfId="1354" xr:uid="{00000000-0005-0000-0000-0000210D0000}"/>
    <cellStyle name="Normal 26 2 5 2 2 2 2" xfId="3584" xr:uid="{00000000-0005-0000-0000-0000220D0000}"/>
    <cellStyle name="Normal 26 2 5 2 2 3" xfId="1775" xr:uid="{00000000-0005-0000-0000-0000230D0000}"/>
    <cellStyle name="Normal 26 2 5 2 2 3 2" xfId="4005" xr:uid="{00000000-0005-0000-0000-0000240D0000}"/>
    <cellStyle name="Normal 26 2 5 2 2 4" xfId="2196" xr:uid="{00000000-0005-0000-0000-0000250D0000}"/>
    <cellStyle name="Normal 26 2 5 2 2 4 2" xfId="4426" xr:uid="{00000000-0005-0000-0000-0000260D0000}"/>
    <cellStyle name="Normal 26 2 5 2 2 5" xfId="934" xr:uid="{00000000-0005-0000-0000-0000270D0000}"/>
    <cellStyle name="Normal 26 2 5 2 2 5 2" xfId="3164" xr:uid="{00000000-0005-0000-0000-0000280D0000}"/>
    <cellStyle name="Normal 26 2 5 2 2 6" xfId="2723" xr:uid="{00000000-0005-0000-0000-0000290D0000}"/>
    <cellStyle name="Normal 26 2 5 2 3" xfId="1144" xr:uid="{00000000-0005-0000-0000-00002A0D0000}"/>
    <cellStyle name="Normal 26 2 5 2 3 2" xfId="3374" xr:uid="{00000000-0005-0000-0000-00002B0D0000}"/>
    <cellStyle name="Normal 26 2 5 2 4" xfId="1565" xr:uid="{00000000-0005-0000-0000-00002C0D0000}"/>
    <cellStyle name="Normal 26 2 5 2 4 2" xfId="3795" xr:uid="{00000000-0005-0000-0000-00002D0D0000}"/>
    <cellStyle name="Normal 26 2 5 2 5" xfId="1986" xr:uid="{00000000-0005-0000-0000-00002E0D0000}"/>
    <cellStyle name="Normal 26 2 5 2 5 2" xfId="4216" xr:uid="{00000000-0005-0000-0000-00002F0D0000}"/>
    <cellStyle name="Normal 26 2 5 2 6" xfId="724" xr:uid="{00000000-0005-0000-0000-0000300D0000}"/>
    <cellStyle name="Normal 26 2 5 2 6 2" xfId="2954" xr:uid="{00000000-0005-0000-0000-0000310D0000}"/>
    <cellStyle name="Normal 26 2 5 2 7" xfId="2513" xr:uid="{00000000-0005-0000-0000-0000320D0000}"/>
    <cellStyle name="Normal 26 2 5 3" xfId="388" xr:uid="{00000000-0005-0000-0000-0000330D0000}"/>
    <cellStyle name="Normal 26 2 5 3 2" xfId="1249" xr:uid="{00000000-0005-0000-0000-0000340D0000}"/>
    <cellStyle name="Normal 26 2 5 3 2 2" xfId="3479" xr:uid="{00000000-0005-0000-0000-0000350D0000}"/>
    <cellStyle name="Normal 26 2 5 3 3" xfId="1670" xr:uid="{00000000-0005-0000-0000-0000360D0000}"/>
    <cellStyle name="Normal 26 2 5 3 3 2" xfId="3900" xr:uid="{00000000-0005-0000-0000-0000370D0000}"/>
    <cellStyle name="Normal 26 2 5 3 4" xfId="2091" xr:uid="{00000000-0005-0000-0000-0000380D0000}"/>
    <cellStyle name="Normal 26 2 5 3 4 2" xfId="4321" xr:uid="{00000000-0005-0000-0000-0000390D0000}"/>
    <cellStyle name="Normal 26 2 5 3 5" xfId="829" xr:uid="{00000000-0005-0000-0000-00003A0D0000}"/>
    <cellStyle name="Normal 26 2 5 3 5 2" xfId="3059" xr:uid="{00000000-0005-0000-0000-00003B0D0000}"/>
    <cellStyle name="Normal 26 2 5 3 6" xfId="2618" xr:uid="{00000000-0005-0000-0000-00003C0D0000}"/>
    <cellStyle name="Normal 26 2 5 4" xfId="178" xr:uid="{00000000-0005-0000-0000-00003D0D0000}"/>
    <cellStyle name="Normal 26 2 5 4 2" xfId="1039" xr:uid="{00000000-0005-0000-0000-00003E0D0000}"/>
    <cellStyle name="Normal 26 2 5 4 2 2" xfId="3269" xr:uid="{00000000-0005-0000-0000-00003F0D0000}"/>
    <cellStyle name="Normal 26 2 5 4 3" xfId="2408" xr:uid="{00000000-0005-0000-0000-0000400D0000}"/>
    <cellStyle name="Normal 26 2 5 5" xfId="1460" xr:uid="{00000000-0005-0000-0000-0000410D0000}"/>
    <cellStyle name="Normal 26 2 5 5 2" xfId="3690" xr:uid="{00000000-0005-0000-0000-0000420D0000}"/>
    <cellStyle name="Normal 26 2 5 6" xfId="1881" xr:uid="{00000000-0005-0000-0000-0000430D0000}"/>
    <cellStyle name="Normal 26 2 5 6 2" xfId="4111" xr:uid="{00000000-0005-0000-0000-0000440D0000}"/>
    <cellStyle name="Normal 26 2 5 7" xfId="619" xr:uid="{00000000-0005-0000-0000-0000450D0000}"/>
    <cellStyle name="Normal 26 2 5 7 2" xfId="2849" xr:uid="{00000000-0005-0000-0000-0000460D0000}"/>
    <cellStyle name="Normal 26 2 5 8" xfId="2303" xr:uid="{00000000-0005-0000-0000-0000470D0000}"/>
    <cellStyle name="Normal 26 2 6" xfId="248" xr:uid="{00000000-0005-0000-0000-0000480D0000}"/>
    <cellStyle name="Normal 26 2 6 2" xfId="458" xr:uid="{00000000-0005-0000-0000-0000490D0000}"/>
    <cellStyle name="Normal 26 2 6 2 2" xfId="1319" xr:uid="{00000000-0005-0000-0000-00004A0D0000}"/>
    <cellStyle name="Normal 26 2 6 2 2 2" xfId="3549" xr:uid="{00000000-0005-0000-0000-00004B0D0000}"/>
    <cellStyle name="Normal 26 2 6 2 3" xfId="1740" xr:uid="{00000000-0005-0000-0000-00004C0D0000}"/>
    <cellStyle name="Normal 26 2 6 2 3 2" xfId="3970" xr:uid="{00000000-0005-0000-0000-00004D0D0000}"/>
    <cellStyle name="Normal 26 2 6 2 4" xfId="2161" xr:uid="{00000000-0005-0000-0000-00004E0D0000}"/>
    <cellStyle name="Normal 26 2 6 2 4 2" xfId="4391" xr:uid="{00000000-0005-0000-0000-00004F0D0000}"/>
    <cellStyle name="Normal 26 2 6 2 5" xfId="899" xr:uid="{00000000-0005-0000-0000-0000500D0000}"/>
    <cellStyle name="Normal 26 2 6 2 5 2" xfId="3129" xr:uid="{00000000-0005-0000-0000-0000510D0000}"/>
    <cellStyle name="Normal 26 2 6 2 6" xfId="2688" xr:uid="{00000000-0005-0000-0000-0000520D0000}"/>
    <cellStyle name="Normal 26 2 6 3" xfId="1109" xr:uid="{00000000-0005-0000-0000-0000530D0000}"/>
    <cellStyle name="Normal 26 2 6 3 2" xfId="3339" xr:uid="{00000000-0005-0000-0000-0000540D0000}"/>
    <cellStyle name="Normal 26 2 6 4" xfId="1530" xr:uid="{00000000-0005-0000-0000-0000550D0000}"/>
    <cellStyle name="Normal 26 2 6 4 2" xfId="3760" xr:uid="{00000000-0005-0000-0000-0000560D0000}"/>
    <cellStyle name="Normal 26 2 6 5" xfId="1951" xr:uid="{00000000-0005-0000-0000-0000570D0000}"/>
    <cellStyle name="Normal 26 2 6 5 2" xfId="4181" xr:uid="{00000000-0005-0000-0000-0000580D0000}"/>
    <cellStyle name="Normal 26 2 6 6" xfId="689" xr:uid="{00000000-0005-0000-0000-0000590D0000}"/>
    <cellStyle name="Normal 26 2 6 6 2" xfId="2919" xr:uid="{00000000-0005-0000-0000-00005A0D0000}"/>
    <cellStyle name="Normal 26 2 6 7" xfId="2478" xr:uid="{00000000-0005-0000-0000-00005B0D0000}"/>
    <cellStyle name="Normal 26 2 7" xfId="353" xr:uid="{00000000-0005-0000-0000-00005C0D0000}"/>
    <cellStyle name="Normal 26 2 7 2" xfId="1214" xr:uid="{00000000-0005-0000-0000-00005D0D0000}"/>
    <cellStyle name="Normal 26 2 7 2 2" xfId="3444" xr:uid="{00000000-0005-0000-0000-00005E0D0000}"/>
    <cellStyle name="Normal 26 2 7 3" xfId="1635" xr:uid="{00000000-0005-0000-0000-00005F0D0000}"/>
    <cellStyle name="Normal 26 2 7 3 2" xfId="3865" xr:uid="{00000000-0005-0000-0000-0000600D0000}"/>
    <cellStyle name="Normal 26 2 7 4" xfId="2056" xr:uid="{00000000-0005-0000-0000-0000610D0000}"/>
    <cellStyle name="Normal 26 2 7 4 2" xfId="4286" xr:uid="{00000000-0005-0000-0000-0000620D0000}"/>
    <cellStyle name="Normal 26 2 7 5" xfId="794" xr:uid="{00000000-0005-0000-0000-0000630D0000}"/>
    <cellStyle name="Normal 26 2 7 5 2" xfId="3024" xr:uid="{00000000-0005-0000-0000-0000640D0000}"/>
    <cellStyle name="Normal 26 2 7 6" xfId="2583" xr:uid="{00000000-0005-0000-0000-0000650D0000}"/>
    <cellStyle name="Normal 26 2 8" xfId="142" xr:uid="{00000000-0005-0000-0000-0000660D0000}"/>
    <cellStyle name="Normal 26 2 8 2" xfId="1004" xr:uid="{00000000-0005-0000-0000-0000670D0000}"/>
    <cellStyle name="Normal 26 2 8 2 2" xfId="3234" xr:uid="{00000000-0005-0000-0000-0000680D0000}"/>
    <cellStyle name="Normal 26 2 8 3" xfId="2373" xr:uid="{00000000-0005-0000-0000-0000690D0000}"/>
    <cellStyle name="Normal 26 2 9" xfId="1425" xr:uid="{00000000-0005-0000-0000-00006A0D0000}"/>
    <cellStyle name="Normal 26 2 9 2" xfId="3655" xr:uid="{00000000-0005-0000-0000-00006B0D0000}"/>
    <cellStyle name="Normal 26 3" xfId="19" xr:uid="{00000000-0005-0000-0000-00006C0D0000}"/>
    <cellStyle name="Normal 26 3 2" xfId="252" xr:uid="{00000000-0005-0000-0000-00006D0D0000}"/>
    <cellStyle name="Normal 26 3 2 2" xfId="462" xr:uid="{00000000-0005-0000-0000-00006E0D0000}"/>
    <cellStyle name="Normal 26 3 2 2 2" xfId="1323" xr:uid="{00000000-0005-0000-0000-00006F0D0000}"/>
    <cellStyle name="Normal 26 3 2 2 2 2" xfId="3553" xr:uid="{00000000-0005-0000-0000-0000700D0000}"/>
    <cellStyle name="Normal 26 3 2 2 3" xfId="1744" xr:uid="{00000000-0005-0000-0000-0000710D0000}"/>
    <cellStyle name="Normal 26 3 2 2 3 2" xfId="3974" xr:uid="{00000000-0005-0000-0000-0000720D0000}"/>
    <cellStyle name="Normal 26 3 2 2 4" xfId="2165" xr:uid="{00000000-0005-0000-0000-0000730D0000}"/>
    <cellStyle name="Normal 26 3 2 2 4 2" xfId="4395" xr:uid="{00000000-0005-0000-0000-0000740D0000}"/>
    <cellStyle name="Normal 26 3 2 2 5" xfId="903" xr:uid="{00000000-0005-0000-0000-0000750D0000}"/>
    <cellStyle name="Normal 26 3 2 2 5 2" xfId="3133" xr:uid="{00000000-0005-0000-0000-0000760D0000}"/>
    <cellStyle name="Normal 26 3 2 2 6" xfId="2692" xr:uid="{00000000-0005-0000-0000-0000770D0000}"/>
    <cellStyle name="Normal 26 3 2 3" xfId="1113" xr:uid="{00000000-0005-0000-0000-0000780D0000}"/>
    <cellStyle name="Normal 26 3 2 3 2" xfId="3343" xr:uid="{00000000-0005-0000-0000-0000790D0000}"/>
    <cellStyle name="Normal 26 3 2 4" xfId="1534" xr:uid="{00000000-0005-0000-0000-00007A0D0000}"/>
    <cellStyle name="Normal 26 3 2 4 2" xfId="3764" xr:uid="{00000000-0005-0000-0000-00007B0D0000}"/>
    <cellStyle name="Normal 26 3 2 5" xfId="1955" xr:uid="{00000000-0005-0000-0000-00007C0D0000}"/>
    <cellStyle name="Normal 26 3 2 5 2" xfId="4185" xr:uid="{00000000-0005-0000-0000-00007D0D0000}"/>
    <cellStyle name="Normal 26 3 2 6" xfId="693" xr:uid="{00000000-0005-0000-0000-00007E0D0000}"/>
    <cellStyle name="Normal 26 3 2 6 2" xfId="2923" xr:uid="{00000000-0005-0000-0000-00007F0D0000}"/>
    <cellStyle name="Normal 26 3 2 7" xfId="2482" xr:uid="{00000000-0005-0000-0000-0000800D0000}"/>
    <cellStyle name="Normal 26 3 3" xfId="357" xr:uid="{00000000-0005-0000-0000-0000810D0000}"/>
    <cellStyle name="Normal 26 3 3 2" xfId="1218" xr:uid="{00000000-0005-0000-0000-0000820D0000}"/>
    <cellStyle name="Normal 26 3 3 2 2" xfId="3448" xr:uid="{00000000-0005-0000-0000-0000830D0000}"/>
    <cellStyle name="Normal 26 3 3 3" xfId="1639" xr:uid="{00000000-0005-0000-0000-0000840D0000}"/>
    <cellStyle name="Normal 26 3 3 3 2" xfId="3869" xr:uid="{00000000-0005-0000-0000-0000850D0000}"/>
    <cellStyle name="Normal 26 3 3 4" xfId="2060" xr:uid="{00000000-0005-0000-0000-0000860D0000}"/>
    <cellStyle name="Normal 26 3 3 4 2" xfId="4290" xr:uid="{00000000-0005-0000-0000-0000870D0000}"/>
    <cellStyle name="Normal 26 3 3 5" xfId="798" xr:uid="{00000000-0005-0000-0000-0000880D0000}"/>
    <cellStyle name="Normal 26 3 3 5 2" xfId="3028" xr:uid="{00000000-0005-0000-0000-0000890D0000}"/>
    <cellStyle name="Normal 26 3 3 6" xfId="2587" xr:uid="{00000000-0005-0000-0000-00008A0D0000}"/>
    <cellStyle name="Normal 26 3 4" xfId="147" xr:uid="{00000000-0005-0000-0000-00008B0D0000}"/>
    <cellStyle name="Normal 26 3 4 2" xfId="1008" xr:uid="{00000000-0005-0000-0000-00008C0D0000}"/>
    <cellStyle name="Normal 26 3 4 2 2" xfId="3238" xr:uid="{00000000-0005-0000-0000-00008D0D0000}"/>
    <cellStyle name="Normal 26 3 4 3" xfId="2377" xr:uid="{00000000-0005-0000-0000-00008E0D0000}"/>
    <cellStyle name="Normal 26 3 5" xfId="1429" xr:uid="{00000000-0005-0000-0000-00008F0D0000}"/>
    <cellStyle name="Normal 26 3 5 2" xfId="3659" xr:uid="{00000000-0005-0000-0000-0000900D0000}"/>
    <cellStyle name="Normal 26 3 6" xfId="1850" xr:uid="{00000000-0005-0000-0000-0000910D0000}"/>
    <cellStyle name="Normal 26 3 6 2" xfId="4080" xr:uid="{00000000-0005-0000-0000-0000920D0000}"/>
    <cellStyle name="Normal 26 3 7" xfId="588" xr:uid="{00000000-0005-0000-0000-0000930D0000}"/>
    <cellStyle name="Normal 26 3 7 2" xfId="2818" xr:uid="{00000000-0005-0000-0000-0000940D0000}"/>
    <cellStyle name="Normal 26 3 8" xfId="2272" xr:uid="{00000000-0005-0000-0000-0000950D0000}"/>
    <cellStyle name="Normal 26 4" xfId="28" xr:uid="{00000000-0005-0000-0000-0000960D0000}"/>
    <cellStyle name="Normal 26 4 2" xfId="261" xr:uid="{00000000-0005-0000-0000-0000970D0000}"/>
    <cellStyle name="Normal 26 4 2 2" xfId="471" xr:uid="{00000000-0005-0000-0000-0000980D0000}"/>
    <cellStyle name="Normal 26 4 2 2 2" xfId="1332" xr:uid="{00000000-0005-0000-0000-0000990D0000}"/>
    <cellStyle name="Normal 26 4 2 2 2 2" xfId="3562" xr:uid="{00000000-0005-0000-0000-00009A0D0000}"/>
    <cellStyle name="Normal 26 4 2 2 3" xfId="1753" xr:uid="{00000000-0005-0000-0000-00009B0D0000}"/>
    <cellStyle name="Normal 26 4 2 2 3 2" xfId="3983" xr:uid="{00000000-0005-0000-0000-00009C0D0000}"/>
    <cellStyle name="Normal 26 4 2 2 4" xfId="2174" xr:uid="{00000000-0005-0000-0000-00009D0D0000}"/>
    <cellStyle name="Normal 26 4 2 2 4 2" xfId="4404" xr:uid="{00000000-0005-0000-0000-00009E0D0000}"/>
    <cellStyle name="Normal 26 4 2 2 5" xfId="912" xr:uid="{00000000-0005-0000-0000-00009F0D0000}"/>
    <cellStyle name="Normal 26 4 2 2 5 2" xfId="3142" xr:uid="{00000000-0005-0000-0000-0000A00D0000}"/>
    <cellStyle name="Normal 26 4 2 2 6" xfId="2701" xr:uid="{00000000-0005-0000-0000-0000A10D0000}"/>
    <cellStyle name="Normal 26 4 2 3" xfId="1122" xr:uid="{00000000-0005-0000-0000-0000A20D0000}"/>
    <cellStyle name="Normal 26 4 2 3 2" xfId="3352" xr:uid="{00000000-0005-0000-0000-0000A30D0000}"/>
    <cellStyle name="Normal 26 4 2 4" xfId="1543" xr:uid="{00000000-0005-0000-0000-0000A40D0000}"/>
    <cellStyle name="Normal 26 4 2 4 2" xfId="3773" xr:uid="{00000000-0005-0000-0000-0000A50D0000}"/>
    <cellStyle name="Normal 26 4 2 5" xfId="1964" xr:uid="{00000000-0005-0000-0000-0000A60D0000}"/>
    <cellStyle name="Normal 26 4 2 5 2" xfId="4194" xr:uid="{00000000-0005-0000-0000-0000A70D0000}"/>
    <cellStyle name="Normal 26 4 2 6" xfId="702" xr:uid="{00000000-0005-0000-0000-0000A80D0000}"/>
    <cellStyle name="Normal 26 4 2 6 2" xfId="2932" xr:uid="{00000000-0005-0000-0000-0000A90D0000}"/>
    <cellStyle name="Normal 26 4 2 7" xfId="2491" xr:uid="{00000000-0005-0000-0000-0000AA0D0000}"/>
    <cellStyle name="Normal 26 4 3" xfId="366" xr:uid="{00000000-0005-0000-0000-0000AB0D0000}"/>
    <cellStyle name="Normal 26 4 3 2" xfId="1227" xr:uid="{00000000-0005-0000-0000-0000AC0D0000}"/>
    <cellStyle name="Normal 26 4 3 2 2" xfId="3457" xr:uid="{00000000-0005-0000-0000-0000AD0D0000}"/>
    <cellStyle name="Normal 26 4 3 3" xfId="1648" xr:uid="{00000000-0005-0000-0000-0000AE0D0000}"/>
    <cellStyle name="Normal 26 4 3 3 2" xfId="3878" xr:uid="{00000000-0005-0000-0000-0000AF0D0000}"/>
    <cellStyle name="Normal 26 4 3 4" xfId="2069" xr:uid="{00000000-0005-0000-0000-0000B00D0000}"/>
    <cellStyle name="Normal 26 4 3 4 2" xfId="4299" xr:uid="{00000000-0005-0000-0000-0000B10D0000}"/>
    <cellStyle name="Normal 26 4 3 5" xfId="807" xr:uid="{00000000-0005-0000-0000-0000B20D0000}"/>
    <cellStyle name="Normal 26 4 3 5 2" xfId="3037" xr:uid="{00000000-0005-0000-0000-0000B30D0000}"/>
    <cellStyle name="Normal 26 4 3 6" xfId="2596" xr:uid="{00000000-0005-0000-0000-0000B40D0000}"/>
    <cellStyle name="Normal 26 4 4" xfId="156" xr:uid="{00000000-0005-0000-0000-0000B50D0000}"/>
    <cellStyle name="Normal 26 4 4 2" xfId="1017" xr:uid="{00000000-0005-0000-0000-0000B60D0000}"/>
    <cellStyle name="Normal 26 4 4 2 2" xfId="3247" xr:uid="{00000000-0005-0000-0000-0000B70D0000}"/>
    <cellStyle name="Normal 26 4 4 3" xfId="2386" xr:uid="{00000000-0005-0000-0000-0000B80D0000}"/>
    <cellStyle name="Normal 26 4 5" xfId="1438" xr:uid="{00000000-0005-0000-0000-0000B90D0000}"/>
    <cellStyle name="Normal 26 4 5 2" xfId="3668" xr:uid="{00000000-0005-0000-0000-0000BA0D0000}"/>
    <cellStyle name="Normal 26 4 6" xfId="1859" xr:uid="{00000000-0005-0000-0000-0000BB0D0000}"/>
    <cellStyle name="Normal 26 4 6 2" xfId="4089" xr:uid="{00000000-0005-0000-0000-0000BC0D0000}"/>
    <cellStyle name="Normal 26 4 7" xfId="597" xr:uid="{00000000-0005-0000-0000-0000BD0D0000}"/>
    <cellStyle name="Normal 26 4 7 2" xfId="2827" xr:uid="{00000000-0005-0000-0000-0000BE0D0000}"/>
    <cellStyle name="Normal 26 4 8" xfId="2281" xr:uid="{00000000-0005-0000-0000-0000BF0D0000}"/>
    <cellStyle name="Normal 26 41" xfId="4493" xr:uid="{C2745A74-0527-43D5-A0D8-933475D07F5D}"/>
    <cellStyle name="Normal 26 5" xfId="37" xr:uid="{00000000-0005-0000-0000-0000C00D0000}"/>
    <cellStyle name="Normal 26 5 2" xfId="270" xr:uid="{00000000-0005-0000-0000-0000C10D0000}"/>
    <cellStyle name="Normal 26 5 2 2" xfId="480" xr:uid="{00000000-0005-0000-0000-0000C20D0000}"/>
    <cellStyle name="Normal 26 5 2 2 2" xfId="1341" xr:uid="{00000000-0005-0000-0000-0000C30D0000}"/>
    <cellStyle name="Normal 26 5 2 2 2 2" xfId="3571" xr:uid="{00000000-0005-0000-0000-0000C40D0000}"/>
    <cellStyle name="Normal 26 5 2 2 3" xfId="1762" xr:uid="{00000000-0005-0000-0000-0000C50D0000}"/>
    <cellStyle name="Normal 26 5 2 2 3 2" xfId="3992" xr:uid="{00000000-0005-0000-0000-0000C60D0000}"/>
    <cellStyle name="Normal 26 5 2 2 4" xfId="2183" xr:uid="{00000000-0005-0000-0000-0000C70D0000}"/>
    <cellStyle name="Normal 26 5 2 2 4 2" xfId="4413" xr:uid="{00000000-0005-0000-0000-0000C80D0000}"/>
    <cellStyle name="Normal 26 5 2 2 5" xfId="921" xr:uid="{00000000-0005-0000-0000-0000C90D0000}"/>
    <cellStyle name="Normal 26 5 2 2 5 2" xfId="3151" xr:uid="{00000000-0005-0000-0000-0000CA0D0000}"/>
    <cellStyle name="Normal 26 5 2 2 6" xfId="2710" xr:uid="{00000000-0005-0000-0000-0000CB0D0000}"/>
    <cellStyle name="Normal 26 5 2 3" xfId="1131" xr:uid="{00000000-0005-0000-0000-0000CC0D0000}"/>
    <cellStyle name="Normal 26 5 2 3 2" xfId="3361" xr:uid="{00000000-0005-0000-0000-0000CD0D0000}"/>
    <cellStyle name="Normal 26 5 2 4" xfId="1552" xr:uid="{00000000-0005-0000-0000-0000CE0D0000}"/>
    <cellStyle name="Normal 26 5 2 4 2" xfId="3782" xr:uid="{00000000-0005-0000-0000-0000CF0D0000}"/>
    <cellStyle name="Normal 26 5 2 5" xfId="1973" xr:uid="{00000000-0005-0000-0000-0000D00D0000}"/>
    <cellStyle name="Normal 26 5 2 5 2" xfId="4203" xr:uid="{00000000-0005-0000-0000-0000D10D0000}"/>
    <cellStyle name="Normal 26 5 2 6" xfId="711" xr:uid="{00000000-0005-0000-0000-0000D20D0000}"/>
    <cellStyle name="Normal 26 5 2 6 2" xfId="2941" xr:uid="{00000000-0005-0000-0000-0000D30D0000}"/>
    <cellStyle name="Normal 26 5 2 7" xfId="2500" xr:uid="{00000000-0005-0000-0000-0000D40D0000}"/>
    <cellStyle name="Normal 26 5 3" xfId="375" xr:uid="{00000000-0005-0000-0000-0000D50D0000}"/>
    <cellStyle name="Normal 26 5 3 2" xfId="1236" xr:uid="{00000000-0005-0000-0000-0000D60D0000}"/>
    <cellStyle name="Normal 26 5 3 2 2" xfId="3466" xr:uid="{00000000-0005-0000-0000-0000D70D0000}"/>
    <cellStyle name="Normal 26 5 3 3" xfId="1657" xr:uid="{00000000-0005-0000-0000-0000D80D0000}"/>
    <cellStyle name="Normal 26 5 3 3 2" xfId="3887" xr:uid="{00000000-0005-0000-0000-0000D90D0000}"/>
    <cellStyle name="Normal 26 5 3 4" xfId="2078" xr:uid="{00000000-0005-0000-0000-0000DA0D0000}"/>
    <cellStyle name="Normal 26 5 3 4 2" xfId="4308" xr:uid="{00000000-0005-0000-0000-0000DB0D0000}"/>
    <cellStyle name="Normal 26 5 3 5" xfId="816" xr:uid="{00000000-0005-0000-0000-0000DC0D0000}"/>
    <cellStyle name="Normal 26 5 3 5 2" xfId="3046" xr:uid="{00000000-0005-0000-0000-0000DD0D0000}"/>
    <cellStyle name="Normal 26 5 3 6" xfId="2605" xr:uid="{00000000-0005-0000-0000-0000DE0D0000}"/>
    <cellStyle name="Normal 26 5 4" xfId="165" xr:uid="{00000000-0005-0000-0000-0000DF0D0000}"/>
    <cellStyle name="Normal 26 5 4 2" xfId="1026" xr:uid="{00000000-0005-0000-0000-0000E00D0000}"/>
    <cellStyle name="Normal 26 5 4 2 2" xfId="3256" xr:uid="{00000000-0005-0000-0000-0000E10D0000}"/>
    <cellStyle name="Normal 26 5 4 3" xfId="2395" xr:uid="{00000000-0005-0000-0000-0000E20D0000}"/>
    <cellStyle name="Normal 26 5 5" xfId="1447" xr:uid="{00000000-0005-0000-0000-0000E30D0000}"/>
    <cellStyle name="Normal 26 5 5 2" xfId="3677" xr:uid="{00000000-0005-0000-0000-0000E40D0000}"/>
    <cellStyle name="Normal 26 5 6" xfId="1868" xr:uid="{00000000-0005-0000-0000-0000E50D0000}"/>
    <cellStyle name="Normal 26 5 6 2" xfId="4098" xr:uid="{00000000-0005-0000-0000-0000E60D0000}"/>
    <cellStyle name="Normal 26 5 7" xfId="606" xr:uid="{00000000-0005-0000-0000-0000E70D0000}"/>
    <cellStyle name="Normal 26 5 7 2" xfId="2836" xr:uid="{00000000-0005-0000-0000-0000E80D0000}"/>
    <cellStyle name="Normal 26 5 8" xfId="2290" xr:uid="{00000000-0005-0000-0000-0000E90D0000}"/>
    <cellStyle name="Normal 26 6" xfId="46" xr:uid="{00000000-0005-0000-0000-0000EA0D0000}"/>
    <cellStyle name="Normal 26 6 2" xfId="279" xr:uid="{00000000-0005-0000-0000-0000EB0D0000}"/>
    <cellStyle name="Normal 26 6 2 2" xfId="489" xr:uid="{00000000-0005-0000-0000-0000EC0D0000}"/>
    <cellStyle name="Normal 26 6 2 2 2" xfId="1350" xr:uid="{00000000-0005-0000-0000-0000ED0D0000}"/>
    <cellStyle name="Normal 26 6 2 2 2 2" xfId="3580" xr:uid="{00000000-0005-0000-0000-0000EE0D0000}"/>
    <cellStyle name="Normal 26 6 2 2 3" xfId="1771" xr:uid="{00000000-0005-0000-0000-0000EF0D0000}"/>
    <cellStyle name="Normal 26 6 2 2 3 2" xfId="4001" xr:uid="{00000000-0005-0000-0000-0000F00D0000}"/>
    <cellStyle name="Normal 26 6 2 2 4" xfId="2192" xr:uid="{00000000-0005-0000-0000-0000F10D0000}"/>
    <cellStyle name="Normal 26 6 2 2 4 2" xfId="4422" xr:uid="{00000000-0005-0000-0000-0000F20D0000}"/>
    <cellStyle name="Normal 26 6 2 2 5" xfId="930" xr:uid="{00000000-0005-0000-0000-0000F30D0000}"/>
    <cellStyle name="Normal 26 6 2 2 5 2" xfId="3160" xr:uid="{00000000-0005-0000-0000-0000F40D0000}"/>
    <cellStyle name="Normal 26 6 2 2 6" xfId="2719" xr:uid="{00000000-0005-0000-0000-0000F50D0000}"/>
    <cellStyle name="Normal 26 6 2 3" xfId="1140" xr:uid="{00000000-0005-0000-0000-0000F60D0000}"/>
    <cellStyle name="Normal 26 6 2 3 2" xfId="3370" xr:uid="{00000000-0005-0000-0000-0000F70D0000}"/>
    <cellStyle name="Normal 26 6 2 4" xfId="1561" xr:uid="{00000000-0005-0000-0000-0000F80D0000}"/>
    <cellStyle name="Normal 26 6 2 4 2" xfId="3791" xr:uid="{00000000-0005-0000-0000-0000F90D0000}"/>
    <cellStyle name="Normal 26 6 2 5" xfId="1982" xr:uid="{00000000-0005-0000-0000-0000FA0D0000}"/>
    <cellStyle name="Normal 26 6 2 5 2" xfId="4212" xr:uid="{00000000-0005-0000-0000-0000FB0D0000}"/>
    <cellStyle name="Normal 26 6 2 6" xfId="720" xr:uid="{00000000-0005-0000-0000-0000FC0D0000}"/>
    <cellStyle name="Normal 26 6 2 6 2" xfId="2950" xr:uid="{00000000-0005-0000-0000-0000FD0D0000}"/>
    <cellStyle name="Normal 26 6 2 7" xfId="2509" xr:uid="{00000000-0005-0000-0000-0000FE0D0000}"/>
    <cellStyle name="Normal 26 6 3" xfId="384" xr:uid="{00000000-0005-0000-0000-0000FF0D0000}"/>
    <cellStyle name="Normal 26 6 3 2" xfId="1245" xr:uid="{00000000-0005-0000-0000-0000000E0000}"/>
    <cellStyle name="Normal 26 6 3 2 2" xfId="3475" xr:uid="{00000000-0005-0000-0000-0000010E0000}"/>
    <cellStyle name="Normal 26 6 3 3" xfId="1666" xr:uid="{00000000-0005-0000-0000-0000020E0000}"/>
    <cellStyle name="Normal 26 6 3 3 2" xfId="3896" xr:uid="{00000000-0005-0000-0000-0000030E0000}"/>
    <cellStyle name="Normal 26 6 3 4" xfId="2087" xr:uid="{00000000-0005-0000-0000-0000040E0000}"/>
    <cellStyle name="Normal 26 6 3 4 2" xfId="4317" xr:uid="{00000000-0005-0000-0000-0000050E0000}"/>
    <cellStyle name="Normal 26 6 3 5" xfId="825" xr:uid="{00000000-0005-0000-0000-0000060E0000}"/>
    <cellStyle name="Normal 26 6 3 5 2" xfId="3055" xr:uid="{00000000-0005-0000-0000-0000070E0000}"/>
    <cellStyle name="Normal 26 6 3 6" xfId="2614" xr:uid="{00000000-0005-0000-0000-0000080E0000}"/>
    <cellStyle name="Normal 26 6 4" xfId="174" xr:uid="{00000000-0005-0000-0000-0000090E0000}"/>
    <cellStyle name="Normal 26 6 4 2" xfId="1035" xr:uid="{00000000-0005-0000-0000-00000A0E0000}"/>
    <cellStyle name="Normal 26 6 4 2 2" xfId="3265" xr:uid="{00000000-0005-0000-0000-00000B0E0000}"/>
    <cellStyle name="Normal 26 6 4 3" xfId="2404" xr:uid="{00000000-0005-0000-0000-00000C0E0000}"/>
    <cellStyle name="Normal 26 6 5" xfId="1456" xr:uid="{00000000-0005-0000-0000-00000D0E0000}"/>
    <cellStyle name="Normal 26 6 5 2" xfId="3686" xr:uid="{00000000-0005-0000-0000-00000E0E0000}"/>
    <cellStyle name="Normal 26 6 6" xfId="1877" xr:uid="{00000000-0005-0000-0000-00000F0E0000}"/>
    <cellStyle name="Normal 26 6 6 2" xfId="4107" xr:uid="{00000000-0005-0000-0000-0000100E0000}"/>
    <cellStyle name="Normal 26 6 7" xfId="615" xr:uid="{00000000-0005-0000-0000-0000110E0000}"/>
    <cellStyle name="Normal 26 6 7 2" xfId="2845" xr:uid="{00000000-0005-0000-0000-0000120E0000}"/>
    <cellStyle name="Normal 26 6 8" xfId="2299" xr:uid="{00000000-0005-0000-0000-0000130E0000}"/>
    <cellStyle name="Normal 26 7" xfId="247" xr:uid="{00000000-0005-0000-0000-0000140E0000}"/>
    <cellStyle name="Normal 26 7 2" xfId="457" xr:uid="{00000000-0005-0000-0000-0000150E0000}"/>
    <cellStyle name="Normal 26 7 2 2" xfId="1318" xr:uid="{00000000-0005-0000-0000-0000160E0000}"/>
    <cellStyle name="Normal 26 7 2 2 2" xfId="3548" xr:uid="{00000000-0005-0000-0000-0000170E0000}"/>
    <cellStyle name="Normal 26 7 2 3" xfId="1739" xr:uid="{00000000-0005-0000-0000-0000180E0000}"/>
    <cellStyle name="Normal 26 7 2 3 2" xfId="3969" xr:uid="{00000000-0005-0000-0000-0000190E0000}"/>
    <cellStyle name="Normal 26 7 2 4" xfId="2160" xr:uid="{00000000-0005-0000-0000-00001A0E0000}"/>
    <cellStyle name="Normal 26 7 2 4 2" xfId="4390" xr:uid="{00000000-0005-0000-0000-00001B0E0000}"/>
    <cellStyle name="Normal 26 7 2 5" xfId="898" xr:uid="{00000000-0005-0000-0000-00001C0E0000}"/>
    <cellStyle name="Normal 26 7 2 5 2" xfId="3128" xr:uid="{00000000-0005-0000-0000-00001D0E0000}"/>
    <cellStyle name="Normal 26 7 2 6" xfId="2687" xr:uid="{00000000-0005-0000-0000-00001E0E0000}"/>
    <cellStyle name="Normal 26 7 3" xfId="1108" xr:uid="{00000000-0005-0000-0000-00001F0E0000}"/>
    <cellStyle name="Normal 26 7 3 2" xfId="3338" xr:uid="{00000000-0005-0000-0000-0000200E0000}"/>
    <cellStyle name="Normal 26 7 4" xfId="1529" xr:uid="{00000000-0005-0000-0000-0000210E0000}"/>
    <cellStyle name="Normal 26 7 4 2" xfId="3759" xr:uid="{00000000-0005-0000-0000-0000220E0000}"/>
    <cellStyle name="Normal 26 7 5" xfId="1950" xr:uid="{00000000-0005-0000-0000-0000230E0000}"/>
    <cellStyle name="Normal 26 7 5 2" xfId="4180" xr:uid="{00000000-0005-0000-0000-0000240E0000}"/>
    <cellStyle name="Normal 26 7 6" xfId="688" xr:uid="{00000000-0005-0000-0000-0000250E0000}"/>
    <cellStyle name="Normal 26 7 6 2" xfId="2918" xr:uid="{00000000-0005-0000-0000-0000260E0000}"/>
    <cellStyle name="Normal 26 7 7" xfId="2477" xr:uid="{00000000-0005-0000-0000-0000270E0000}"/>
    <cellStyle name="Normal 26 8" xfId="352" xr:uid="{00000000-0005-0000-0000-0000280E0000}"/>
    <cellStyle name="Normal 26 8 2" xfId="1213" xr:uid="{00000000-0005-0000-0000-0000290E0000}"/>
    <cellStyle name="Normal 26 8 2 2" xfId="3443" xr:uid="{00000000-0005-0000-0000-00002A0E0000}"/>
    <cellStyle name="Normal 26 8 3" xfId="1634" xr:uid="{00000000-0005-0000-0000-00002B0E0000}"/>
    <cellStyle name="Normal 26 8 3 2" xfId="3864" xr:uid="{00000000-0005-0000-0000-00002C0E0000}"/>
    <cellStyle name="Normal 26 8 4" xfId="2055" xr:uid="{00000000-0005-0000-0000-00002D0E0000}"/>
    <cellStyle name="Normal 26 8 4 2" xfId="4285" xr:uid="{00000000-0005-0000-0000-00002E0E0000}"/>
    <cellStyle name="Normal 26 8 5" xfId="793" xr:uid="{00000000-0005-0000-0000-00002F0E0000}"/>
    <cellStyle name="Normal 26 8 5 2" xfId="3023" xr:uid="{00000000-0005-0000-0000-0000300E0000}"/>
    <cellStyle name="Normal 26 8 6" xfId="2582" xr:uid="{00000000-0005-0000-0000-0000310E0000}"/>
    <cellStyle name="Normal 26 9" xfId="141" xr:uid="{00000000-0005-0000-0000-0000320E0000}"/>
    <cellStyle name="Normal 26 9 2" xfId="1003" xr:uid="{00000000-0005-0000-0000-0000330E0000}"/>
    <cellStyle name="Normal 26 9 2 2" xfId="3233" xr:uid="{00000000-0005-0000-0000-0000340E0000}"/>
    <cellStyle name="Normal 26 9 3" xfId="2372" xr:uid="{00000000-0005-0000-0000-0000350E0000}"/>
    <cellStyle name="Normal 27" xfId="10" xr:uid="{00000000-0005-0000-0000-0000360E0000}"/>
    <cellStyle name="Normal 27 2" xfId="17" xr:uid="{00000000-0005-0000-0000-0000370E0000}"/>
    <cellStyle name="Normal 3" xfId="11" xr:uid="{00000000-0005-0000-0000-0000380E0000}"/>
    <cellStyle name="Normal 3 2" xfId="143" xr:uid="{00000000-0005-0000-0000-0000390E0000}"/>
    <cellStyle name="Normal 38" xfId="12" xr:uid="{00000000-0005-0000-0000-00003A0E0000}"/>
    <cellStyle name="Normal 38 2" xfId="249" xr:uid="{00000000-0005-0000-0000-00003B0E0000}"/>
    <cellStyle name="Normal 38 2 2" xfId="459" xr:uid="{00000000-0005-0000-0000-00003C0E0000}"/>
    <cellStyle name="Normal 38 2 2 2" xfId="1320" xr:uid="{00000000-0005-0000-0000-00003D0E0000}"/>
    <cellStyle name="Normal 38 2 2 2 2" xfId="3550" xr:uid="{00000000-0005-0000-0000-00003E0E0000}"/>
    <cellStyle name="Normal 38 2 2 3" xfId="1741" xr:uid="{00000000-0005-0000-0000-00003F0E0000}"/>
    <cellStyle name="Normal 38 2 2 3 2" xfId="3971" xr:uid="{00000000-0005-0000-0000-0000400E0000}"/>
    <cellStyle name="Normal 38 2 2 4" xfId="2162" xr:uid="{00000000-0005-0000-0000-0000410E0000}"/>
    <cellStyle name="Normal 38 2 2 4 2" xfId="4392" xr:uid="{00000000-0005-0000-0000-0000420E0000}"/>
    <cellStyle name="Normal 38 2 2 5" xfId="900" xr:uid="{00000000-0005-0000-0000-0000430E0000}"/>
    <cellStyle name="Normal 38 2 2 5 2" xfId="3130" xr:uid="{00000000-0005-0000-0000-0000440E0000}"/>
    <cellStyle name="Normal 38 2 2 6" xfId="2689" xr:uid="{00000000-0005-0000-0000-0000450E0000}"/>
    <cellStyle name="Normal 38 2 3" xfId="1110" xr:uid="{00000000-0005-0000-0000-0000460E0000}"/>
    <cellStyle name="Normal 38 2 3 2" xfId="3340" xr:uid="{00000000-0005-0000-0000-0000470E0000}"/>
    <cellStyle name="Normal 38 2 4" xfId="1531" xr:uid="{00000000-0005-0000-0000-0000480E0000}"/>
    <cellStyle name="Normal 38 2 4 2" xfId="3761" xr:uid="{00000000-0005-0000-0000-0000490E0000}"/>
    <cellStyle name="Normal 38 2 5" xfId="1952" xr:uid="{00000000-0005-0000-0000-00004A0E0000}"/>
    <cellStyle name="Normal 38 2 5 2" xfId="4182" xr:uid="{00000000-0005-0000-0000-00004B0E0000}"/>
    <cellStyle name="Normal 38 2 6" xfId="690" xr:uid="{00000000-0005-0000-0000-00004C0E0000}"/>
    <cellStyle name="Normal 38 2 6 2" xfId="2920" xr:uid="{00000000-0005-0000-0000-00004D0E0000}"/>
    <cellStyle name="Normal 38 2 7" xfId="2479" xr:uid="{00000000-0005-0000-0000-00004E0E0000}"/>
    <cellStyle name="Normal 38 3" xfId="354" xr:uid="{00000000-0005-0000-0000-00004F0E0000}"/>
    <cellStyle name="Normal 38 3 2" xfId="1215" xr:uid="{00000000-0005-0000-0000-0000500E0000}"/>
    <cellStyle name="Normal 38 3 2 2" xfId="3445" xr:uid="{00000000-0005-0000-0000-0000510E0000}"/>
    <cellStyle name="Normal 38 3 3" xfId="1636" xr:uid="{00000000-0005-0000-0000-0000520E0000}"/>
    <cellStyle name="Normal 38 3 3 2" xfId="3866" xr:uid="{00000000-0005-0000-0000-0000530E0000}"/>
    <cellStyle name="Normal 38 3 4" xfId="2057" xr:uid="{00000000-0005-0000-0000-0000540E0000}"/>
    <cellStyle name="Normal 38 3 4 2" xfId="4287" xr:uid="{00000000-0005-0000-0000-0000550E0000}"/>
    <cellStyle name="Normal 38 3 5" xfId="795" xr:uid="{00000000-0005-0000-0000-0000560E0000}"/>
    <cellStyle name="Normal 38 3 5 2" xfId="3025" xr:uid="{00000000-0005-0000-0000-0000570E0000}"/>
    <cellStyle name="Normal 38 3 6" xfId="2584" xr:uid="{00000000-0005-0000-0000-0000580E0000}"/>
    <cellStyle name="Normal 38 4" xfId="144" xr:uid="{00000000-0005-0000-0000-0000590E0000}"/>
    <cellStyle name="Normal 38 4 2" xfId="1005" xr:uid="{00000000-0005-0000-0000-00005A0E0000}"/>
    <cellStyle name="Normal 38 4 2 2" xfId="3235" xr:uid="{00000000-0005-0000-0000-00005B0E0000}"/>
    <cellStyle name="Normal 38 4 3" xfId="2374" xr:uid="{00000000-0005-0000-0000-00005C0E0000}"/>
    <cellStyle name="Normal 38 5" xfId="1426" xr:uid="{00000000-0005-0000-0000-00005D0E0000}"/>
    <cellStyle name="Normal 38 5 2" xfId="3656" xr:uid="{00000000-0005-0000-0000-00005E0E0000}"/>
    <cellStyle name="Normal 38 6" xfId="1847" xr:uid="{00000000-0005-0000-0000-00005F0E0000}"/>
    <cellStyle name="Normal 38 6 2" xfId="4077" xr:uid="{00000000-0005-0000-0000-0000600E0000}"/>
    <cellStyle name="Normal 38 7" xfId="585" xr:uid="{00000000-0005-0000-0000-0000610E0000}"/>
    <cellStyle name="Normal 38 7 2" xfId="2815" xr:uid="{00000000-0005-0000-0000-0000620E0000}"/>
    <cellStyle name="Normal 38 8" xfId="2269" xr:uid="{00000000-0005-0000-0000-0000630E0000}"/>
    <cellStyle name="Normal 4" xfId="16" xr:uid="{00000000-0005-0000-0000-0000640E0000}"/>
    <cellStyle name="Normal 4 2" xfId="251" xr:uid="{00000000-0005-0000-0000-0000650E0000}"/>
    <cellStyle name="Normal 4 2 2" xfId="461" xr:uid="{00000000-0005-0000-0000-0000660E0000}"/>
    <cellStyle name="Normal 4 2 2 2" xfId="1322" xr:uid="{00000000-0005-0000-0000-0000670E0000}"/>
    <cellStyle name="Normal 4 2 2 2 2" xfId="3552" xr:uid="{00000000-0005-0000-0000-0000680E0000}"/>
    <cellStyle name="Normal 4 2 2 3" xfId="1743" xr:uid="{00000000-0005-0000-0000-0000690E0000}"/>
    <cellStyle name="Normal 4 2 2 3 2" xfId="3973" xr:uid="{00000000-0005-0000-0000-00006A0E0000}"/>
    <cellStyle name="Normal 4 2 2 4" xfId="2164" xr:uid="{00000000-0005-0000-0000-00006B0E0000}"/>
    <cellStyle name="Normal 4 2 2 4 2" xfId="4394" xr:uid="{00000000-0005-0000-0000-00006C0E0000}"/>
    <cellStyle name="Normal 4 2 2 5" xfId="902" xr:uid="{00000000-0005-0000-0000-00006D0E0000}"/>
    <cellStyle name="Normal 4 2 2 5 2" xfId="3132" xr:uid="{00000000-0005-0000-0000-00006E0E0000}"/>
    <cellStyle name="Normal 4 2 2 6" xfId="2691" xr:uid="{00000000-0005-0000-0000-00006F0E0000}"/>
    <cellStyle name="Normal 4 2 3" xfId="1112" xr:uid="{00000000-0005-0000-0000-0000700E0000}"/>
    <cellStyle name="Normal 4 2 3 2" xfId="3342" xr:uid="{00000000-0005-0000-0000-0000710E0000}"/>
    <cellStyle name="Normal 4 2 4" xfId="1533" xr:uid="{00000000-0005-0000-0000-0000720E0000}"/>
    <cellStyle name="Normal 4 2 4 2" xfId="3763" xr:uid="{00000000-0005-0000-0000-0000730E0000}"/>
    <cellStyle name="Normal 4 2 5" xfId="1954" xr:uid="{00000000-0005-0000-0000-0000740E0000}"/>
    <cellStyle name="Normal 4 2 5 2" xfId="4184" xr:uid="{00000000-0005-0000-0000-0000750E0000}"/>
    <cellStyle name="Normal 4 2 6" xfId="692" xr:uid="{00000000-0005-0000-0000-0000760E0000}"/>
    <cellStyle name="Normal 4 2 6 2" xfId="2922" xr:uid="{00000000-0005-0000-0000-0000770E0000}"/>
    <cellStyle name="Normal 4 2 7" xfId="2481" xr:uid="{00000000-0005-0000-0000-0000780E0000}"/>
    <cellStyle name="Normal 4 3" xfId="356" xr:uid="{00000000-0005-0000-0000-0000790E0000}"/>
    <cellStyle name="Normal 4 3 2" xfId="1217" xr:uid="{00000000-0005-0000-0000-00007A0E0000}"/>
    <cellStyle name="Normal 4 3 2 2" xfId="3447" xr:uid="{00000000-0005-0000-0000-00007B0E0000}"/>
    <cellStyle name="Normal 4 3 3" xfId="1638" xr:uid="{00000000-0005-0000-0000-00007C0E0000}"/>
    <cellStyle name="Normal 4 3 3 2" xfId="3868" xr:uid="{00000000-0005-0000-0000-00007D0E0000}"/>
    <cellStyle name="Normal 4 3 4" xfId="2059" xr:uid="{00000000-0005-0000-0000-00007E0E0000}"/>
    <cellStyle name="Normal 4 3 4 2" xfId="4289" xr:uid="{00000000-0005-0000-0000-00007F0E0000}"/>
    <cellStyle name="Normal 4 3 5" xfId="797" xr:uid="{00000000-0005-0000-0000-0000800E0000}"/>
    <cellStyle name="Normal 4 3 5 2" xfId="3027" xr:uid="{00000000-0005-0000-0000-0000810E0000}"/>
    <cellStyle name="Normal 4 3 6" xfId="2586" xr:uid="{00000000-0005-0000-0000-0000820E0000}"/>
    <cellStyle name="Normal 4 4" xfId="146" xr:uid="{00000000-0005-0000-0000-0000830E0000}"/>
    <cellStyle name="Normal 4 4 2" xfId="1007" xr:uid="{00000000-0005-0000-0000-0000840E0000}"/>
    <cellStyle name="Normal 4 4 2 2" xfId="3237" xr:uid="{00000000-0005-0000-0000-0000850E0000}"/>
    <cellStyle name="Normal 4 4 3" xfId="2376" xr:uid="{00000000-0005-0000-0000-0000860E0000}"/>
    <cellStyle name="Normal 4 5" xfId="1428" xr:uid="{00000000-0005-0000-0000-0000870E0000}"/>
    <cellStyle name="Normal 4 5 2" xfId="3658" xr:uid="{00000000-0005-0000-0000-0000880E0000}"/>
    <cellStyle name="Normal 4 6" xfId="1849" xr:uid="{00000000-0005-0000-0000-0000890E0000}"/>
    <cellStyle name="Normal 4 6 2" xfId="4079" xr:uid="{00000000-0005-0000-0000-00008A0E0000}"/>
    <cellStyle name="Normal 4 7" xfId="587" xr:uid="{00000000-0005-0000-0000-00008B0E0000}"/>
    <cellStyle name="Normal 4 7 2" xfId="2817" xr:uid="{00000000-0005-0000-0000-00008C0E0000}"/>
    <cellStyle name="Normal 4 8" xfId="2271" xr:uid="{00000000-0005-0000-0000-00008D0E0000}"/>
    <cellStyle name="Normal 5" xfId="27" xr:uid="{00000000-0005-0000-0000-00008E0E0000}"/>
    <cellStyle name="Normal 5 2" xfId="260" xr:uid="{00000000-0005-0000-0000-00008F0E0000}"/>
    <cellStyle name="Normal 5 2 2" xfId="470" xr:uid="{00000000-0005-0000-0000-0000900E0000}"/>
    <cellStyle name="Normal 5 2 2 2" xfId="1331" xr:uid="{00000000-0005-0000-0000-0000910E0000}"/>
    <cellStyle name="Normal 5 2 2 2 2" xfId="3561" xr:uid="{00000000-0005-0000-0000-0000920E0000}"/>
    <cellStyle name="Normal 5 2 2 3" xfId="1752" xr:uid="{00000000-0005-0000-0000-0000930E0000}"/>
    <cellStyle name="Normal 5 2 2 3 2" xfId="3982" xr:uid="{00000000-0005-0000-0000-0000940E0000}"/>
    <cellStyle name="Normal 5 2 2 4" xfId="2173" xr:uid="{00000000-0005-0000-0000-0000950E0000}"/>
    <cellStyle name="Normal 5 2 2 4 2" xfId="4403" xr:uid="{00000000-0005-0000-0000-0000960E0000}"/>
    <cellStyle name="Normal 5 2 2 5" xfId="911" xr:uid="{00000000-0005-0000-0000-0000970E0000}"/>
    <cellStyle name="Normal 5 2 2 5 2" xfId="3141" xr:uid="{00000000-0005-0000-0000-0000980E0000}"/>
    <cellStyle name="Normal 5 2 2 6" xfId="2700" xr:uid="{00000000-0005-0000-0000-0000990E0000}"/>
    <cellStyle name="Normal 5 2 3" xfId="1121" xr:uid="{00000000-0005-0000-0000-00009A0E0000}"/>
    <cellStyle name="Normal 5 2 3 2" xfId="3351" xr:uid="{00000000-0005-0000-0000-00009B0E0000}"/>
    <cellStyle name="Normal 5 2 4" xfId="1542" xr:uid="{00000000-0005-0000-0000-00009C0E0000}"/>
    <cellStyle name="Normal 5 2 4 2" xfId="3772" xr:uid="{00000000-0005-0000-0000-00009D0E0000}"/>
    <cellStyle name="Normal 5 2 5" xfId="1963" xr:uid="{00000000-0005-0000-0000-00009E0E0000}"/>
    <cellStyle name="Normal 5 2 5 2" xfId="4193" xr:uid="{00000000-0005-0000-0000-00009F0E0000}"/>
    <cellStyle name="Normal 5 2 6" xfId="701" xr:uid="{00000000-0005-0000-0000-0000A00E0000}"/>
    <cellStyle name="Normal 5 2 6 2" xfId="2931" xr:uid="{00000000-0005-0000-0000-0000A10E0000}"/>
    <cellStyle name="Normal 5 2 7" xfId="2490" xr:uid="{00000000-0005-0000-0000-0000A20E0000}"/>
    <cellStyle name="Normal 5 3" xfId="365" xr:uid="{00000000-0005-0000-0000-0000A30E0000}"/>
    <cellStyle name="Normal 5 3 2" xfId="1226" xr:uid="{00000000-0005-0000-0000-0000A40E0000}"/>
    <cellStyle name="Normal 5 3 2 2" xfId="3456" xr:uid="{00000000-0005-0000-0000-0000A50E0000}"/>
    <cellStyle name="Normal 5 3 3" xfId="1647" xr:uid="{00000000-0005-0000-0000-0000A60E0000}"/>
    <cellStyle name="Normal 5 3 3 2" xfId="3877" xr:uid="{00000000-0005-0000-0000-0000A70E0000}"/>
    <cellStyle name="Normal 5 3 4" xfId="2068" xr:uid="{00000000-0005-0000-0000-0000A80E0000}"/>
    <cellStyle name="Normal 5 3 4 2" xfId="4298" xr:uid="{00000000-0005-0000-0000-0000A90E0000}"/>
    <cellStyle name="Normal 5 3 5" xfId="806" xr:uid="{00000000-0005-0000-0000-0000AA0E0000}"/>
    <cellStyle name="Normal 5 3 5 2" xfId="3036" xr:uid="{00000000-0005-0000-0000-0000AB0E0000}"/>
    <cellStyle name="Normal 5 3 6" xfId="2595" xr:uid="{00000000-0005-0000-0000-0000AC0E0000}"/>
    <cellStyle name="Normal 5 4" xfId="155" xr:uid="{00000000-0005-0000-0000-0000AD0E0000}"/>
    <cellStyle name="Normal 5 4 2" xfId="1016" xr:uid="{00000000-0005-0000-0000-0000AE0E0000}"/>
    <cellStyle name="Normal 5 4 2 2" xfId="3246" xr:uid="{00000000-0005-0000-0000-0000AF0E0000}"/>
    <cellStyle name="Normal 5 4 3" xfId="2385" xr:uid="{00000000-0005-0000-0000-0000B00E0000}"/>
    <cellStyle name="Normal 5 5" xfId="1437" xr:uid="{00000000-0005-0000-0000-0000B10E0000}"/>
    <cellStyle name="Normal 5 5 2" xfId="3667" xr:uid="{00000000-0005-0000-0000-0000B20E0000}"/>
    <cellStyle name="Normal 5 6" xfId="1858" xr:uid="{00000000-0005-0000-0000-0000B30E0000}"/>
    <cellStyle name="Normal 5 6 2" xfId="4088" xr:uid="{00000000-0005-0000-0000-0000B40E0000}"/>
    <cellStyle name="Normal 5 7" xfId="596" xr:uid="{00000000-0005-0000-0000-0000B50E0000}"/>
    <cellStyle name="Normal 5 7 2" xfId="2826" xr:uid="{00000000-0005-0000-0000-0000B60E0000}"/>
    <cellStyle name="Normal 5 8" xfId="2280" xr:uid="{00000000-0005-0000-0000-0000B70E0000}"/>
    <cellStyle name="Normal 53" xfId="4494" xr:uid="{8E7DCDB9-92DE-471A-A14F-B8BA030AB6B2}"/>
    <cellStyle name="Normal 6" xfId="36" xr:uid="{00000000-0005-0000-0000-0000B80E0000}"/>
    <cellStyle name="Normal 6 2" xfId="269" xr:uid="{00000000-0005-0000-0000-0000B90E0000}"/>
    <cellStyle name="Normal 6 2 2" xfId="479" xr:uid="{00000000-0005-0000-0000-0000BA0E0000}"/>
    <cellStyle name="Normal 6 2 2 2" xfId="1340" xr:uid="{00000000-0005-0000-0000-0000BB0E0000}"/>
    <cellStyle name="Normal 6 2 2 2 2" xfId="3570" xr:uid="{00000000-0005-0000-0000-0000BC0E0000}"/>
    <cellStyle name="Normal 6 2 2 3" xfId="1761" xr:uid="{00000000-0005-0000-0000-0000BD0E0000}"/>
    <cellStyle name="Normal 6 2 2 3 2" xfId="3991" xr:uid="{00000000-0005-0000-0000-0000BE0E0000}"/>
    <cellStyle name="Normal 6 2 2 4" xfId="2182" xr:uid="{00000000-0005-0000-0000-0000BF0E0000}"/>
    <cellStyle name="Normal 6 2 2 4 2" xfId="4412" xr:uid="{00000000-0005-0000-0000-0000C00E0000}"/>
    <cellStyle name="Normal 6 2 2 5" xfId="920" xr:uid="{00000000-0005-0000-0000-0000C10E0000}"/>
    <cellStyle name="Normal 6 2 2 5 2" xfId="3150" xr:uid="{00000000-0005-0000-0000-0000C20E0000}"/>
    <cellStyle name="Normal 6 2 2 6" xfId="2709" xr:uid="{00000000-0005-0000-0000-0000C30E0000}"/>
    <cellStyle name="Normal 6 2 3" xfId="1130" xr:uid="{00000000-0005-0000-0000-0000C40E0000}"/>
    <cellStyle name="Normal 6 2 3 2" xfId="3360" xr:uid="{00000000-0005-0000-0000-0000C50E0000}"/>
    <cellStyle name="Normal 6 2 4" xfId="1551" xr:uid="{00000000-0005-0000-0000-0000C60E0000}"/>
    <cellStyle name="Normal 6 2 4 2" xfId="3781" xr:uid="{00000000-0005-0000-0000-0000C70E0000}"/>
    <cellStyle name="Normal 6 2 5" xfId="1972" xr:uid="{00000000-0005-0000-0000-0000C80E0000}"/>
    <cellStyle name="Normal 6 2 5 2" xfId="4202" xr:uid="{00000000-0005-0000-0000-0000C90E0000}"/>
    <cellStyle name="Normal 6 2 6" xfId="710" xr:uid="{00000000-0005-0000-0000-0000CA0E0000}"/>
    <cellStyle name="Normal 6 2 6 2" xfId="2940" xr:uid="{00000000-0005-0000-0000-0000CB0E0000}"/>
    <cellStyle name="Normal 6 2 7" xfId="2499" xr:uid="{00000000-0005-0000-0000-0000CC0E0000}"/>
    <cellStyle name="Normal 6 3" xfId="374" xr:uid="{00000000-0005-0000-0000-0000CD0E0000}"/>
    <cellStyle name="Normal 6 3 2" xfId="1235" xr:uid="{00000000-0005-0000-0000-0000CE0E0000}"/>
    <cellStyle name="Normal 6 3 2 2" xfId="3465" xr:uid="{00000000-0005-0000-0000-0000CF0E0000}"/>
    <cellStyle name="Normal 6 3 3" xfId="1656" xr:uid="{00000000-0005-0000-0000-0000D00E0000}"/>
    <cellStyle name="Normal 6 3 3 2" xfId="3886" xr:uid="{00000000-0005-0000-0000-0000D10E0000}"/>
    <cellStyle name="Normal 6 3 4" xfId="2077" xr:uid="{00000000-0005-0000-0000-0000D20E0000}"/>
    <cellStyle name="Normal 6 3 4 2" xfId="4307" xr:uid="{00000000-0005-0000-0000-0000D30E0000}"/>
    <cellStyle name="Normal 6 3 5" xfId="815" xr:uid="{00000000-0005-0000-0000-0000D40E0000}"/>
    <cellStyle name="Normal 6 3 5 2" xfId="3045" xr:uid="{00000000-0005-0000-0000-0000D50E0000}"/>
    <cellStyle name="Normal 6 3 6" xfId="2604" xr:uid="{00000000-0005-0000-0000-0000D60E0000}"/>
    <cellStyle name="Normal 6 4" xfId="164" xr:uid="{00000000-0005-0000-0000-0000D70E0000}"/>
    <cellStyle name="Normal 6 4 2" xfId="1025" xr:uid="{00000000-0005-0000-0000-0000D80E0000}"/>
    <cellStyle name="Normal 6 4 2 2" xfId="3255" xr:uid="{00000000-0005-0000-0000-0000D90E0000}"/>
    <cellStyle name="Normal 6 4 3" xfId="2394" xr:uid="{00000000-0005-0000-0000-0000DA0E0000}"/>
    <cellStyle name="Normal 6 5" xfId="1446" xr:uid="{00000000-0005-0000-0000-0000DB0E0000}"/>
    <cellStyle name="Normal 6 5 2" xfId="3676" xr:uid="{00000000-0005-0000-0000-0000DC0E0000}"/>
    <cellStyle name="Normal 6 6" xfId="1867" xr:uid="{00000000-0005-0000-0000-0000DD0E0000}"/>
    <cellStyle name="Normal 6 6 2" xfId="4097" xr:uid="{00000000-0005-0000-0000-0000DE0E0000}"/>
    <cellStyle name="Normal 6 7" xfId="605" xr:uid="{00000000-0005-0000-0000-0000DF0E0000}"/>
    <cellStyle name="Normal 6 7 2" xfId="2835" xr:uid="{00000000-0005-0000-0000-0000E00E0000}"/>
    <cellStyle name="Normal 6 8" xfId="2289" xr:uid="{00000000-0005-0000-0000-0000E10E0000}"/>
    <cellStyle name="Normal 7" xfId="45" xr:uid="{00000000-0005-0000-0000-0000E20E0000}"/>
    <cellStyle name="Normal 7 2" xfId="278" xr:uid="{00000000-0005-0000-0000-0000E30E0000}"/>
    <cellStyle name="Normal 7 2 2" xfId="488" xr:uid="{00000000-0005-0000-0000-0000E40E0000}"/>
    <cellStyle name="Normal 7 2 2 2" xfId="1349" xr:uid="{00000000-0005-0000-0000-0000E50E0000}"/>
    <cellStyle name="Normal 7 2 2 2 2" xfId="3579" xr:uid="{00000000-0005-0000-0000-0000E60E0000}"/>
    <cellStyle name="Normal 7 2 2 3" xfId="1770" xr:uid="{00000000-0005-0000-0000-0000E70E0000}"/>
    <cellStyle name="Normal 7 2 2 3 2" xfId="4000" xr:uid="{00000000-0005-0000-0000-0000E80E0000}"/>
    <cellStyle name="Normal 7 2 2 4" xfId="2191" xr:uid="{00000000-0005-0000-0000-0000E90E0000}"/>
    <cellStyle name="Normal 7 2 2 4 2" xfId="4421" xr:uid="{00000000-0005-0000-0000-0000EA0E0000}"/>
    <cellStyle name="Normal 7 2 2 5" xfId="929" xr:uid="{00000000-0005-0000-0000-0000EB0E0000}"/>
    <cellStyle name="Normal 7 2 2 5 2" xfId="3159" xr:uid="{00000000-0005-0000-0000-0000EC0E0000}"/>
    <cellStyle name="Normal 7 2 2 6" xfId="2718" xr:uid="{00000000-0005-0000-0000-0000ED0E0000}"/>
    <cellStyle name="Normal 7 2 3" xfId="1139" xr:uid="{00000000-0005-0000-0000-0000EE0E0000}"/>
    <cellStyle name="Normal 7 2 3 2" xfId="3369" xr:uid="{00000000-0005-0000-0000-0000EF0E0000}"/>
    <cellStyle name="Normal 7 2 4" xfId="1560" xr:uid="{00000000-0005-0000-0000-0000F00E0000}"/>
    <cellStyle name="Normal 7 2 4 2" xfId="3790" xr:uid="{00000000-0005-0000-0000-0000F10E0000}"/>
    <cellStyle name="Normal 7 2 5" xfId="1981" xr:uid="{00000000-0005-0000-0000-0000F20E0000}"/>
    <cellStyle name="Normal 7 2 5 2" xfId="4211" xr:uid="{00000000-0005-0000-0000-0000F30E0000}"/>
    <cellStyle name="Normal 7 2 6" xfId="719" xr:uid="{00000000-0005-0000-0000-0000F40E0000}"/>
    <cellStyle name="Normal 7 2 6 2" xfId="2949" xr:uid="{00000000-0005-0000-0000-0000F50E0000}"/>
    <cellStyle name="Normal 7 2 7" xfId="2508" xr:uid="{00000000-0005-0000-0000-0000F60E0000}"/>
    <cellStyle name="Normal 7 3" xfId="383" xr:uid="{00000000-0005-0000-0000-0000F70E0000}"/>
    <cellStyle name="Normal 7 3 2" xfId="1244" xr:uid="{00000000-0005-0000-0000-0000F80E0000}"/>
    <cellStyle name="Normal 7 3 2 2" xfId="3474" xr:uid="{00000000-0005-0000-0000-0000F90E0000}"/>
    <cellStyle name="Normal 7 3 3" xfId="1665" xr:uid="{00000000-0005-0000-0000-0000FA0E0000}"/>
    <cellStyle name="Normal 7 3 3 2" xfId="3895" xr:uid="{00000000-0005-0000-0000-0000FB0E0000}"/>
    <cellStyle name="Normal 7 3 4" xfId="2086" xr:uid="{00000000-0005-0000-0000-0000FC0E0000}"/>
    <cellStyle name="Normal 7 3 4 2" xfId="4316" xr:uid="{00000000-0005-0000-0000-0000FD0E0000}"/>
    <cellStyle name="Normal 7 3 5" xfId="824" xr:uid="{00000000-0005-0000-0000-0000FE0E0000}"/>
    <cellStyle name="Normal 7 3 5 2" xfId="3054" xr:uid="{00000000-0005-0000-0000-0000FF0E0000}"/>
    <cellStyle name="Normal 7 3 6" xfId="2613" xr:uid="{00000000-0005-0000-0000-0000000F0000}"/>
    <cellStyle name="Normal 7 4" xfId="173" xr:uid="{00000000-0005-0000-0000-0000010F0000}"/>
    <cellStyle name="Normal 7 4 2" xfId="1034" xr:uid="{00000000-0005-0000-0000-0000020F0000}"/>
    <cellStyle name="Normal 7 4 2 2" xfId="3264" xr:uid="{00000000-0005-0000-0000-0000030F0000}"/>
    <cellStyle name="Normal 7 4 3" xfId="2403" xr:uid="{00000000-0005-0000-0000-0000040F0000}"/>
    <cellStyle name="Normal 7 5" xfId="1455" xr:uid="{00000000-0005-0000-0000-0000050F0000}"/>
    <cellStyle name="Normal 7 5 2" xfId="3685" xr:uid="{00000000-0005-0000-0000-0000060F0000}"/>
    <cellStyle name="Normal 7 6" xfId="1876" xr:uid="{00000000-0005-0000-0000-0000070F0000}"/>
    <cellStyle name="Normal 7 6 2" xfId="4106" xr:uid="{00000000-0005-0000-0000-0000080F0000}"/>
    <cellStyle name="Normal 7 7" xfId="614" xr:uid="{00000000-0005-0000-0000-0000090F0000}"/>
    <cellStyle name="Normal 7 7 2" xfId="2844" xr:uid="{00000000-0005-0000-0000-00000A0F0000}"/>
    <cellStyle name="Normal 7 8" xfId="2298" xr:uid="{00000000-0005-0000-0000-00000B0F0000}"/>
    <cellStyle name="Normal 8" xfId="94" xr:uid="{00000000-0005-0000-0000-00000C0F0000}"/>
    <cellStyle name="Normal 8 2" xfId="305" xr:uid="{00000000-0005-0000-0000-00000D0F0000}"/>
    <cellStyle name="Normal 8 2 2" xfId="515" xr:uid="{00000000-0005-0000-0000-00000E0F0000}"/>
    <cellStyle name="Normal 8 2 2 2" xfId="1376" xr:uid="{00000000-0005-0000-0000-00000F0F0000}"/>
    <cellStyle name="Normal 8 2 2 2 2" xfId="3606" xr:uid="{00000000-0005-0000-0000-0000100F0000}"/>
    <cellStyle name="Normal 8 2 2 3" xfId="1797" xr:uid="{00000000-0005-0000-0000-0000110F0000}"/>
    <cellStyle name="Normal 8 2 2 3 2" xfId="4027" xr:uid="{00000000-0005-0000-0000-0000120F0000}"/>
    <cellStyle name="Normal 8 2 2 4" xfId="2218" xr:uid="{00000000-0005-0000-0000-0000130F0000}"/>
    <cellStyle name="Normal 8 2 2 4 2" xfId="4448" xr:uid="{00000000-0005-0000-0000-0000140F0000}"/>
    <cellStyle name="Normal 8 2 2 5" xfId="956" xr:uid="{00000000-0005-0000-0000-0000150F0000}"/>
    <cellStyle name="Normal 8 2 2 5 2" xfId="3186" xr:uid="{00000000-0005-0000-0000-0000160F0000}"/>
    <cellStyle name="Normal 8 2 2 6" xfId="2745" xr:uid="{00000000-0005-0000-0000-0000170F0000}"/>
    <cellStyle name="Normal 8 2 3" xfId="1166" xr:uid="{00000000-0005-0000-0000-0000180F0000}"/>
    <cellStyle name="Normal 8 2 3 2" xfId="3396" xr:uid="{00000000-0005-0000-0000-0000190F0000}"/>
    <cellStyle name="Normal 8 2 4" xfId="1587" xr:uid="{00000000-0005-0000-0000-00001A0F0000}"/>
    <cellStyle name="Normal 8 2 4 2" xfId="3817" xr:uid="{00000000-0005-0000-0000-00001B0F0000}"/>
    <cellStyle name="Normal 8 2 5" xfId="2008" xr:uid="{00000000-0005-0000-0000-00001C0F0000}"/>
    <cellStyle name="Normal 8 2 5 2" xfId="4238" xr:uid="{00000000-0005-0000-0000-00001D0F0000}"/>
    <cellStyle name="Normal 8 2 6" xfId="746" xr:uid="{00000000-0005-0000-0000-00001E0F0000}"/>
    <cellStyle name="Normal 8 2 6 2" xfId="2976" xr:uid="{00000000-0005-0000-0000-00001F0F0000}"/>
    <cellStyle name="Normal 8 2 7" xfId="2535" xr:uid="{00000000-0005-0000-0000-0000200F0000}"/>
    <cellStyle name="Normal 8 3" xfId="410" xr:uid="{00000000-0005-0000-0000-0000210F0000}"/>
    <cellStyle name="Normal 8 3 2" xfId="1271" xr:uid="{00000000-0005-0000-0000-0000220F0000}"/>
    <cellStyle name="Normal 8 3 2 2" xfId="3501" xr:uid="{00000000-0005-0000-0000-0000230F0000}"/>
    <cellStyle name="Normal 8 3 3" xfId="1692" xr:uid="{00000000-0005-0000-0000-0000240F0000}"/>
    <cellStyle name="Normal 8 3 3 2" xfId="3922" xr:uid="{00000000-0005-0000-0000-0000250F0000}"/>
    <cellStyle name="Normal 8 3 4" xfId="2113" xr:uid="{00000000-0005-0000-0000-0000260F0000}"/>
    <cellStyle name="Normal 8 3 4 2" xfId="4343" xr:uid="{00000000-0005-0000-0000-0000270F0000}"/>
    <cellStyle name="Normal 8 3 5" xfId="851" xr:uid="{00000000-0005-0000-0000-0000280F0000}"/>
    <cellStyle name="Normal 8 3 5 2" xfId="3081" xr:uid="{00000000-0005-0000-0000-0000290F0000}"/>
    <cellStyle name="Normal 8 3 6" xfId="2640" xr:uid="{00000000-0005-0000-0000-00002A0F0000}"/>
    <cellStyle name="Normal 8 4" xfId="200" xr:uid="{00000000-0005-0000-0000-00002B0F0000}"/>
    <cellStyle name="Normal 8 4 2" xfId="1061" xr:uid="{00000000-0005-0000-0000-00002C0F0000}"/>
    <cellStyle name="Normal 8 4 2 2" xfId="3291" xr:uid="{00000000-0005-0000-0000-00002D0F0000}"/>
    <cellStyle name="Normal 8 4 3" xfId="2430" xr:uid="{00000000-0005-0000-0000-00002E0F0000}"/>
    <cellStyle name="Normal 8 5" xfId="1482" xr:uid="{00000000-0005-0000-0000-00002F0F0000}"/>
    <cellStyle name="Normal 8 5 2" xfId="3712" xr:uid="{00000000-0005-0000-0000-0000300F0000}"/>
    <cellStyle name="Normal 8 6" xfId="1903" xr:uid="{00000000-0005-0000-0000-0000310F0000}"/>
    <cellStyle name="Normal 8 6 2" xfId="4133" xr:uid="{00000000-0005-0000-0000-0000320F0000}"/>
    <cellStyle name="Normal 8 7" xfId="641" xr:uid="{00000000-0005-0000-0000-0000330F0000}"/>
    <cellStyle name="Normal 8 7 2" xfId="2871" xr:uid="{00000000-0005-0000-0000-0000340F0000}"/>
    <cellStyle name="Normal 8 8" xfId="2325" xr:uid="{00000000-0005-0000-0000-0000350F0000}"/>
    <cellStyle name="Normal 9" xfId="96" xr:uid="{00000000-0005-0000-0000-0000360F0000}"/>
    <cellStyle name="Normal 9 2" xfId="307" xr:uid="{00000000-0005-0000-0000-0000370F0000}"/>
    <cellStyle name="Normal 9 2 2" xfId="517" xr:uid="{00000000-0005-0000-0000-0000380F0000}"/>
    <cellStyle name="Normal 9 2 2 2" xfId="1378" xr:uid="{00000000-0005-0000-0000-0000390F0000}"/>
    <cellStyle name="Normal 9 2 2 2 2" xfId="3608" xr:uid="{00000000-0005-0000-0000-00003A0F0000}"/>
    <cellStyle name="Normal 9 2 2 3" xfId="1799" xr:uid="{00000000-0005-0000-0000-00003B0F0000}"/>
    <cellStyle name="Normal 9 2 2 3 2" xfId="4029" xr:uid="{00000000-0005-0000-0000-00003C0F0000}"/>
    <cellStyle name="Normal 9 2 2 4" xfId="2220" xr:uid="{00000000-0005-0000-0000-00003D0F0000}"/>
    <cellStyle name="Normal 9 2 2 4 2" xfId="4450" xr:uid="{00000000-0005-0000-0000-00003E0F0000}"/>
    <cellStyle name="Normal 9 2 2 5" xfId="958" xr:uid="{00000000-0005-0000-0000-00003F0F0000}"/>
    <cellStyle name="Normal 9 2 2 5 2" xfId="3188" xr:uid="{00000000-0005-0000-0000-0000400F0000}"/>
    <cellStyle name="Normal 9 2 2 6" xfId="2747" xr:uid="{00000000-0005-0000-0000-0000410F0000}"/>
    <cellStyle name="Normal 9 2 3" xfId="1168" xr:uid="{00000000-0005-0000-0000-0000420F0000}"/>
    <cellStyle name="Normal 9 2 3 2" xfId="3398" xr:uid="{00000000-0005-0000-0000-0000430F0000}"/>
    <cellStyle name="Normal 9 2 4" xfId="1589" xr:uid="{00000000-0005-0000-0000-0000440F0000}"/>
    <cellStyle name="Normal 9 2 4 2" xfId="3819" xr:uid="{00000000-0005-0000-0000-0000450F0000}"/>
    <cellStyle name="Normal 9 2 5" xfId="2010" xr:uid="{00000000-0005-0000-0000-0000460F0000}"/>
    <cellStyle name="Normal 9 2 5 2" xfId="4240" xr:uid="{00000000-0005-0000-0000-0000470F0000}"/>
    <cellStyle name="Normal 9 2 6" xfId="748" xr:uid="{00000000-0005-0000-0000-0000480F0000}"/>
    <cellStyle name="Normal 9 2 6 2" xfId="2978" xr:uid="{00000000-0005-0000-0000-0000490F0000}"/>
    <cellStyle name="Normal 9 2 7" xfId="2537" xr:uid="{00000000-0005-0000-0000-00004A0F0000}"/>
    <cellStyle name="Normal 9 3" xfId="412" xr:uid="{00000000-0005-0000-0000-00004B0F0000}"/>
    <cellStyle name="Normal 9 3 2" xfId="1273" xr:uid="{00000000-0005-0000-0000-00004C0F0000}"/>
    <cellStyle name="Normal 9 3 2 2" xfId="3503" xr:uid="{00000000-0005-0000-0000-00004D0F0000}"/>
    <cellStyle name="Normal 9 3 3" xfId="1694" xr:uid="{00000000-0005-0000-0000-00004E0F0000}"/>
    <cellStyle name="Normal 9 3 3 2" xfId="3924" xr:uid="{00000000-0005-0000-0000-00004F0F0000}"/>
    <cellStyle name="Normal 9 3 4" xfId="2115" xr:uid="{00000000-0005-0000-0000-0000500F0000}"/>
    <cellStyle name="Normal 9 3 4 2" xfId="4345" xr:uid="{00000000-0005-0000-0000-0000510F0000}"/>
    <cellStyle name="Normal 9 3 5" xfId="853" xr:uid="{00000000-0005-0000-0000-0000520F0000}"/>
    <cellStyle name="Normal 9 3 5 2" xfId="3083" xr:uid="{00000000-0005-0000-0000-0000530F0000}"/>
    <cellStyle name="Normal 9 3 6" xfId="2642" xr:uid="{00000000-0005-0000-0000-0000540F0000}"/>
    <cellStyle name="Normal 9 4" xfId="202" xr:uid="{00000000-0005-0000-0000-0000550F0000}"/>
    <cellStyle name="Normal 9 4 2" xfId="1063" xr:uid="{00000000-0005-0000-0000-0000560F0000}"/>
    <cellStyle name="Normal 9 4 2 2" xfId="3293" xr:uid="{00000000-0005-0000-0000-0000570F0000}"/>
    <cellStyle name="Normal 9 4 3" xfId="2432" xr:uid="{00000000-0005-0000-0000-0000580F0000}"/>
    <cellStyle name="Normal 9 5" xfId="1484" xr:uid="{00000000-0005-0000-0000-0000590F0000}"/>
    <cellStyle name="Normal 9 5 2" xfId="3714" xr:uid="{00000000-0005-0000-0000-00005A0F0000}"/>
    <cellStyle name="Normal 9 6" xfId="1905" xr:uid="{00000000-0005-0000-0000-00005B0F0000}"/>
    <cellStyle name="Normal 9 6 2" xfId="4135" xr:uid="{00000000-0005-0000-0000-00005C0F0000}"/>
    <cellStyle name="Normal 9 7" xfId="643" xr:uid="{00000000-0005-0000-0000-00005D0F0000}"/>
    <cellStyle name="Normal 9 7 2" xfId="2873" xr:uid="{00000000-0005-0000-0000-00005E0F0000}"/>
    <cellStyle name="Normal 9 8" xfId="2327" xr:uid="{00000000-0005-0000-0000-00005F0F0000}"/>
    <cellStyle name="Note 2" xfId="95" xr:uid="{00000000-0005-0000-0000-0000600F0000}"/>
    <cellStyle name="Note 2 2" xfId="306" xr:uid="{00000000-0005-0000-0000-0000610F0000}"/>
    <cellStyle name="Note 2 2 2" xfId="516" xr:uid="{00000000-0005-0000-0000-0000620F0000}"/>
    <cellStyle name="Note 2 2 2 2" xfId="1377" xr:uid="{00000000-0005-0000-0000-0000630F0000}"/>
    <cellStyle name="Note 2 2 2 2 2" xfId="3607" xr:uid="{00000000-0005-0000-0000-0000640F0000}"/>
    <cellStyle name="Note 2 2 2 3" xfId="1798" xr:uid="{00000000-0005-0000-0000-0000650F0000}"/>
    <cellStyle name="Note 2 2 2 3 2" xfId="4028" xr:uid="{00000000-0005-0000-0000-0000660F0000}"/>
    <cellStyle name="Note 2 2 2 4" xfId="2219" xr:uid="{00000000-0005-0000-0000-0000670F0000}"/>
    <cellStyle name="Note 2 2 2 4 2" xfId="4449" xr:uid="{00000000-0005-0000-0000-0000680F0000}"/>
    <cellStyle name="Note 2 2 2 5" xfId="957" xr:uid="{00000000-0005-0000-0000-0000690F0000}"/>
    <cellStyle name="Note 2 2 2 5 2" xfId="3187" xr:uid="{00000000-0005-0000-0000-00006A0F0000}"/>
    <cellStyle name="Note 2 2 2 6" xfId="2746" xr:uid="{00000000-0005-0000-0000-00006B0F0000}"/>
    <cellStyle name="Note 2 2 3" xfId="1167" xr:uid="{00000000-0005-0000-0000-00006C0F0000}"/>
    <cellStyle name="Note 2 2 3 2" xfId="3397" xr:uid="{00000000-0005-0000-0000-00006D0F0000}"/>
    <cellStyle name="Note 2 2 4" xfId="1588" xr:uid="{00000000-0005-0000-0000-00006E0F0000}"/>
    <cellStyle name="Note 2 2 4 2" xfId="3818" xr:uid="{00000000-0005-0000-0000-00006F0F0000}"/>
    <cellStyle name="Note 2 2 5" xfId="2009" xr:uid="{00000000-0005-0000-0000-0000700F0000}"/>
    <cellStyle name="Note 2 2 5 2" xfId="4239" xr:uid="{00000000-0005-0000-0000-0000710F0000}"/>
    <cellStyle name="Note 2 2 6" xfId="747" xr:uid="{00000000-0005-0000-0000-0000720F0000}"/>
    <cellStyle name="Note 2 2 6 2" xfId="2977" xr:uid="{00000000-0005-0000-0000-0000730F0000}"/>
    <cellStyle name="Note 2 2 7" xfId="2536" xr:uid="{00000000-0005-0000-0000-0000740F0000}"/>
    <cellStyle name="Note 2 3" xfId="411" xr:uid="{00000000-0005-0000-0000-0000750F0000}"/>
    <cellStyle name="Note 2 3 2" xfId="1272" xr:uid="{00000000-0005-0000-0000-0000760F0000}"/>
    <cellStyle name="Note 2 3 2 2" xfId="3502" xr:uid="{00000000-0005-0000-0000-0000770F0000}"/>
    <cellStyle name="Note 2 3 3" xfId="1693" xr:uid="{00000000-0005-0000-0000-0000780F0000}"/>
    <cellStyle name="Note 2 3 3 2" xfId="3923" xr:uid="{00000000-0005-0000-0000-0000790F0000}"/>
    <cellStyle name="Note 2 3 4" xfId="2114" xr:uid="{00000000-0005-0000-0000-00007A0F0000}"/>
    <cellStyle name="Note 2 3 4 2" xfId="4344" xr:uid="{00000000-0005-0000-0000-00007B0F0000}"/>
    <cellStyle name="Note 2 3 5" xfId="852" xr:uid="{00000000-0005-0000-0000-00007C0F0000}"/>
    <cellStyle name="Note 2 3 5 2" xfId="3082" xr:uid="{00000000-0005-0000-0000-00007D0F0000}"/>
    <cellStyle name="Note 2 3 6" xfId="2641" xr:uid="{00000000-0005-0000-0000-00007E0F0000}"/>
    <cellStyle name="Note 2 4" xfId="201" xr:uid="{00000000-0005-0000-0000-00007F0F0000}"/>
    <cellStyle name="Note 2 4 2" xfId="1062" xr:uid="{00000000-0005-0000-0000-0000800F0000}"/>
    <cellStyle name="Note 2 4 2 2" xfId="3292" xr:uid="{00000000-0005-0000-0000-0000810F0000}"/>
    <cellStyle name="Note 2 4 3" xfId="2431" xr:uid="{00000000-0005-0000-0000-0000820F0000}"/>
    <cellStyle name="Note 2 5" xfId="1483" xr:uid="{00000000-0005-0000-0000-0000830F0000}"/>
    <cellStyle name="Note 2 5 2" xfId="3713" xr:uid="{00000000-0005-0000-0000-0000840F0000}"/>
    <cellStyle name="Note 2 6" xfId="1904" xr:uid="{00000000-0005-0000-0000-0000850F0000}"/>
    <cellStyle name="Note 2 6 2" xfId="4134" xr:uid="{00000000-0005-0000-0000-0000860F0000}"/>
    <cellStyle name="Note 2 7" xfId="642" xr:uid="{00000000-0005-0000-0000-0000870F0000}"/>
    <cellStyle name="Note 2 7 2" xfId="2872" xr:uid="{00000000-0005-0000-0000-0000880F0000}"/>
    <cellStyle name="Note 2 8" xfId="2326" xr:uid="{00000000-0005-0000-0000-0000890F0000}"/>
    <cellStyle name="Note 3" xfId="97" xr:uid="{00000000-0005-0000-0000-00008A0F0000}"/>
    <cellStyle name="Note 3 2" xfId="308" xr:uid="{00000000-0005-0000-0000-00008B0F0000}"/>
    <cellStyle name="Note 3 2 2" xfId="518" xr:uid="{00000000-0005-0000-0000-00008C0F0000}"/>
    <cellStyle name="Note 3 2 2 2" xfId="1379" xr:uid="{00000000-0005-0000-0000-00008D0F0000}"/>
    <cellStyle name="Note 3 2 2 2 2" xfId="3609" xr:uid="{00000000-0005-0000-0000-00008E0F0000}"/>
    <cellStyle name="Note 3 2 2 3" xfId="1800" xr:uid="{00000000-0005-0000-0000-00008F0F0000}"/>
    <cellStyle name="Note 3 2 2 3 2" xfId="4030" xr:uid="{00000000-0005-0000-0000-0000900F0000}"/>
    <cellStyle name="Note 3 2 2 4" xfId="2221" xr:uid="{00000000-0005-0000-0000-0000910F0000}"/>
    <cellStyle name="Note 3 2 2 4 2" xfId="4451" xr:uid="{00000000-0005-0000-0000-0000920F0000}"/>
    <cellStyle name="Note 3 2 2 5" xfId="959" xr:uid="{00000000-0005-0000-0000-0000930F0000}"/>
    <cellStyle name="Note 3 2 2 5 2" xfId="3189" xr:uid="{00000000-0005-0000-0000-0000940F0000}"/>
    <cellStyle name="Note 3 2 2 6" xfId="2748" xr:uid="{00000000-0005-0000-0000-0000950F0000}"/>
    <cellStyle name="Note 3 2 3" xfId="1169" xr:uid="{00000000-0005-0000-0000-0000960F0000}"/>
    <cellStyle name="Note 3 2 3 2" xfId="3399" xr:uid="{00000000-0005-0000-0000-0000970F0000}"/>
    <cellStyle name="Note 3 2 4" xfId="1590" xr:uid="{00000000-0005-0000-0000-0000980F0000}"/>
    <cellStyle name="Note 3 2 4 2" xfId="3820" xr:uid="{00000000-0005-0000-0000-0000990F0000}"/>
    <cellStyle name="Note 3 2 5" xfId="2011" xr:uid="{00000000-0005-0000-0000-00009A0F0000}"/>
    <cellStyle name="Note 3 2 5 2" xfId="4241" xr:uid="{00000000-0005-0000-0000-00009B0F0000}"/>
    <cellStyle name="Note 3 2 6" xfId="749" xr:uid="{00000000-0005-0000-0000-00009C0F0000}"/>
    <cellStyle name="Note 3 2 6 2" xfId="2979" xr:uid="{00000000-0005-0000-0000-00009D0F0000}"/>
    <cellStyle name="Note 3 2 7" xfId="2538" xr:uid="{00000000-0005-0000-0000-00009E0F0000}"/>
    <cellStyle name="Note 3 3" xfId="413" xr:uid="{00000000-0005-0000-0000-00009F0F0000}"/>
    <cellStyle name="Note 3 3 2" xfId="1274" xr:uid="{00000000-0005-0000-0000-0000A00F0000}"/>
    <cellStyle name="Note 3 3 2 2" xfId="3504" xr:uid="{00000000-0005-0000-0000-0000A10F0000}"/>
    <cellStyle name="Note 3 3 3" xfId="1695" xr:uid="{00000000-0005-0000-0000-0000A20F0000}"/>
    <cellStyle name="Note 3 3 3 2" xfId="3925" xr:uid="{00000000-0005-0000-0000-0000A30F0000}"/>
    <cellStyle name="Note 3 3 4" xfId="2116" xr:uid="{00000000-0005-0000-0000-0000A40F0000}"/>
    <cellStyle name="Note 3 3 4 2" xfId="4346" xr:uid="{00000000-0005-0000-0000-0000A50F0000}"/>
    <cellStyle name="Note 3 3 5" xfId="854" xr:uid="{00000000-0005-0000-0000-0000A60F0000}"/>
    <cellStyle name="Note 3 3 5 2" xfId="3084" xr:uid="{00000000-0005-0000-0000-0000A70F0000}"/>
    <cellStyle name="Note 3 3 6" xfId="2643" xr:uid="{00000000-0005-0000-0000-0000A80F0000}"/>
    <cellStyle name="Note 3 4" xfId="203" xr:uid="{00000000-0005-0000-0000-0000A90F0000}"/>
    <cellStyle name="Note 3 4 2" xfId="1064" xr:uid="{00000000-0005-0000-0000-0000AA0F0000}"/>
    <cellStyle name="Note 3 4 2 2" xfId="3294" xr:uid="{00000000-0005-0000-0000-0000AB0F0000}"/>
    <cellStyle name="Note 3 4 3" xfId="2433" xr:uid="{00000000-0005-0000-0000-0000AC0F0000}"/>
    <cellStyle name="Note 3 5" xfId="1485" xr:uid="{00000000-0005-0000-0000-0000AD0F0000}"/>
    <cellStyle name="Note 3 5 2" xfId="3715" xr:uid="{00000000-0005-0000-0000-0000AE0F0000}"/>
    <cellStyle name="Note 3 6" xfId="1906" xr:uid="{00000000-0005-0000-0000-0000AF0F0000}"/>
    <cellStyle name="Note 3 6 2" xfId="4136" xr:uid="{00000000-0005-0000-0000-0000B00F0000}"/>
    <cellStyle name="Note 3 7" xfId="644" xr:uid="{00000000-0005-0000-0000-0000B10F0000}"/>
    <cellStyle name="Note 3 7 2" xfId="2874" xr:uid="{00000000-0005-0000-0000-0000B20F0000}"/>
    <cellStyle name="Note 3 8" xfId="2328" xr:uid="{00000000-0005-0000-0000-0000B30F0000}"/>
    <cellStyle name="Note 4" xfId="117" xr:uid="{00000000-0005-0000-0000-0000B40F0000}"/>
    <cellStyle name="Note 4 2" xfId="328" xr:uid="{00000000-0005-0000-0000-0000B50F0000}"/>
    <cellStyle name="Note 4 2 2" xfId="538" xr:uid="{00000000-0005-0000-0000-0000B60F0000}"/>
    <cellStyle name="Note 4 2 2 2" xfId="1399" xr:uid="{00000000-0005-0000-0000-0000B70F0000}"/>
    <cellStyle name="Note 4 2 2 2 2" xfId="3629" xr:uid="{00000000-0005-0000-0000-0000B80F0000}"/>
    <cellStyle name="Note 4 2 2 3" xfId="1820" xr:uid="{00000000-0005-0000-0000-0000B90F0000}"/>
    <cellStyle name="Note 4 2 2 3 2" xfId="4050" xr:uid="{00000000-0005-0000-0000-0000BA0F0000}"/>
    <cellStyle name="Note 4 2 2 4" xfId="2241" xr:uid="{00000000-0005-0000-0000-0000BB0F0000}"/>
    <cellStyle name="Note 4 2 2 4 2" xfId="4471" xr:uid="{00000000-0005-0000-0000-0000BC0F0000}"/>
    <cellStyle name="Note 4 2 2 5" xfId="979" xr:uid="{00000000-0005-0000-0000-0000BD0F0000}"/>
    <cellStyle name="Note 4 2 2 5 2" xfId="3209" xr:uid="{00000000-0005-0000-0000-0000BE0F0000}"/>
    <cellStyle name="Note 4 2 2 6" xfId="2768" xr:uid="{00000000-0005-0000-0000-0000BF0F0000}"/>
    <cellStyle name="Note 4 2 3" xfId="1189" xr:uid="{00000000-0005-0000-0000-0000C00F0000}"/>
    <cellStyle name="Note 4 2 3 2" xfId="3419" xr:uid="{00000000-0005-0000-0000-0000C10F0000}"/>
    <cellStyle name="Note 4 2 4" xfId="1610" xr:uid="{00000000-0005-0000-0000-0000C20F0000}"/>
    <cellStyle name="Note 4 2 4 2" xfId="3840" xr:uid="{00000000-0005-0000-0000-0000C30F0000}"/>
    <cellStyle name="Note 4 2 5" xfId="2031" xr:uid="{00000000-0005-0000-0000-0000C40F0000}"/>
    <cellStyle name="Note 4 2 5 2" xfId="4261" xr:uid="{00000000-0005-0000-0000-0000C50F0000}"/>
    <cellStyle name="Note 4 2 6" xfId="769" xr:uid="{00000000-0005-0000-0000-0000C60F0000}"/>
    <cellStyle name="Note 4 2 6 2" xfId="2999" xr:uid="{00000000-0005-0000-0000-0000C70F0000}"/>
    <cellStyle name="Note 4 2 7" xfId="2558" xr:uid="{00000000-0005-0000-0000-0000C80F0000}"/>
    <cellStyle name="Note 4 3" xfId="433" xr:uid="{00000000-0005-0000-0000-0000C90F0000}"/>
    <cellStyle name="Note 4 3 2" xfId="1294" xr:uid="{00000000-0005-0000-0000-0000CA0F0000}"/>
    <cellStyle name="Note 4 3 2 2" xfId="3524" xr:uid="{00000000-0005-0000-0000-0000CB0F0000}"/>
    <cellStyle name="Note 4 3 3" xfId="1715" xr:uid="{00000000-0005-0000-0000-0000CC0F0000}"/>
    <cellStyle name="Note 4 3 3 2" xfId="3945" xr:uid="{00000000-0005-0000-0000-0000CD0F0000}"/>
    <cellStyle name="Note 4 3 4" xfId="2136" xr:uid="{00000000-0005-0000-0000-0000CE0F0000}"/>
    <cellStyle name="Note 4 3 4 2" xfId="4366" xr:uid="{00000000-0005-0000-0000-0000CF0F0000}"/>
    <cellStyle name="Note 4 3 5" xfId="874" xr:uid="{00000000-0005-0000-0000-0000D00F0000}"/>
    <cellStyle name="Note 4 3 5 2" xfId="3104" xr:uid="{00000000-0005-0000-0000-0000D10F0000}"/>
    <cellStyle name="Note 4 3 6" xfId="2663" xr:uid="{00000000-0005-0000-0000-0000D20F0000}"/>
    <cellStyle name="Note 4 4" xfId="223" xr:uid="{00000000-0005-0000-0000-0000D30F0000}"/>
    <cellStyle name="Note 4 4 2" xfId="1084" xr:uid="{00000000-0005-0000-0000-0000D40F0000}"/>
    <cellStyle name="Note 4 4 2 2" xfId="3314" xr:uid="{00000000-0005-0000-0000-0000D50F0000}"/>
    <cellStyle name="Note 4 4 3" xfId="2453" xr:uid="{00000000-0005-0000-0000-0000D60F0000}"/>
    <cellStyle name="Note 4 5" xfId="1505" xr:uid="{00000000-0005-0000-0000-0000D70F0000}"/>
    <cellStyle name="Note 4 5 2" xfId="3735" xr:uid="{00000000-0005-0000-0000-0000D80F0000}"/>
    <cellStyle name="Note 4 6" xfId="1926" xr:uid="{00000000-0005-0000-0000-0000D90F0000}"/>
    <cellStyle name="Note 4 6 2" xfId="4156" xr:uid="{00000000-0005-0000-0000-0000DA0F0000}"/>
    <cellStyle name="Note 4 7" xfId="664" xr:uid="{00000000-0005-0000-0000-0000DB0F0000}"/>
    <cellStyle name="Note 4 7 2" xfId="2894" xr:uid="{00000000-0005-0000-0000-0000DC0F0000}"/>
    <cellStyle name="Note 4 8" xfId="2348" xr:uid="{00000000-0005-0000-0000-0000DD0F0000}"/>
    <cellStyle name="Note 5" xfId="559" xr:uid="{00000000-0005-0000-0000-0000DE0F0000}"/>
    <cellStyle name="Note 5 2" xfId="2789" xr:uid="{00000000-0005-0000-0000-0000DF0F0000}"/>
    <cellStyle name="Output" xfId="63" builtinId="21" customBuiltin="1"/>
    <cellStyle name="Percent" xfId="2" builtinId="5"/>
    <cellStyle name="Percent 10" xfId="348" xr:uid="{00000000-0005-0000-0000-0000E20F0000}"/>
    <cellStyle name="Percent 10 2" xfId="1209" xr:uid="{00000000-0005-0000-0000-0000E30F0000}"/>
    <cellStyle name="Percent 10 2 2" xfId="3439" xr:uid="{00000000-0005-0000-0000-0000E40F0000}"/>
    <cellStyle name="Percent 10 3" xfId="1630" xr:uid="{00000000-0005-0000-0000-0000E50F0000}"/>
    <cellStyle name="Percent 10 3 2" xfId="3860" xr:uid="{00000000-0005-0000-0000-0000E60F0000}"/>
    <cellStyle name="Percent 10 4" xfId="2051" xr:uid="{00000000-0005-0000-0000-0000E70F0000}"/>
    <cellStyle name="Percent 10 4 2" xfId="4281" xr:uid="{00000000-0005-0000-0000-0000E80F0000}"/>
    <cellStyle name="Percent 10 5" xfId="789" xr:uid="{00000000-0005-0000-0000-0000E90F0000}"/>
    <cellStyle name="Percent 10 5 2" xfId="3019" xr:uid="{00000000-0005-0000-0000-0000EA0F0000}"/>
    <cellStyle name="Percent 10 6" xfId="2578" xr:uid="{00000000-0005-0000-0000-0000EB0F0000}"/>
    <cellStyle name="Percent 11" xfId="137" xr:uid="{00000000-0005-0000-0000-0000EC0F0000}"/>
    <cellStyle name="Percent 11 2" xfId="999" xr:uid="{00000000-0005-0000-0000-0000ED0F0000}"/>
    <cellStyle name="Percent 11 2 2" xfId="3229" xr:uid="{00000000-0005-0000-0000-0000EE0F0000}"/>
    <cellStyle name="Percent 11 3" xfId="2368" xr:uid="{00000000-0005-0000-0000-0000EF0F0000}"/>
    <cellStyle name="Percent 12" xfId="1420" xr:uid="{00000000-0005-0000-0000-0000F00F0000}"/>
    <cellStyle name="Percent 12 2" xfId="3650" xr:uid="{00000000-0005-0000-0000-0000F10F0000}"/>
    <cellStyle name="Percent 13" xfId="1841" xr:uid="{00000000-0005-0000-0000-0000F20F0000}"/>
    <cellStyle name="Percent 13 2" xfId="4071" xr:uid="{00000000-0005-0000-0000-0000F30F0000}"/>
    <cellStyle name="Percent 14" xfId="579" xr:uid="{00000000-0005-0000-0000-0000F40F0000}"/>
    <cellStyle name="Percent 14 2" xfId="2809" xr:uid="{00000000-0005-0000-0000-0000F50F0000}"/>
    <cellStyle name="Percent 15" xfId="2263" xr:uid="{00000000-0005-0000-0000-0000F60F0000}"/>
    <cellStyle name="Percent 16" xfId="4492" xr:uid="{7C364388-FB9D-4893-B77A-3F4732B11CD8}"/>
    <cellStyle name="Percent 2" xfId="13" xr:uid="{00000000-0005-0000-0000-0000F70F0000}"/>
    <cellStyle name="Percent 3" xfId="14" xr:uid="{00000000-0005-0000-0000-0000F80F0000}"/>
    <cellStyle name="Percent 3 10" xfId="1848" xr:uid="{00000000-0005-0000-0000-0000F90F0000}"/>
    <cellStyle name="Percent 3 10 2" xfId="4078" xr:uid="{00000000-0005-0000-0000-0000FA0F0000}"/>
    <cellStyle name="Percent 3 11" xfId="586" xr:uid="{00000000-0005-0000-0000-0000FB0F0000}"/>
    <cellStyle name="Percent 3 11 2" xfId="2816" xr:uid="{00000000-0005-0000-0000-0000FC0F0000}"/>
    <cellStyle name="Percent 3 12" xfId="2270" xr:uid="{00000000-0005-0000-0000-0000FD0F0000}"/>
    <cellStyle name="Percent 3 2" xfId="25" xr:uid="{00000000-0005-0000-0000-0000FE0F0000}"/>
    <cellStyle name="Percent 3 2 2" xfId="258" xr:uid="{00000000-0005-0000-0000-0000FF0F0000}"/>
    <cellStyle name="Percent 3 2 2 2" xfId="468" xr:uid="{00000000-0005-0000-0000-000000100000}"/>
    <cellStyle name="Percent 3 2 2 2 2" xfId="1329" xr:uid="{00000000-0005-0000-0000-000001100000}"/>
    <cellStyle name="Percent 3 2 2 2 2 2" xfId="3559" xr:uid="{00000000-0005-0000-0000-000002100000}"/>
    <cellStyle name="Percent 3 2 2 2 3" xfId="1750" xr:uid="{00000000-0005-0000-0000-000003100000}"/>
    <cellStyle name="Percent 3 2 2 2 3 2" xfId="3980" xr:uid="{00000000-0005-0000-0000-000004100000}"/>
    <cellStyle name="Percent 3 2 2 2 4" xfId="2171" xr:uid="{00000000-0005-0000-0000-000005100000}"/>
    <cellStyle name="Percent 3 2 2 2 4 2" xfId="4401" xr:uid="{00000000-0005-0000-0000-000006100000}"/>
    <cellStyle name="Percent 3 2 2 2 5" xfId="909" xr:uid="{00000000-0005-0000-0000-000007100000}"/>
    <cellStyle name="Percent 3 2 2 2 5 2" xfId="3139" xr:uid="{00000000-0005-0000-0000-000008100000}"/>
    <cellStyle name="Percent 3 2 2 2 6" xfId="2698" xr:uid="{00000000-0005-0000-0000-000009100000}"/>
    <cellStyle name="Percent 3 2 2 3" xfId="1119" xr:uid="{00000000-0005-0000-0000-00000A100000}"/>
    <cellStyle name="Percent 3 2 2 3 2" xfId="3349" xr:uid="{00000000-0005-0000-0000-00000B100000}"/>
    <cellStyle name="Percent 3 2 2 4" xfId="1540" xr:uid="{00000000-0005-0000-0000-00000C100000}"/>
    <cellStyle name="Percent 3 2 2 4 2" xfId="3770" xr:uid="{00000000-0005-0000-0000-00000D100000}"/>
    <cellStyle name="Percent 3 2 2 5" xfId="1961" xr:uid="{00000000-0005-0000-0000-00000E100000}"/>
    <cellStyle name="Percent 3 2 2 5 2" xfId="4191" xr:uid="{00000000-0005-0000-0000-00000F100000}"/>
    <cellStyle name="Percent 3 2 2 6" xfId="699" xr:uid="{00000000-0005-0000-0000-000010100000}"/>
    <cellStyle name="Percent 3 2 2 6 2" xfId="2929" xr:uid="{00000000-0005-0000-0000-000011100000}"/>
    <cellStyle name="Percent 3 2 2 7" xfId="2488" xr:uid="{00000000-0005-0000-0000-000012100000}"/>
    <cellStyle name="Percent 3 2 3" xfId="363" xr:uid="{00000000-0005-0000-0000-000013100000}"/>
    <cellStyle name="Percent 3 2 3 2" xfId="1224" xr:uid="{00000000-0005-0000-0000-000014100000}"/>
    <cellStyle name="Percent 3 2 3 2 2" xfId="3454" xr:uid="{00000000-0005-0000-0000-000015100000}"/>
    <cellStyle name="Percent 3 2 3 3" xfId="1645" xr:uid="{00000000-0005-0000-0000-000016100000}"/>
    <cellStyle name="Percent 3 2 3 3 2" xfId="3875" xr:uid="{00000000-0005-0000-0000-000017100000}"/>
    <cellStyle name="Percent 3 2 3 4" xfId="2066" xr:uid="{00000000-0005-0000-0000-000018100000}"/>
    <cellStyle name="Percent 3 2 3 4 2" xfId="4296" xr:uid="{00000000-0005-0000-0000-000019100000}"/>
    <cellStyle name="Percent 3 2 3 5" xfId="804" xr:uid="{00000000-0005-0000-0000-00001A100000}"/>
    <cellStyle name="Percent 3 2 3 5 2" xfId="3034" xr:uid="{00000000-0005-0000-0000-00001B100000}"/>
    <cellStyle name="Percent 3 2 3 6" xfId="2593" xr:uid="{00000000-0005-0000-0000-00001C100000}"/>
    <cellStyle name="Percent 3 2 4" xfId="153" xr:uid="{00000000-0005-0000-0000-00001D100000}"/>
    <cellStyle name="Percent 3 2 4 2" xfId="1014" xr:uid="{00000000-0005-0000-0000-00001E100000}"/>
    <cellStyle name="Percent 3 2 4 2 2" xfId="3244" xr:uid="{00000000-0005-0000-0000-00001F100000}"/>
    <cellStyle name="Percent 3 2 4 3" xfId="2383" xr:uid="{00000000-0005-0000-0000-000020100000}"/>
    <cellStyle name="Percent 3 2 5" xfId="1435" xr:uid="{00000000-0005-0000-0000-000021100000}"/>
    <cellStyle name="Percent 3 2 5 2" xfId="3665" xr:uid="{00000000-0005-0000-0000-000022100000}"/>
    <cellStyle name="Percent 3 2 6" xfId="1856" xr:uid="{00000000-0005-0000-0000-000023100000}"/>
    <cellStyle name="Percent 3 2 6 2" xfId="4086" xr:uid="{00000000-0005-0000-0000-000024100000}"/>
    <cellStyle name="Percent 3 2 7" xfId="594" xr:uid="{00000000-0005-0000-0000-000025100000}"/>
    <cellStyle name="Percent 3 2 7 2" xfId="2824" xr:uid="{00000000-0005-0000-0000-000026100000}"/>
    <cellStyle name="Percent 3 2 8" xfId="2278" xr:uid="{00000000-0005-0000-0000-000027100000}"/>
    <cellStyle name="Percent 3 3" xfId="34" xr:uid="{00000000-0005-0000-0000-000028100000}"/>
    <cellStyle name="Percent 3 3 2" xfId="267" xr:uid="{00000000-0005-0000-0000-000029100000}"/>
    <cellStyle name="Percent 3 3 2 2" xfId="477" xr:uid="{00000000-0005-0000-0000-00002A100000}"/>
    <cellStyle name="Percent 3 3 2 2 2" xfId="1338" xr:uid="{00000000-0005-0000-0000-00002B100000}"/>
    <cellStyle name="Percent 3 3 2 2 2 2" xfId="3568" xr:uid="{00000000-0005-0000-0000-00002C100000}"/>
    <cellStyle name="Percent 3 3 2 2 3" xfId="1759" xr:uid="{00000000-0005-0000-0000-00002D100000}"/>
    <cellStyle name="Percent 3 3 2 2 3 2" xfId="3989" xr:uid="{00000000-0005-0000-0000-00002E100000}"/>
    <cellStyle name="Percent 3 3 2 2 4" xfId="2180" xr:uid="{00000000-0005-0000-0000-00002F100000}"/>
    <cellStyle name="Percent 3 3 2 2 4 2" xfId="4410" xr:uid="{00000000-0005-0000-0000-000030100000}"/>
    <cellStyle name="Percent 3 3 2 2 5" xfId="918" xr:uid="{00000000-0005-0000-0000-000031100000}"/>
    <cellStyle name="Percent 3 3 2 2 5 2" xfId="3148" xr:uid="{00000000-0005-0000-0000-000032100000}"/>
    <cellStyle name="Percent 3 3 2 2 6" xfId="2707" xr:uid="{00000000-0005-0000-0000-000033100000}"/>
    <cellStyle name="Percent 3 3 2 3" xfId="1128" xr:uid="{00000000-0005-0000-0000-000034100000}"/>
    <cellStyle name="Percent 3 3 2 3 2" xfId="3358" xr:uid="{00000000-0005-0000-0000-000035100000}"/>
    <cellStyle name="Percent 3 3 2 4" xfId="1549" xr:uid="{00000000-0005-0000-0000-000036100000}"/>
    <cellStyle name="Percent 3 3 2 4 2" xfId="3779" xr:uid="{00000000-0005-0000-0000-000037100000}"/>
    <cellStyle name="Percent 3 3 2 5" xfId="1970" xr:uid="{00000000-0005-0000-0000-000038100000}"/>
    <cellStyle name="Percent 3 3 2 5 2" xfId="4200" xr:uid="{00000000-0005-0000-0000-000039100000}"/>
    <cellStyle name="Percent 3 3 2 6" xfId="708" xr:uid="{00000000-0005-0000-0000-00003A100000}"/>
    <cellStyle name="Percent 3 3 2 6 2" xfId="2938" xr:uid="{00000000-0005-0000-0000-00003B100000}"/>
    <cellStyle name="Percent 3 3 2 7" xfId="2497" xr:uid="{00000000-0005-0000-0000-00003C100000}"/>
    <cellStyle name="Percent 3 3 3" xfId="372" xr:uid="{00000000-0005-0000-0000-00003D100000}"/>
    <cellStyle name="Percent 3 3 3 2" xfId="1233" xr:uid="{00000000-0005-0000-0000-00003E100000}"/>
    <cellStyle name="Percent 3 3 3 2 2" xfId="3463" xr:uid="{00000000-0005-0000-0000-00003F100000}"/>
    <cellStyle name="Percent 3 3 3 3" xfId="1654" xr:uid="{00000000-0005-0000-0000-000040100000}"/>
    <cellStyle name="Percent 3 3 3 3 2" xfId="3884" xr:uid="{00000000-0005-0000-0000-000041100000}"/>
    <cellStyle name="Percent 3 3 3 4" xfId="2075" xr:uid="{00000000-0005-0000-0000-000042100000}"/>
    <cellStyle name="Percent 3 3 3 4 2" xfId="4305" xr:uid="{00000000-0005-0000-0000-000043100000}"/>
    <cellStyle name="Percent 3 3 3 5" xfId="813" xr:uid="{00000000-0005-0000-0000-000044100000}"/>
    <cellStyle name="Percent 3 3 3 5 2" xfId="3043" xr:uid="{00000000-0005-0000-0000-000045100000}"/>
    <cellStyle name="Percent 3 3 3 6" xfId="2602" xr:uid="{00000000-0005-0000-0000-000046100000}"/>
    <cellStyle name="Percent 3 3 4" xfId="162" xr:uid="{00000000-0005-0000-0000-000047100000}"/>
    <cellStyle name="Percent 3 3 4 2" xfId="1023" xr:uid="{00000000-0005-0000-0000-000048100000}"/>
    <cellStyle name="Percent 3 3 4 2 2" xfId="3253" xr:uid="{00000000-0005-0000-0000-000049100000}"/>
    <cellStyle name="Percent 3 3 4 3" xfId="2392" xr:uid="{00000000-0005-0000-0000-00004A100000}"/>
    <cellStyle name="Percent 3 3 5" xfId="1444" xr:uid="{00000000-0005-0000-0000-00004B100000}"/>
    <cellStyle name="Percent 3 3 5 2" xfId="3674" xr:uid="{00000000-0005-0000-0000-00004C100000}"/>
    <cellStyle name="Percent 3 3 6" xfId="1865" xr:uid="{00000000-0005-0000-0000-00004D100000}"/>
    <cellStyle name="Percent 3 3 6 2" xfId="4095" xr:uid="{00000000-0005-0000-0000-00004E100000}"/>
    <cellStyle name="Percent 3 3 7" xfId="603" xr:uid="{00000000-0005-0000-0000-00004F100000}"/>
    <cellStyle name="Percent 3 3 7 2" xfId="2833" xr:uid="{00000000-0005-0000-0000-000050100000}"/>
    <cellStyle name="Percent 3 3 8" xfId="2287" xr:uid="{00000000-0005-0000-0000-000051100000}"/>
    <cellStyle name="Percent 3 4" xfId="43" xr:uid="{00000000-0005-0000-0000-000052100000}"/>
    <cellStyle name="Percent 3 4 2" xfId="276" xr:uid="{00000000-0005-0000-0000-000053100000}"/>
    <cellStyle name="Percent 3 4 2 2" xfId="486" xr:uid="{00000000-0005-0000-0000-000054100000}"/>
    <cellStyle name="Percent 3 4 2 2 2" xfId="1347" xr:uid="{00000000-0005-0000-0000-000055100000}"/>
    <cellStyle name="Percent 3 4 2 2 2 2" xfId="3577" xr:uid="{00000000-0005-0000-0000-000056100000}"/>
    <cellStyle name="Percent 3 4 2 2 3" xfId="1768" xr:uid="{00000000-0005-0000-0000-000057100000}"/>
    <cellStyle name="Percent 3 4 2 2 3 2" xfId="3998" xr:uid="{00000000-0005-0000-0000-000058100000}"/>
    <cellStyle name="Percent 3 4 2 2 4" xfId="2189" xr:uid="{00000000-0005-0000-0000-000059100000}"/>
    <cellStyle name="Percent 3 4 2 2 4 2" xfId="4419" xr:uid="{00000000-0005-0000-0000-00005A100000}"/>
    <cellStyle name="Percent 3 4 2 2 5" xfId="927" xr:uid="{00000000-0005-0000-0000-00005B100000}"/>
    <cellStyle name="Percent 3 4 2 2 5 2" xfId="3157" xr:uid="{00000000-0005-0000-0000-00005C100000}"/>
    <cellStyle name="Percent 3 4 2 2 6" xfId="2716" xr:uid="{00000000-0005-0000-0000-00005D100000}"/>
    <cellStyle name="Percent 3 4 2 3" xfId="1137" xr:uid="{00000000-0005-0000-0000-00005E100000}"/>
    <cellStyle name="Percent 3 4 2 3 2" xfId="3367" xr:uid="{00000000-0005-0000-0000-00005F100000}"/>
    <cellStyle name="Percent 3 4 2 4" xfId="1558" xr:uid="{00000000-0005-0000-0000-000060100000}"/>
    <cellStyle name="Percent 3 4 2 4 2" xfId="3788" xr:uid="{00000000-0005-0000-0000-000061100000}"/>
    <cellStyle name="Percent 3 4 2 5" xfId="1979" xr:uid="{00000000-0005-0000-0000-000062100000}"/>
    <cellStyle name="Percent 3 4 2 5 2" xfId="4209" xr:uid="{00000000-0005-0000-0000-000063100000}"/>
    <cellStyle name="Percent 3 4 2 6" xfId="717" xr:uid="{00000000-0005-0000-0000-000064100000}"/>
    <cellStyle name="Percent 3 4 2 6 2" xfId="2947" xr:uid="{00000000-0005-0000-0000-000065100000}"/>
    <cellStyle name="Percent 3 4 2 7" xfId="2506" xr:uid="{00000000-0005-0000-0000-000066100000}"/>
    <cellStyle name="Percent 3 4 3" xfId="381" xr:uid="{00000000-0005-0000-0000-000067100000}"/>
    <cellStyle name="Percent 3 4 3 2" xfId="1242" xr:uid="{00000000-0005-0000-0000-000068100000}"/>
    <cellStyle name="Percent 3 4 3 2 2" xfId="3472" xr:uid="{00000000-0005-0000-0000-000069100000}"/>
    <cellStyle name="Percent 3 4 3 3" xfId="1663" xr:uid="{00000000-0005-0000-0000-00006A100000}"/>
    <cellStyle name="Percent 3 4 3 3 2" xfId="3893" xr:uid="{00000000-0005-0000-0000-00006B100000}"/>
    <cellStyle name="Percent 3 4 3 4" xfId="2084" xr:uid="{00000000-0005-0000-0000-00006C100000}"/>
    <cellStyle name="Percent 3 4 3 4 2" xfId="4314" xr:uid="{00000000-0005-0000-0000-00006D100000}"/>
    <cellStyle name="Percent 3 4 3 5" xfId="822" xr:uid="{00000000-0005-0000-0000-00006E100000}"/>
    <cellStyle name="Percent 3 4 3 5 2" xfId="3052" xr:uid="{00000000-0005-0000-0000-00006F100000}"/>
    <cellStyle name="Percent 3 4 3 6" xfId="2611" xr:uid="{00000000-0005-0000-0000-000070100000}"/>
    <cellStyle name="Percent 3 4 4" xfId="171" xr:uid="{00000000-0005-0000-0000-000071100000}"/>
    <cellStyle name="Percent 3 4 4 2" xfId="1032" xr:uid="{00000000-0005-0000-0000-000072100000}"/>
    <cellStyle name="Percent 3 4 4 2 2" xfId="3262" xr:uid="{00000000-0005-0000-0000-000073100000}"/>
    <cellStyle name="Percent 3 4 4 3" xfId="2401" xr:uid="{00000000-0005-0000-0000-000074100000}"/>
    <cellStyle name="Percent 3 4 5" xfId="1453" xr:uid="{00000000-0005-0000-0000-000075100000}"/>
    <cellStyle name="Percent 3 4 5 2" xfId="3683" xr:uid="{00000000-0005-0000-0000-000076100000}"/>
    <cellStyle name="Percent 3 4 6" xfId="1874" xr:uid="{00000000-0005-0000-0000-000077100000}"/>
    <cellStyle name="Percent 3 4 6 2" xfId="4104" xr:uid="{00000000-0005-0000-0000-000078100000}"/>
    <cellStyle name="Percent 3 4 7" xfId="612" xr:uid="{00000000-0005-0000-0000-000079100000}"/>
    <cellStyle name="Percent 3 4 7 2" xfId="2842" xr:uid="{00000000-0005-0000-0000-00007A100000}"/>
    <cellStyle name="Percent 3 4 8" xfId="2296" xr:uid="{00000000-0005-0000-0000-00007B100000}"/>
    <cellStyle name="Percent 3 5" xfId="52" xr:uid="{00000000-0005-0000-0000-00007C100000}"/>
    <cellStyle name="Percent 3 5 2" xfId="285" xr:uid="{00000000-0005-0000-0000-00007D100000}"/>
    <cellStyle name="Percent 3 5 2 2" xfId="495" xr:uid="{00000000-0005-0000-0000-00007E100000}"/>
    <cellStyle name="Percent 3 5 2 2 2" xfId="1356" xr:uid="{00000000-0005-0000-0000-00007F100000}"/>
    <cellStyle name="Percent 3 5 2 2 2 2" xfId="3586" xr:uid="{00000000-0005-0000-0000-000080100000}"/>
    <cellStyle name="Percent 3 5 2 2 3" xfId="1777" xr:uid="{00000000-0005-0000-0000-000081100000}"/>
    <cellStyle name="Percent 3 5 2 2 3 2" xfId="4007" xr:uid="{00000000-0005-0000-0000-000082100000}"/>
    <cellStyle name="Percent 3 5 2 2 4" xfId="2198" xr:uid="{00000000-0005-0000-0000-000083100000}"/>
    <cellStyle name="Percent 3 5 2 2 4 2" xfId="4428" xr:uid="{00000000-0005-0000-0000-000084100000}"/>
    <cellStyle name="Percent 3 5 2 2 5" xfId="936" xr:uid="{00000000-0005-0000-0000-000085100000}"/>
    <cellStyle name="Percent 3 5 2 2 5 2" xfId="3166" xr:uid="{00000000-0005-0000-0000-000086100000}"/>
    <cellStyle name="Percent 3 5 2 2 6" xfId="2725" xr:uid="{00000000-0005-0000-0000-000087100000}"/>
    <cellStyle name="Percent 3 5 2 3" xfId="1146" xr:uid="{00000000-0005-0000-0000-000088100000}"/>
    <cellStyle name="Percent 3 5 2 3 2" xfId="3376" xr:uid="{00000000-0005-0000-0000-000089100000}"/>
    <cellStyle name="Percent 3 5 2 4" xfId="1567" xr:uid="{00000000-0005-0000-0000-00008A100000}"/>
    <cellStyle name="Percent 3 5 2 4 2" xfId="3797" xr:uid="{00000000-0005-0000-0000-00008B100000}"/>
    <cellStyle name="Percent 3 5 2 5" xfId="1988" xr:uid="{00000000-0005-0000-0000-00008C100000}"/>
    <cellStyle name="Percent 3 5 2 5 2" xfId="4218" xr:uid="{00000000-0005-0000-0000-00008D100000}"/>
    <cellStyle name="Percent 3 5 2 6" xfId="726" xr:uid="{00000000-0005-0000-0000-00008E100000}"/>
    <cellStyle name="Percent 3 5 2 6 2" xfId="2956" xr:uid="{00000000-0005-0000-0000-00008F100000}"/>
    <cellStyle name="Percent 3 5 2 7" xfId="2515" xr:uid="{00000000-0005-0000-0000-000090100000}"/>
    <cellStyle name="Percent 3 5 3" xfId="390" xr:uid="{00000000-0005-0000-0000-000091100000}"/>
    <cellStyle name="Percent 3 5 3 2" xfId="1251" xr:uid="{00000000-0005-0000-0000-000092100000}"/>
    <cellStyle name="Percent 3 5 3 2 2" xfId="3481" xr:uid="{00000000-0005-0000-0000-000093100000}"/>
    <cellStyle name="Percent 3 5 3 3" xfId="1672" xr:uid="{00000000-0005-0000-0000-000094100000}"/>
    <cellStyle name="Percent 3 5 3 3 2" xfId="3902" xr:uid="{00000000-0005-0000-0000-000095100000}"/>
    <cellStyle name="Percent 3 5 3 4" xfId="2093" xr:uid="{00000000-0005-0000-0000-000096100000}"/>
    <cellStyle name="Percent 3 5 3 4 2" xfId="4323" xr:uid="{00000000-0005-0000-0000-000097100000}"/>
    <cellStyle name="Percent 3 5 3 5" xfId="831" xr:uid="{00000000-0005-0000-0000-000098100000}"/>
    <cellStyle name="Percent 3 5 3 5 2" xfId="3061" xr:uid="{00000000-0005-0000-0000-000099100000}"/>
    <cellStyle name="Percent 3 5 3 6" xfId="2620" xr:uid="{00000000-0005-0000-0000-00009A100000}"/>
    <cellStyle name="Percent 3 5 4" xfId="180" xr:uid="{00000000-0005-0000-0000-00009B100000}"/>
    <cellStyle name="Percent 3 5 4 2" xfId="1041" xr:uid="{00000000-0005-0000-0000-00009C100000}"/>
    <cellStyle name="Percent 3 5 4 2 2" xfId="3271" xr:uid="{00000000-0005-0000-0000-00009D100000}"/>
    <cellStyle name="Percent 3 5 4 3" xfId="2410" xr:uid="{00000000-0005-0000-0000-00009E100000}"/>
    <cellStyle name="Percent 3 5 5" xfId="1462" xr:uid="{00000000-0005-0000-0000-00009F100000}"/>
    <cellStyle name="Percent 3 5 5 2" xfId="3692" xr:uid="{00000000-0005-0000-0000-0000A0100000}"/>
    <cellStyle name="Percent 3 5 6" xfId="1883" xr:uid="{00000000-0005-0000-0000-0000A1100000}"/>
    <cellStyle name="Percent 3 5 6 2" xfId="4113" xr:uid="{00000000-0005-0000-0000-0000A2100000}"/>
    <cellStyle name="Percent 3 5 7" xfId="621" xr:uid="{00000000-0005-0000-0000-0000A3100000}"/>
    <cellStyle name="Percent 3 5 7 2" xfId="2851" xr:uid="{00000000-0005-0000-0000-0000A4100000}"/>
    <cellStyle name="Percent 3 5 8" xfId="2305" xr:uid="{00000000-0005-0000-0000-0000A5100000}"/>
    <cellStyle name="Percent 3 6" xfId="250" xr:uid="{00000000-0005-0000-0000-0000A6100000}"/>
    <cellStyle name="Percent 3 6 2" xfId="460" xr:uid="{00000000-0005-0000-0000-0000A7100000}"/>
    <cellStyle name="Percent 3 6 2 2" xfId="1321" xr:uid="{00000000-0005-0000-0000-0000A8100000}"/>
    <cellStyle name="Percent 3 6 2 2 2" xfId="3551" xr:uid="{00000000-0005-0000-0000-0000A9100000}"/>
    <cellStyle name="Percent 3 6 2 3" xfId="1742" xr:uid="{00000000-0005-0000-0000-0000AA100000}"/>
    <cellStyle name="Percent 3 6 2 3 2" xfId="3972" xr:uid="{00000000-0005-0000-0000-0000AB100000}"/>
    <cellStyle name="Percent 3 6 2 4" xfId="2163" xr:uid="{00000000-0005-0000-0000-0000AC100000}"/>
    <cellStyle name="Percent 3 6 2 4 2" xfId="4393" xr:uid="{00000000-0005-0000-0000-0000AD100000}"/>
    <cellStyle name="Percent 3 6 2 5" xfId="901" xr:uid="{00000000-0005-0000-0000-0000AE100000}"/>
    <cellStyle name="Percent 3 6 2 5 2" xfId="3131" xr:uid="{00000000-0005-0000-0000-0000AF100000}"/>
    <cellStyle name="Percent 3 6 2 6" xfId="2690" xr:uid="{00000000-0005-0000-0000-0000B0100000}"/>
    <cellStyle name="Percent 3 6 3" xfId="1111" xr:uid="{00000000-0005-0000-0000-0000B1100000}"/>
    <cellStyle name="Percent 3 6 3 2" xfId="3341" xr:uid="{00000000-0005-0000-0000-0000B2100000}"/>
    <cellStyle name="Percent 3 6 4" xfId="1532" xr:uid="{00000000-0005-0000-0000-0000B3100000}"/>
    <cellStyle name="Percent 3 6 4 2" xfId="3762" xr:uid="{00000000-0005-0000-0000-0000B4100000}"/>
    <cellStyle name="Percent 3 6 5" xfId="1953" xr:uid="{00000000-0005-0000-0000-0000B5100000}"/>
    <cellStyle name="Percent 3 6 5 2" xfId="4183" xr:uid="{00000000-0005-0000-0000-0000B6100000}"/>
    <cellStyle name="Percent 3 6 6" xfId="691" xr:uid="{00000000-0005-0000-0000-0000B7100000}"/>
    <cellStyle name="Percent 3 6 6 2" xfId="2921" xr:uid="{00000000-0005-0000-0000-0000B8100000}"/>
    <cellStyle name="Percent 3 6 7" xfId="2480" xr:uid="{00000000-0005-0000-0000-0000B9100000}"/>
    <cellStyle name="Percent 3 7" xfId="355" xr:uid="{00000000-0005-0000-0000-0000BA100000}"/>
    <cellStyle name="Percent 3 7 2" xfId="1216" xr:uid="{00000000-0005-0000-0000-0000BB100000}"/>
    <cellStyle name="Percent 3 7 2 2" xfId="3446" xr:uid="{00000000-0005-0000-0000-0000BC100000}"/>
    <cellStyle name="Percent 3 7 3" xfId="1637" xr:uid="{00000000-0005-0000-0000-0000BD100000}"/>
    <cellStyle name="Percent 3 7 3 2" xfId="3867" xr:uid="{00000000-0005-0000-0000-0000BE100000}"/>
    <cellStyle name="Percent 3 7 4" xfId="2058" xr:uid="{00000000-0005-0000-0000-0000BF100000}"/>
    <cellStyle name="Percent 3 7 4 2" xfId="4288" xr:uid="{00000000-0005-0000-0000-0000C0100000}"/>
    <cellStyle name="Percent 3 7 5" xfId="796" xr:uid="{00000000-0005-0000-0000-0000C1100000}"/>
    <cellStyle name="Percent 3 7 5 2" xfId="3026" xr:uid="{00000000-0005-0000-0000-0000C2100000}"/>
    <cellStyle name="Percent 3 7 6" xfId="2585" xr:uid="{00000000-0005-0000-0000-0000C3100000}"/>
    <cellStyle name="Percent 3 8" xfId="145" xr:uid="{00000000-0005-0000-0000-0000C4100000}"/>
    <cellStyle name="Percent 3 8 2" xfId="1006" xr:uid="{00000000-0005-0000-0000-0000C5100000}"/>
    <cellStyle name="Percent 3 8 2 2" xfId="3236" xr:uid="{00000000-0005-0000-0000-0000C6100000}"/>
    <cellStyle name="Percent 3 8 3" xfId="2375" xr:uid="{00000000-0005-0000-0000-0000C7100000}"/>
    <cellStyle name="Percent 3 9" xfId="1427" xr:uid="{00000000-0005-0000-0000-0000C8100000}"/>
    <cellStyle name="Percent 3 9 2" xfId="3657" xr:uid="{00000000-0005-0000-0000-0000C9100000}"/>
    <cellStyle name="Percent 35" xfId="4495" xr:uid="{0C35B701-43A4-4CAE-94FE-3FEE537BFEC5}"/>
    <cellStyle name="Percent 4" xfId="15" xr:uid="{00000000-0005-0000-0000-0000CA100000}"/>
    <cellStyle name="Percent 4 2" xfId="18" xr:uid="{00000000-0005-0000-0000-0000CB100000}"/>
    <cellStyle name="Percent 43" xfId="4496" xr:uid="{C4B333FF-6F17-464D-B448-690FD39E5DB0}"/>
    <cellStyle name="Percent 5" xfId="21" xr:uid="{00000000-0005-0000-0000-0000CC100000}"/>
    <cellStyle name="Percent 5 2" xfId="254" xr:uid="{00000000-0005-0000-0000-0000CD100000}"/>
    <cellStyle name="Percent 5 2 2" xfId="464" xr:uid="{00000000-0005-0000-0000-0000CE100000}"/>
    <cellStyle name="Percent 5 2 2 2" xfId="1325" xr:uid="{00000000-0005-0000-0000-0000CF100000}"/>
    <cellStyle name="Percent 5 2 2 2 2" xfId="3555" xr:uid="{00000000-0005-0000-0000-0000D0100000}"/>
    <cellStyle name="Percent 5 2 2 3" xfId="1746" xr:uid="{00000000-0005-0000-0000-0000D1100000}"/>
    <cellStyle name="Percent 5 2 2 3 2" xfId="3976" xr:uid="{00000000-0005-0000-0000-0000D2100000}"/>
    <cellStyle name="Percent 5 2 2 4" xfId="2167" xr:uid="{00000000-0005-0000-0000-0000D3100000}"/>
    <cellStyle name="Percent 5 2 2 4 2" xfId="4397" xr:uid="{00000000-0005-0000-0000-0000D4100000}"/>
    <cellStyle name="Percent 5 2 2 5" xfId="905" xr:uid="{00000000-0005-0000-0000-0000D5100000}"/>
    <cellStyle name="Percent 5 2 2 5 2" xfId="3135" xr:uid="{00000000-0005-0000-0000-0000D6100000}"/>
    <cellStyle name="Percent 5 2 2 6" xfId="2694" xr:uid="{00000000-0005-0000-0000-0000D7100000}"/>
    <cellStyle name="Percent 5 2 3" xfId="1115" xr:uid="{00000000-0005-0000-0000-0000D8100000}"/>
    <cellStyle name="Percent 5 2 3 2" xfId="3345" xr:uid="{00000000-0005-0000-0000-0000D9100000}"/>
    <cellStyle name="Percent 5 2 4" xfId="1536" xr:uid="{00000000-0005-0000-0000-0000DA100000}"/>
    <cellStyle name="Percent 5 2 4 2" xfId="3766" xr:uid="{00000000-0005-0000-0000-0000DB100000}"/>
    <cellStyle name="Percent 5 2 5" xfId="1957" xr:uid="{00000000-0005-0000-0000-0000DC100000}"/>
    <cellStyle name="Percent 5 2 5 2" xfId="4187" xr:uid="{00000000-0005-0000-0000-0000DD100000}"/>
    <cellStyle name="Percent 5 2 6" xfId="695" xr:uid="{00000000-0005-0000-0000-0000DE100000}"/>
    <cellStyle name="Percent 5 2 6 2" xfId="2925" xr:uid="{00000000-0005-0000-0000-0000DF100000}"/>
    <cellStyle name="Percent 5 2 7" xfId="2484" xr:uid="{00000000-0005-0000-0000-0000E0100000}"/>
    <cellStyle name="Percent 5 3" xfId="359" xr:uid="{00000000-0005-0000-0000-0000E1100000}"/>
    <cellStyle name="Percent 5 3 2" xfId="1220" xr:uid="{00000000-0005-0000-0000-0000E2100000}"/>
    <cellStyle name="Percent 5 3 2 2" xfId="3450" xr:uid="{00000000-0005-0000-0000-0000E3100000}"/>
    <cellStyle name="Percent 5 3 3" xfId="1641" xr:uid="{00000000-0005-0000-0000-0000E4100000}"/>
    <cellStyle name="Percent 5 3 3 2" xfId="3871" xr:uid="{00000000-0005-0000-0000-0000E5100000}"/>
    <cellStyle name="Percent 5 3 4" xfId="2062" xr:uid="{00000000-0005-0000-0000-0000E6100000}"/>
    <cellStyle name="Percent 5 3 4 2" xfId="4292" xr:uid="{00000000-0005-0000-0000-0000E7100000}"/>
    <cellStyle name="Percent 5 3 5" xfId="800" xr:uid="{00000000-0005-0000-0000-0000E8100000}"/>
    <cellStyle name="Percent 5 3 5 2" xfId="3030" xr:uid="{00000000-0005-0000-0000-0000E9100000}"/>
    <cellStyle name="Percent 5 3 6" xfId="2589" xr:uid="{00000000-0005-0000-0000-0000EA100000}"/>
    <cellStyle name="Percent 5 4" xfId="149" xr:uid="{00000000-0005-0000-0000-0000EB100000}"/>
    <cellStyle name="Percent 5 4 2" xfId="1010" xr:uid="{00000000-0005-0000-0000-0000EC100000}"/>
    <cellStyle name="Percent 5 4 2 2" xfId="3240" xr:uid="{00000000-0005-0000-0000-0000ED100000}"/>
    <cellStyle name="Percent 5 4 3" xfId="2379" xr:uid="{00000000-0005-0000-0000-0000EE100000}"/>
    <cellStyle name="Percent 5 5" xfId="1431" xr:uid="{00000000-0005-0000-0000-0000EF100000}"/>
    <cellStyle name="Percent 5 5 2" xfId="3661" xr:uid="{00000000-0005-0000-0000-0000F0100000}"/>
    <cellStyle name="Percent 5 6" xfId="1852" xr:uid="{00000000-0005-0000-0000-0000F1100000}"/>
    <cellStyle name="Percent 5 6 2" xfId="4082" xr:uid="{00000000-0005-0000-0000-0000F2100000}"/>
    <cellStyle name="Percent 5 7" xfId="590" xr:uid="{00000000-0005-0000-0000-0000F3100000}"/>
    <cellStyle name="Percent 5 7 2" xfId="2820" xr:uid="{00000000-0005-0000-0000-0000F4100000}"/>
    <cellStyle name="Percent 5 8" xfId="2274" xr:uid="{00000000-0005-0000-0000-0000F5100000}"/>
    <cellStyle name="Percent 6" xfId="30" xr:uid="{00000000-0005-0000-0000-0000F6100000}"/>
    <cellStyle name="Percent 6 2" xfId="263" xr:uid="{00000000-0005-0000-0000-0000F7100000}"/>
    <cellStyle name="Percent 6 2 2" xfId="473" xr:uid="{00000000-0005-0000-0000-0000F8100000}"/>
    <cellStyle name="Percent 6 2 2 2" xfId="1334" xr:uid="{00000000-0005-0000-0000-0000F9100000}"/>
    <cellStyle name="Percent 6 2 2 2 2" xfId="3564" xr:uid="{00000000-0005-0000-0000-0000FA100000}"/>
    <cellStyle name="Percent 6 2 2 3" xfId="1755" xr:uid="{00000000-0005-0000-0000-0000FB100000}"/>
    <cellStyle name="Percent 6 2 2 3 2" xfId="3985" xr:uid="{00000000-0005-0000-0000-0000FC100000}"/>
    <cellStyle name="Percent 6 2 2 4" xfId="2176" xr:uid="{00000000-0005-0000-0000-0000FD100000}"/>
    <cellStyle name="Percent 6 2 2 4 2" xfId="4406" xr:uid="{00000000-0005-0000-0000-0000FE100000}"/>
    <cellStyle name="Percent 6 2 2 5" xfId="914" xr:uid="{00000000-0005-0000-0000-0000FF100000}"/>
    <cellStyle name="Percent 6 2 2 5 2" xfId="3144" xr:uid="{00000000-0005-0000-0000-000000110000}"/>
    <cellStyle name="Percent 6 2 2 6" xfId="2703" xr:uid="{00000000-0005-0000-0000-000001110000}"/>
    <cellStyle name="Percent 6 2 3" xfId="1124" xr:uid="{00000000-0005-0000-0000-000002110000}"/>
    <cellStyle name="Percent 6 2 3 2" xfId="3354" xr:uid="{00000000-0005-0000-0000-000003110000}"/>
    <cellStyle name="Percent 6 2 4" xfId="1545" xr:uid="{00000000-0005-0000-0000-000004110000}"/>
    <cellStyle name="Percent 6 2 4 2" xfId="3775" xr:uid="{00000000-0005-0000-0000-000005110000}"/>
    <cellStyle name="Percent 6 2 5" xfId="1966" xr:uid="{00000000-0005-0000-0000-000006110000}"/>
    <cellStyle name="Percent 6 2 5 2" xfId="4196" xr:uid="{00000000-0005-0000-0000-000007110000}"/>
    <cellStyle name="Percent 6 2 6" xfId="704" xr:uid="{00000000-0005-0000-0000-000008110000}"/>
    <cellStyle name="Percent 6 2 6 2" xfId="2934" xr:uid="{00000000-0005-0000-0000-000009110000}"/>
    <cellStyle name="Percent 6 2 7" xfId="2493" xr:uid="{00000000-0005-0000-0000-00000A110000}"/>
    <cellStyle name="Percent 6 3" xfId="368" xr:uid="{00000000-0005-0000-0000-00000B110000}"/>
    <cellStyle name="Percent 6 3 2" xfId="1229" xr:uid="{00000000-0005-0000-0000-00000C110000}"/>
    <cellStyle name="Percent 6 3 2 2" xfId="3459" xr:uid="{00000000-0005-0000-0000-00000D110000}"/>
    <cellStyle name="Percent 6 3 3" xfId="1650" xr:uid="{00000000-0005-0000-0000-00000E110000}"/>
    <cellStyle name="Percent 6 3 3 2" xfId="3880" xr:uid="{00000000-0005-0000-0000-00000F110000}"/>
    <cellStyle name="Percent 6 3 4" xfId="2071" xr:uid="{00000000-0005-0000-0000-000010110000}"/>
    <cellStyle name="Percent 6 3 4 2" xfId="4301" xr:uid="{00000000-0005-0000-0000-000011110000}"/>
    <cellStyle name="Percent 6 3 5" xfId="809" xr:uid="{00000000-0005-0000-0000-000012110000}"/>
    <cellStyle name="Percent 6 3 5 2" xfId="3039" xr:uid="{00000000-0005-0000-0000-000013110000}"/>
    <cellStyle name="Percent 6 3 6" xfId="2598" xr:uid="{00000000-0005-0000-0000-000014110000}"/>
    <cellStyle name="Percent 6 4" xfId="158" xr:uid="{00000000-0005-0000-0000-000015110000}"/>
    <cellStyle name="Percent 6 4 2" xfId="1019" xr:uid="{00000000-0005-0000-0000-000016110000}"/>
    <cellStyle name="Percent 6 4 2 2" xfId="3249" xr:uid="{00000000-0005-0000-0000-000017110000}"/>
    <cellStyle name="Percent 6 4 3" xfId="2388" xr:uid="{00000000-0005-0000-0000-000018110000}"/>
    <cellStyle name="Percent 6 5" xfId="1440" xr:uid="{00000000-0005-0000-0000-000019110000}"/>
    <cellStyle name="Percent 6 5 2" xfId="3670" xr:uid="{00000000-0005-0000-0000-00001A110000}"/>
    <cellStyle name="Percent 6 6" xfId="1861" xr:uid="{00000000-0005-0000-0000-00001B110000}"/>
    <cellStyle name="Percent 6 6 2" xfId="4091" xr:uid="{00000000-0005-0000-0000-00001C110000}"/>
    <cellStyle name="Percent 6 7" xfId="599" xr:uid="{00000000-0005-0000-0000-00001D110000}"/>
    <cellStyle name="Percent 6 7 2" xfId="2829" xr:uid="{00000000-0005-0000-0000-00001E110000}"/>
    <cellStyle name="Percent 6 8" xfId="2283" xr:uid="{00000000-0005-0000-0000-00001F110000}"/>
    <cellStyle name="Percent 7" xfId="39" xr:uid="{00000000-0005-0000-0000-000020110000}"/>
    <cellStyle name="Percent 7 2" xfId="272" xr:uid="{00000000-0005-0000-0000-000021110000}"/>
    <cellStyle name="Percent 7 2 2" xfId="482" xr:uid="{00000000-0005-0000-0000-000022110000}"/>
    <cellStyle name="Percent 7 2 2 2" xfId="1343" xr:uid="{00000000-0005-0000-0000-000023110000}"/>
    <cellStyle name="Percent 7 2 2 2 2" xfId="3573" xr:uid="{00000000-0005-0000-0000-000024110000}"/>
    <cellStyle name="Percent 7 2 2 3" xfId="1764" xr:uid="{00000000-0005-0000-0000-000025110000}"/>
    <cellStyle name="Percent 7 2 2 3 2" xfId="3994" xr:uid="{00000000-0005-0000-0000-000026110000}"/>
    <cellStyle name="Percent 7 2 2 4" xfId="2185" xr:uid="{00000000-0005-0000-0000-000027110000}"/>
    <cellStyle name="Percent 7 2 2 4 2" xfId="4415" xr:uid="{00000000-0005-0000-0000-000028110000}"/>
    <cellStyle name="Percent 7 2 2 5" xfId="923" xr:uid="{00000000-0005-0000-0000-000029110000}"/>
    <cellStyle name="Percent 7 2 2 5 2" xfId="3153" xr:uid="{00000000-0005-0000-0000-00002A110000}"/>
    <cellStyle name="Percent 7 2 2 6" xfId="2712" xr:uid="{00000000-0005-0000-0000-00002B110000}"/>
    <cellStyle name="Percent 7 2 3" xfId="1133" xr:uid="{00000000-0005-0000-0000-00002C110000}"/>
    <cellStyle name="Percent 7 2 3 2" xfId="3363" xr:uid="{00000000-0005-0000-0000-00002D110000}"/>
    <cellStyle name="Percent 7 2 4" xfId="1554" xr:uid="{00000000-0005-0000-0000-00002E110000}"/>
    <cellStyle name="Percent 7 2 4 2" xfId="3784" xr:uid="{00000000-0005-0000-0000-00002F110000}"/>
    <cellStyle name="Percent 7 2 5" xfId="1975" xr:uid="{00000000-0005-0000-0000-000030110000}"/>
    <cellStyle name="Percent 7 2 5 2" xfId="4205" xr:uid="{00000000-0005-0000-0000-000031110000}"/>
    <cellStyle name="Percent 7 2 6" xfId="713" xr:uid="{00000000-0005-0000-0000-000032110000}"/>
    <cellStyle name="Percent 7 2 6 2" xfId="2943" xr:uid="{00000000-0005-0000-0000-000033110000}"/>
    <cellStyle name="Percent 7 2 7" xfId="2502" xr:uid="{00000000-0005-0000-0000-000034110000}"/>
    <cellStyle name="Percent 7 3" xfId="377" xr:uid="{00000000-0005-0000-0000-000035110000}"/>
    <cellStyle name="Percent 7 3 2" xfId="1238" xr:uid="{00000000-0005-0000-0000-000036110000}"/>
    <cellStyle name="Percent 7 3 2 2" xfId="3468" xr:uid="{00000000-0005-0000-0000-000037110000}"/>
    <cellStyle name="Percent 7 3 3" xfId="1659" xr:uid="{00000000-0005-0000-0000-000038110000}"/>
    <cellStyle name="Percent 7 3 3 2" xfId="3889" xr:uid="{00000000-0005-0000-0000-000039110000}"/>
    <cellStyle name="Percent 7 3 4" xfId="2080" xr:uid="{00000000-0005-0000-0000-00003A110000}"/>
    <cellStyle name="Percent 7 3 4 2" xfId="4310" xr:uid="{00000000-0005-0000-0000-00003B110000}"/>
    <cellStyle name="Percent 7 3 5" xfId="818" xr:uid="{00000000-0005-0000-0000-00003C110000}"/>
    <cellStyle name="Percent 7 3 5 2" xfId="3048" xr:uid="{00000000-0005-0000-0000-00003D110000}"/>
    <cellStyle name="Percent 7 3 6" xfId="2607" xr:uid="{00000000-0005-0000-0000-00003E110000}"/>
    <cellStyle name="Percent 7 4" xfId="167" xr:uid="{00000000-0005-0000-0000-00003F110000}"/>
    <cellStyle name="Percent 7 4 2" xfId="1028" xr:uid="{00000000-0005-0000-0000-000040110000}"/>
    <cellStyle name="Percent 7 4 2 2" xfId="3258" xr:uid="{00000000-0005-0000-0000-000041110000}"/>
    <cellStyle name="Percent 7 4 3" xfId="2397" xr:uid="{00000000-0005-0000-0000-000042110000}"/>
    <cellStyle name="Percent 7 5" xfId="1449" xr:uid="{00000000-0005-0000-0000-000043110000}"/>
    <cellStyle name="Percent 7 5 2" xfId="3679" xr:uid="{00000000-0005-0000-0000-000044110000}"/>
    <cellStyle name="Percent 7 6" xfId="1870" xr:uid="{00000000-0005-0000-0000-000045110000}"/>
    <cellStyle name="Percent 7 6 2" xfId="4100" xr:uid="{00000000-0005-0000-0000-000046110000}"/>
    <cellStyle name="Percent 7 7" xfId="608" xr:uid="{00000000-0005-0000-0000-000047110000}"/>
    <cellStyle name="Percent 7 7 2" xfId="2838" xr:uid="{00000000-0005-0000-0000-000048110000}"/>
    <cellStyle name="Percent 7 8" xfId="2292" xr:uid="{00000000-0005-0000-0000-000049110000}"/>
    <cellStyle name="Percent 8" xfId="48" xr:uid="{00000000-0005-0000-0000-00004A110000}"/>
    <cellStyle name="Percent 8 2" xfId="281" xr:uid="{00000000-0005-0000-0000-00004B110000}"/>
    <cellStyle name="Percent 8 2 2" xfId="491" xr:uid="{00000000-0005-0000-0000-00004C110000}"/>
    <cellStyle name="Percent 8 2 2 2" xfId="1352" xr:uid="{00000000-0005-0000-0000-00004D110000}"/>
    <cellStyle name="Percent 8 2 2 2 2" xfId="3582" xr:uid="{00000000-0005-0000-0000-00004E110000}"/>
    <cellStyle name="Percent 8 2 2 3" xfId="1773" xr:uid="{00000000-0005-0000-0000-00004F110000}"/>
    <cellStyle name="Percent 8 2 2 3 2" xfId="4003" xr:uid="{00000000-0005-0000-0000-000050110000}"/>
    <cellStyle name="Percent 8 2 2 4" xfId="2194" xr:uid="{00000000-0005-0000-0000-000051110000}"/>
    <cellStyle name="Percent 8 2 2 4 2" xfId="4424" xr:uid="{00000000-0005-0000-0000-000052110000}"/>
    <cellStyle name="Percent 8 2 2 5" xfId="932" xr:uid="{00000000-0005-0000-0000-000053110000}"/>
    <cellStyle name="Percent 8 2 2 5 2" xfId="3162" xr:uid="{00000000-0005-0000-0000-000054110000}"/>
    <cellStyle name="Percent 8 2 2 6" xfId="2721" xr:uid="{00000000-0005-0000-0000-000055110000}"/>
    <cellStyle name="Percent 8 2 3" xfId="1142" xr:uid="{00000000-0005-0000-0000-000056110000}"/>
    <cellStyle name="Percent 8 2 3 2" xfId="3372" xr:uid="{00000000-0005-0000-0000-000057110000}"/>
    <cellStyle name="Percent 8 2 4" xfId="1563" xr:uid="{00000000-0005-0000-0000-000058110000}"/>
    <cellStyle name="Percent 8 2 4 2" xfId="3793" xr:uid="{00000000-0005-0000-0000-000059110000}"/>
    <cellStyle name="Percent 8 2 5" xfId="1984" xr:uid="{00000000-0005-0000-0000-00005A110000}"/>
    <cellStyle name="Percent 8 2 5 2" xfId="4214" xr:uid="{00000000-0005-0000-0000-00005B110000}"/>
    <cellStyle name="Percent 8 2 6" xfId="722" xr:uid="{00000000-0005-0000-0000-00005C110000}"/>
    <cellStyle name="Percent 8 2 6 2" xfId="2952" xr:uid="{00000000-0005-0000-0000-00005D110000}"/>
    <cellStyle name="Percent 8 2 7" xfId="2511" xr:uid="{00000000-0005-0000-0000-00005E110000}"/>
    <cellStyle name="Percent 8 3" xfId="386" xr:uid="{00000000-0005-0000-0000-00005F110000}"/>
    <cellStyle name="Percent 8 3 2" xfId="1247" xr:uid="{00000000-0005-0000-0000-000060110000}"/>
    <cellStyle name="Percent 8 3 2 2" xfId="3477" xr:uid="{00000000-0005-0000-0000-000061110000}"/>
    <cellStyle name="Percent 8 3 3" xfId="1668" xr:uid="{00000000-0005-0000-0000-000062110000}"/>
    <cellStyle name="Percent 8 3 3 2" xfId="3898" xr:uid="{00000000-0005-0000-0000-000063110000}"/>
    <cellStyle name="Percent 8 3 4" xfId="2089" xr:uid="{00000000-0005-0000-0000-000064110000}"/>
    <cellStyle name="Percent 8 3 4 2" xfId="4319" xr:uid="{00000000-0005-0000-0000-000065110000}"/>
    <cellStyle name="Percent 8 3 5" xfId="827" xr:uid="{00000000-0005-0000-0000-000066110000}"/>
    <cellStyle name="Percent 8 3 5 2" xfId="3057" xr:uid="{00000000-0005-0000-0000-000067110000}"/>
    <cellStyle name="Percent 8 3 6" xfId="2616" xr:uid="{00000000-0005-0000-0000-000068110000}"/>
    <cellStyle name="Percent 8 4" xfId="176" xr:uid="{00000000-0005-0000-0000-000069110000}"/>
    <cellStyle name="Percent 8 4 2" xfId="1037" xr:uid="{00000000-0005-0000-0000-00006A110000}"/>
    <cellStyle name="Percent 8 4 2 2" xfId="3267" xr:uid="{00000000-0005-0000-0000-00006B110000}"/>
    <cellStyle name="Percent 8 4 3" xfId="2406" xr:uid="{00000000-0005-0000-0000-00006C110000}"/>
    <cellStyle name="Percent 8 5" xfId="1458" xr:uid="{00000000-0005-0000-0000-00006D110000}"/>
    <cellStyle name="Percent 8 5 2" xfId="3688" xr:uid="{00000000-0005-0000-0000-00006E110000}"/>
    <cellStyle name="Percent 8 6" xfId="1879" xr:uid="{00000000-0005-0000-0000-00006F110000}"/>
    <cellStyle name="Percent 8 6 2" xfId="4109" xr:uid="{00000000-0005-0000-0000-000070110000}"/>
    <cellStyle name="Percent 8 7" xfId="617" xr:uid="{00000000-0005-0000-0000-000071110000}"/>
    <cellStyle name="Percent 8 7 2" xfId="2847" xr:uid="{00000000-0005-0000-0000-000072110000}"/>
    <cellStyle name="Percent 8 8" xfId="2301" xr:uid="{00000000-0005-0000-0000-000073110000}"/>
    <cellStyle name="Percent 9" xfId="243" xr:uid="{00000000-0005-0000-0000-000074110000}"/>
    <cellStyle name="Percent 9 2" xfId="453" xr:uid="{00000000-0005-0000-0000-000075110000}"/>
    <cellStyle name="Percent 9 2 2" xfId="1314" xr:uid="{00000000-0005-0000-0000-000076110000}"/>
    <cellStyle name="Percent 9 2 2 2" xfId="3544" xr:uid="{00000000-0005-0000-0000-000077110000}"/>
    <cellStyle name="Percent 9 2 3" xfId="1735" xr:uid="{00000000-0005-0000-0000-000078110000}"/>
    <cellStyle name="Percent 9 2 3 2" xfId="3965" xr:uid="{00000000-0005-0000-0000-000079110000}"/>
    <cellStyle name="Percent 9 2 4" xfId="2156" xr:uid="{00000000-0005-0000-0000-00007A110000}"/>
    <cellStyle name="Percent 9 2 4 2" xfId="4386" xr:uid="{00000000-0005-0000-0000-00007B110000}"/>
    <cellStyle name="Percent 9 2 5" xfId="894" xr:uid="{00000000-0005-0000-0000-00007C110000}"/>
    <cellStyle name="Percent 9 2 5 2" xfId="3124" xr:uid="{00000000-0005-0000-0000-00007D110000}"/>
    <cellStyle name="Percent 9 2 6" xfId="2683" xr:uid="{00000000-0005-0000-0000-00007E110000}"/>
    <cellStyle name="Percent 9 3" xfId="1104" xr:uid="{00000000-0005-0000-0000-00007F110000}"/>
    <cellStyle name="Percent 9 3 2" xfId="3334" xr:uid="{00000000-0005-0000-0000-000080110000}"/>
    <cellStyle name="Percent 9 4" xfId="1525" xr:uid="{00000000-0005-0000-0000-000081110000}"/>
    <cellStyle name="Percent 9 4 2" xfId="3755" xr:uid="{00000000-0005-0000-0000-000082110000}"/>
    <cellStyle name="Percent 9 5" xfId="1946" xr:uid="{00000000-0005-0000-0000-000083110000}"/>
    <cellStyle name="Percent 9 5 2" xfId="4176" xr:uid="{00000000-0005-0000-0000-000084110000}"/>
    <cellStyle name="Percent 9 6" xfId="684" xr:uid="{00000000-0005-0000-0000-000085110000}"/>
    <cellStyle name="Percent 9 6 2" xfId="2914" xr:uid="{00000000-0005-0000-0000-000086110000}"/>
    <cellStyle name="Percent 9 7" xfId="2473" xr:uid="{00000000-0005-0000-0000-000087110000}"/>
    <cellStyle name="Title" xfId="54" builtinId="15" customBuiltin="1"/>
    <cellStyle name="Total" xfId="69" builtinId="25" customBuiltin="1"/>
    <cellStyle name="Warning Text" xfId="67" builtinId="11" customBuiltin="1"/>
  </cellStyles>
  <dxfs count="451"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DE787A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DE787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/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 style="dotted">
          <color theme="5" tint="0.59996337778862885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font>
        <sz val="10"/>
      </font>
      <numFmt numFmtId="168" formatCode="[$-409]d/mmm/yy;@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5" tint="0.59996337778862885"/>
        </left>
        <right/>
        <top/>
        <bottom style="hair">
          <color auto="1"/>
        </bottom>
      </border>
    </dxf>
    <dxf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dotted">
          <color theme="5" tint="0.59996337778862885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6" formatCode="0.0%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0" formatCode="dd/mmm/yy"/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hair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 style="hair">
          <color auto="1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2" formatCode="0.00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9" formatCode="h:mm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[$-409]dd/mmm/yy;@"/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textRotation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4" formatCode="0.00%"/>
    </dxf>
    <dxf>
      <numFmt numFmtId="167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ill>
        <patternFill patternType="none"/>
      </fill>
      <alignment horizontal="center"/>
    </dxf>
    <dxf>
      <alignment horizontal="center"/>
    </dxf>
    <dxf>
      <numFmt numFmtId="178" formatCode="h:mm"/>
    </dxf>
    <dxf>
      <numFmt numFmtId="178" formatCode="h:mm"/>
    </dxf>
    <dxf>
      <numFmt numFmtId="178" formatCode="h:mm"/>
    </dxf>
    <dxf>
      <alignment horizontal="general" textRotation="0" indent="0" justifyLastLine="0" shrinkToFit="0" readingOrder="0"/>
    </dxf>
    <dxf>
      <numFmt numFmtId="166" formatCode="0.0%"/>
      <fill>
        <patternFill patternType="none"/>
      </fill>
      <alignment horizontal="center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numFmt numFmtId="0" formatCode="General"/>
      <fill>
        <patternFill patternType="none"/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 outline="0">
        <left/>
        <right/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179" formatCode="d\-mmm\-yy"/>
      <fill>
        <patternFill patternType="solid">
          <fgColor theme="9" tint="0.59999389629810485"/>
          <bgColor theme="9" tint="0.59999389629810485"/>
        </patternFill>
      </fill>
      <alignment horizontal="center" vertical="center" textRotation="0" wrapText="0" indent="0" justifyLastLine="0" shrinkToFit="0" readingOrder="0"/>
      <border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theme="9" tint="0.59999389629810485"/>
          <bgColor theme="9" tint="0.59999389629810485"/>
        </patternFill>
      </fill>
      <alignment horizontal="center" vertical="center"/>
      <border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/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 patternType="solid">
          <fgColor indexed="64"/>
          <bgColor theme="0" tint="-0.14996795556505021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/>
      <border>
        <left style="hair">
          <color auto="1"/>
        </left>
        <right/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right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2" formatCode="0.00"/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 vertic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9" formatCode="h:mm;@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left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scheme val="none"/>
      </font>
      <numFmt numFmtId="166" formatCode="0.0%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65" formatCode="0.0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8" formatCode="h:mm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80" formatCode="mmm\-yy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0" formatCode="General"/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" formatCode="0"/>
      <fill>
        <patternFill patternType="solid">
          <bgColor theme="0" tint="-0.14996795556505021"/>
        </patternFill>
      </fill>
      <alignment horizontal="center"/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numFmt numFmtId="179" formatCode="d\-mmm\-yy"/>
      <fill>
        <patternFill patternType="solid"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bgColor theme="0" tint="-0.14996795556505021"/>
        </patternFill>
      </fill>
      <alignment horizontal="center"/>
      <border>
        <left/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80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80" formatCode="mmm\-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Palatino Linotype"/>
        <scheme val="none"/>
      </font>
      <numFmt numFmtId="2" formatCode="0.00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.00_);_(* \(#,##0.0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u val="none"/>
        <sz val="11"/>
        <color auto="1"/>
        <name val="Calibri"/>
        <scheme val="none"/>
      </font>
      <numFmt numFmtId="164" formatCode="_(* #,##0.00_);_(* \(#,##0.00\);_(* &quot;-&quot;??_);_(@_)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2" formatCode="0.00"/>
      <fill>
        <patternFill patternType="none"/>
      </fill>
      <alignment horizontal="center"/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none"/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0" formatCode="0.000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4" formatCode="0.00%"/>
      <fill>
        <patternFill patternType="solid">
          <bgColor theme="7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67" formatCode="_ * #,##0_ ;_ * \-#,##0_ ;_ * &quot;-&quot;??_ ;_ @_ "/>
      <fill>
        <patternFill patternType="solid">
          <bgColor theme="0"/>
        </patternFill>
      </fill>
      <alignment horizontal="center"/>
      <border>
        <left/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minor"/>
      </font>
      <numFmt numFmtId="1" formatCode="0"/>
      <fill>
        <patternFill patternType="solid">
          <fgColor indexed="64"/>
          <bgColor theme="8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8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/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theme="9" tint="0.7999511703848384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1"/>
        <color auto="1"/>
        <name val="Calibri"/>
        <scheme val="none"/>
      </font>
      <numFmt numFmtId="1" formatCode="0"/>
      <fill>
        <patternFill patternType="solid">
          <bgColor theme="9" tint="0.79995117038483843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3" formatCode="[$-F400]h:mm:ss\ AM/PM"/>
      <fill>
        <patternFill patternType="solid">
          <bgColor theme="7" tint="0.79995117038483843"/>
        </patternFill>
      </fill>
      <alignment horizontal="center" vertic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numFmt numFmtId="171" formatCode="[$-409]mmm/yy;@"/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strike val="0"/>
        <u val="none"/>
        <color auto="1"/>
      </font>
      <fill>
        <patternFill patternType="solid">
          <bgColor theme="0"/>
        </patternFill>
      </fill>
      <alignment horizontal="center"/>
      <border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</border>
    </dxf>
    <dxf>
      <font>
        <b val="0"/>
        <i val="0"/>
        <strike val="0"/>
        <u val="none"/>
        <sz val="10"/>
        <color auto="1"/>
        <name val="Palatino Linotype"/>
        <scheme val="none"/>
      </font>
      <numFmt numFmtId="172" formatCode="[$-409]d\-mmm\-yy;@"/>
      <fill>
        <patternFill patternType="solid">
          <fgColor indexed="64"/>
          <bgColor theme="7" tint="0.7999511703848384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9.9917600024414813E-2"/>
        </left>
        <right style="thin">
          <color theme="2" tint="-9.9917600024414813E-2"/>
        </right>
        <top style="thin">
          <color theme="2" tint="-9.9917600024414813E-2"/>
        </top>
        <bottom style="thin">
          <color theme="2" tint="-9.9917600024414813E-2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6" formatCode="0.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165" formatCode="0.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34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/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mmm\-yy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80" formatCode="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 style="dotted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68" formatCode="[$-409]d/mmm/yy;@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numFmt numFmtId="179" formatCode="d\-mmm\-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dotted">
          <color auto="1"/>
        </right>
        <top style="dotted">
          <color auto="1"/>
        </top>
        <bottom/>
      </border>
    </dxf>
    <dxf>
      <border outline="0">
        <top style="dotted">
          <color auto="1"/>
        </top>
      </border>
    </dxf>
    <dxf>
      <alignment horizontal="center" vertical="center" textRotation="0" wrapText="0" indent="0" justifyLastLine="0" shrinkToFit="0" readingOrder="0"/>
    </dxf>
    <dxf>
      <border outline="0"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  <dxf>
      <border outline="0">
        <bottom style="dotted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theme="9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auto="1"/>
        </left>
        <right style="dotted">
          <color auto="1"/>
        </right>
        <top/>
        <bottom/>
      </border>
    </dxf>
    <dxf>
      <numFmt numFmtId="167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pesh Umaretia" refreshedDate="45779.352787847223" createdVersion="8" refreshedVersion="8" minRefreshableVersion="3" recordCount="334" xr:uid="{00000000-000A-0000-FFFF-FFFF05000000}">
  <cacheSource type="worksheet">
    <worksheetSource name="RD"/>
  </cacheSource>
  <cacheFields count="53">
    <cacheField name="Date" numFmtId="172">
      <sharedItems containsSemiMixedTypes="0" containsNonDate="0" containsDate="1" containsString="0" minDate="2023-02-25T00:00:00" maxDate="2026-01-01T00:00:00" count="1041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  <d v="2025-05-01T00:00:00"/>
        <d v="2025-05-02T00:00:00"/>
        <d v="2025-05-03T00:00:00"/>
        <d v="2025-05-04T00:00:00"/>
        <d v="2025-05-05T00:00:00"/>
        <d v="2025-05-06T00:00:00"/>
        <d v="2025-05-07T00:00:00"/>
        <d v="2025-05-08T00:00:00"/>
        <d v="2025-05-09T00:00:00"/>
        <d v="2025-05-10T00:00:00"/>
        <d v="2025-05-11T00:00:00"/>
        <d v="2025-05-12T00:00:00"/>
        <d v="2025-05-13T00:00:00"/>
        <d v="2025-05-14T00:00:00"/>
        <d v="2025-05-15T00:00:00"/>
        <d v="2025-05-16T00:00:00"/>
        <d v="2025-05-17T00:00:00"/>
        <d v="2025-05-18T00:00:00"/>
        <d v="2025-05-19T00:00:00"/>
        <d v="2025-05-20T00:00:00"/>
        <d v="2025-05-21T00:00:00"/>
        <d v="2025-05-22T00:00:00"/>
        <d v="2025-05-23T00:00:00"/>
        <d v="2025-05-24T00:00:00"/>
        <d v="2025-05-25T00:00:00"/>
        <d v="2025-05-26T00:00:00"/>
        <d v="2025-05-27T00:00:00"/>
        <d v="2025-05-28T00:00:00"/>
        <d v="2025-05-29T00:00:00"/>
        <d v="2025-05-30T00:00:00"/>
        <d v="2025-05-31T00:00:00"/>
        <d v="2025-06-01T00:00:00"/>
        <d v="2025-06-02T00:00:00"/>
        <d v="2025-06-03T00:00:00"/>
        <d v="2025-06-04T00:00:00"/>
        <d v="2025-06-05T00:00:00"/>
        <d v="2025-06-06T00:00:00"/>
        <d v="2025-06-07T00:00:00"/>
        <d v="2025-06-08T00:00:00"/>
        <d v="2025-06-09T00:00:00"/>
        <d v="2025-06-10T00:00:00"/>
        <d v="2025-06-11T00:00:00"/>
        <d v="2025-06-12T00:00:00"/>
        <d v="2025-06-13T00:00:00"/>
        <d v="2025-06-14T00:00:00"/>
        <d v="2025-06-15T00:00:00"/>
        <d v="2025-06-16T00:00:00"/>
        <d v="2025-06-17T00:00:00"/>
        <d v="2025-06-18T00:00:00"/>
        <d v="2025-06-19T00:00:00"/>
        <d v="2025-06-20T00:00:00"/>
        <d v="2025-06-21T00:00:00"/>
        <d v="2025-06-22T00:00:00"/>
        <d v="2025-06-23T00:00:00"/>
        <d v="2025-06-24T00:00:00"/>
        <d v="2025-06-25T00:00:00"/>
        <d v="2025-06-26T00:00:00"/>
        <d v="2025-06-27T00:00:00"/>
        <d v="2025-06-28T00:00:00"/>
        <d v="2025-06-29T00:00:00"/>
        <d v="2025-06-30T00:00:00"/>
        <d v="2025-07-01T00:00:00"/>
        <d v="2025-07-02T00:00:00"/>
        <d v="2025-07-03T00:00:00"/>
        <d v="2025-07-04T00:00:00"/>
        <d v="2025-07-05T00:00:00"/>
        <d v="2025-07-06T00:00:00"/>
        <d v="2025-07-07T00:00:00"/>
        <d v="2025-07-08T00:00:00"/>
        <d v="2025-07-09T00:00:00"/>
        <d v="2025-07-10T00:00:00"/>
        <d v="2025-07-11T00:00:00"/>
        <d v="2025-07-12T00:00:00"/>
        <d v="2025-07-13T00:00:00"/>
        <d v="2025-07-14T00:00:00"/>
        <d v="2025-07-15T00:00:00"/>
        <d v="2025-07-16T00:00:00"/>
        <d v="2025-07-17T00:00:00"/>
        <d v="2025-07-18T00:00:00"/>
        <d v="2025-07-19T00:00:00"/>
        <d v="2025-07-20T00:00:00"/>
        <d v="2025-07-21T00:00:00"/>
        <d v="2025-07-22T00:00:00"/>
        <d v="2025-07-23T00:00:00"/>
        <d v="2025-07-24T00:00:00"/>
        <d v="2025-07-25T00:00:00"/>
        <d v="2025-07-26T00:00:00"/>
        <d v="2025-07-27T00:00:00"/>
        <d v="2025-07-28T00:00:00"/>
        <d v="2025-07-29T00:00:00"/>
        <d v="2025-07-30T00:00:00"/>
        <d v="2025-07-31T00:00:00"/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  <d v="2025-11-01T00:00:00"/>
        <d v="2025-11-02T00:00:00"/>
        <d v="2025-11-03T00:00:00"/>
        <d v="2025-11-04T00:00:00"/>
        <d v="2025-11-05T00:00:00"/>
        <d v="2025-11-06T00:00:00"/>
        <d v="2025-11-07T00:00:00"/>
        <d v="2025-11-08T00:00:00"/>
        <d v="2025-11-09T00:00:00"/>
        <d v="2025-11-10T00:00:00"/>
        <d v="2025-11-11T00:00:00"/>
        <d v="2025-11-12T00:00:00"/>
        <d v="2025-11-13T00:00:00"/>
        <d v="2025-11-14T00:00:00"/>
        <d v="2025-11-15T00:00:00"/>
        <d v="2025-11-16T00:00:00"/>
        <d v="2025-11-17T00:00:00"/>
        <d v="2025-11-18T00:00:00"/>
        <d v="2025-11-19T00:00:00"/>
        <d v="2025-11-20T00:00:00"/>
        <d v="2025-11-21T00:00:00"/>
        <d v="2025-11-22T00:00:00"/>
        <d v="2025-11-23T00:00:00"/>
        <d v="2025-11-24T00:00:00"/>
        <d v="2025-11-25T00:00:00"/>
        <d v="2025-11-26T00:00:00"/>
        <d v="2025-11-27T00:00:00"/>
        <d v="2025-11-28T00:00:00"/>
        <d v="2025-11-29T00:00:00"/>
        <d v="2025-11-30T00:00:00"/>
        <d v="2025-12-01T00:00:00"/>
        <d v="2025-12-02T00:00:00"/>
        <d v="2025-12-03T00:00:00"/>
        <d v="2025-12-04T00:00:00"/>
        <d v="2025-12-05T00:00:00"/>
        <d v="2025-12-06T00:00:00"/>
        <d v="2025-12-07T00:00:00"/>
        <d v="2025-12-08T00:00:00"/>
        <d v="2025-12-09T00:00:00"/>
        <d v="2025-12-10T00:00:00"/>
        <d v="2025-12-11T00:00:00"/>
        <d v="2025-12-12T00:00:00"/>
        <d v="2025-12-13T00:00:00"/>
        <d v="2025-12-14T00:00:00"/>
        <d v="2025-12-15T00:00:00"/>
        <d v="2025-12-16T00:00:00"/>
        <d v="2025-12-17T00:00:00"/>
        <d v="2025-12-18T00:00:00"/>
        <d v="2025-12-19T00:00:00"/>
        <d v="2025-12-20T00:00:00"/>
        <d v="2025-12-21T00:00:00"/>
        <d v="2025-12-22T00:00:00"/>
        <d v="2025-12-23T00:00:00"/>
        <d v="2025-12-24T00:00:00"/>
        <d v="2025-12-25T00:00:00"/>
        <d v="2025-12-26T00:00:00"/>
        <d v="2025-12-27T00:00:00"/>
        <d v="2025-12-28T00:00:00"/>
        <d v="2025-12-29T00:00:00"/>
        <d v="2025-12-30T00:00:00"/>
        <d v="2025-12-31T00:00:00"/>
        <d v="2023-02-25T00:00:00" u="1"/>
        <d v="2023-02-26T00:00:00" u="1"/>
        <d v="2023-02-27T00:00:00" u="1"/>
        <d v="2023-02-28T00:00:00" u="1"/>
        <d v="2023-03-01T00:00:00" u="1"/>
        <d v="2023-03-02T00:00:00" u="1"/>
        <d v="2023-03-03T00:00:00" u="1"/>
        <d v="2023-03-04T00:00:00" u="1"/>
        <d v="2023-03-05T00:00:00" u="1"/>
        <d v="2023-03-06T00:00:00" u="1"/>
        <d v="2023-03-07T00:00:00" u="1"/>
        <d v="2023-03-08T00:00:00" u="1"/>
        <d v="2023-03-09T00:00:00" u="1"/>
        <d v="2023-03-10T00:00:00" u="1"/>
        <d v="2023-03-11T00:00:00" u="1"/>
        <d v="2023-03-12T00:00:00" u="1"/>
        <d v="2023-03-13T00:00:00" u="1"/>
        <d v="2023-03-14T00:00:00" u="1"/>
        <d v="2023-03-15T00:00:00" u="1"/>
        <d v="2023-03-16T00:00:00" u="1"/>
        <d v="2023-03-17T00:00:00" u="1"/>
        <d v="2023-03-18T00:00:00" u="1"/>
        <d v="2023-03-19T00:00:00" u="1"/>
        <d v="2023-03-20T00:00:00" u="1"/>
        <d v="2023-03-21T00:00:00" u="1"/>
        <d v="2023-03-22T00:00:00" u="1"/>
        <d v="2023-03-23T00:00:00" u="1"/>
        <d v="2023-03-24T00:00:00" u="1"/>
        <d v="2023-03-25T00:00:00" u="1"/>
        <d v="2023-03-26T00:00:00" u="1"/>
        <d v="2023-03-27T00:00:00" u="1"/>
        <d v="2023-03-28T00:00:00" u="1"/>
        <d v="2023-03-29T00:00:00" u="1"/>
        <d v="2023-03-30T00:00:00" u="1"/>
        <d v="2023-03-31T00:00:00" u="1"/>
        <d v="2023-04-01T00:00:00" u="1"/>
        <d v="2023-04-02T00:00:00" u="1"/>
        <d v="2023-04-03T00:00:00" u="1"/>
        <d v="2023-04-04T00:00:00" u="1"/>
        <d v="2023-04-05T00:00:00" u="1"/>
        <d v="2023-04-06T00:00:00" u="1"/>
        <d v="2023-04-07T00:00:00" u="1"/>
        <d v="2023-04-08T00:00:00" u="1"/>
        <d v="2023-04-09T00:00:00" u="1"/>
        <d v="2023-04-10T00:00:00" u="1"/>
        <d v="2023-04-11T00:00:00" u="1"/>
        <d v="2023-04-12T00:00:00" u="1"/>
        <d v="2023-04-13T00:00:00" u="1"/>
        <d v="2023-04-14T00:00:00" u="1"/>
        <d v="2023-04-15T00:00:00" u="1"/>
        <d v="2023-04-16T00:00:00" u="1"/>
        <d v="2023-04-17T00:00:00" u="1"/>
        <d v="2023-04-18T00:00:00" u="1"/>
        <d v="2023-04-19T00:00:00" u="1"/>
        <d v="2023-04-20T00:00:00" u="1"/>
        <d v="2023-04-21T00:00:00" u="1"/>
        <d v="2023-04-22T00:00:00" u="1"/>
        <d v="2023-04-23T00:00:00" u="1"/>
        <d v="2023-04-24T00:00:00" u="1"/>
        <d v="2023-04-25T00:00:00" u="1"/>
        <d v="2023-04-26T00:00:00" u="1"/>
        <d v="2023-04-27T00:00:00" u="1"/>
        <d v="2023-04-28T00:00:00" u="1"/>
        <d v="2023-04-29T00:00:00" u="1"/>
        <d v="2023-04-30T00:00:00" u="1"/>
        <d v="2023-05-01T00:00:00" u="1"/>
        <d v="2023-05-02T00:00:00" u="1"/>
        <d v="2023-05-03T00:00:00" u="1"/>
        <d v="2023-05-04T00:00:00" u="1"/>
        <d v="2023-05-05T00:00:00" u="1"/>
        <d v="2023-05-06T00:00:00" u="1"/>
        <d v="2023-05-07T00:00:00" u="1"/>
        <d v="2023-05-08T00:00:00" u="1"/>
        <d v="2023-05-09T00:00:00" u="1"/>
        <d v="2023-05-10T00:00:00" u="1"/>
        <d v="2023-05-11T00:00:00" u="1"/>
        <d v="2023-05-12T00:00:00" u="1"/>
        <d v="2023-05-13T00:00:00" u="1"/>
        <d v="2023-05-14T00:00:00" u="1"/>
        <d v="2023-05-15T00:00:00" u="1"/>
        <d v="2023-05-16T00:00:00" u="1"/>
        <d v="2023-05-17T00:00:00" u="1"/>
        <d v="2023-05-18T00:00:00" u="1"/>
        <d v="2023-05-19T00:00:00" u="1"/>
        <d v="2023-05-20T00:00:00" u="1"/>
        <d v="2023-05-21T00:00:00" u="1"/>
        <d v="2023-05-22T00:00:00" u="1"/>
        <d v="2023-05-23T00:00:00" u="1"/>
        <d v="2023-05-24T00:00:00" u="1"/>
        <d v="2023-05-25T00:00:00" u="1"/>
        <d v="2023-05-26T00:00:00" u="1"/>
        <d v="2023-05-27T00:00:00" u="1"/>
        <d v="2023-05-28T00:00:00" u="1"/>
        <d v="2023-05-29T00:00:00" u="1"/>
        <d v="2023-05-30T00:00:00" u="1"/>
        <d v="2023-05-31T00:00:00" u="1"/>
        <d v="2023-06-01T00:00:00" u="1"/>
        <d v="2023-06-02T00:00:00" u="1"/>
        <d v="2023-06-03T00:00:00" u="1"/>
        <d v="2023-06-04T00:00:00" u="1"/>
        <d v="2023-06-05T00:00:00" u="1"/>
        <d v="2023-06-06T00:00:00" u="1"/>
        <d v="2023-06-07T00:00:00" u="1"/>
        <d v="2023-06-08T00:00:00" u="1"/>
        <d v="2023-06-09T00:00:00" u="1"/>
        <d v="2023-06-10T00:00:00" u="1"/>
        <d v="2023-06-11T00:00:00" u="1"/>
        <d v="2023-06-12T00:00:00" u="1"/>
        <d v="2023-06-13T00:00:00" u="1"/>
        <d v="2023-06-14T00:00:00" u="1"/>
        <d v="2023-06-15T00:00:00" u="1"/>
        <d v="2023-06-16T00:00:00" u="1"/>
        <d v="2023-06-17T00:00:00" u="1"/>
        <d v="2023-06-18T00:00:00" u="1"/>
        <d v="2023-06-19T00:00:00" u="1"/>
        <d v="2023-06-20T00:00:00" u="1"/>
        <d v="2023-06-21T00:00:00" u="1"/>
        <d v="2023-06-22T00:00:00" u="1"/>
        <d v="2023-06-23T00:00:00" u="1"/>
        <d v="2023-06-24T00:00:00" u="1"/>
        <d v="2023-06-25T00:00:00" u="1"/>
        <d v="2023-06-26T00:00:00" u="1"/>
        <d v="2023-06-27T00:00:00" u="1"/>
        <d v="2023-06-28T00:00:00" u="1"/>
        <d v="2023-06-29T00:00:00" u="1"/>
        <d v="2023-06-30T00:00:00" u="1"/>
        <d v="2023-07-01T00:00:00" u="1"/>
        <d v="2023-07-02T00:00:00" u="1"/>
        <d v="2023-07-03T00:00:00" u="1"/>
        <d v="2023-07-04T00:00:00" u="1"/>
        <d v="2023-07-05T00:00:00" u="1"/>
        <d v="2023-07-06T00:00:00" u="1"/>
        <d v="2023-07-07T00:00:00" u="1"/>
        <d v="2023-07-08T00:00:00" u="1"/>
        <d v="2023-07-09T00:00:00" u="1"/>
        <d v="2023-07-10T00:00:00" u="1"/>
        <d v="2023-07-11T00:00:00" u="1"/>
        <d v="2023-07-12T00:00:00" u="1"/>
        <d v="2023-07-13T00:00:00" u="1"/>
        <d v="2023-07-14T00:00:00" u="1"/>
        <d v="2023-07-15T00:00:00" u="1"/>
        <d v="2023-07-16T00:00:00" u="1"/>
        <d v="2023-07-17T00:00:00" u="1"/>
        <d v="2023-07-18T00:00:00" u="1"/>
        <d v="2023-07-19T00:00:00" u="1"/>
        <d v="2023-07-20T00:00:00" u="1"/>
        <d v="2023-07-21T00:00:00" u="1"/>
        <d v="2023-07-22T00:00:00" u="1"/>
        <d v="2023-07-23T00:00:00" u="1"/>
        <d v="2023-07-24T00:00:00" u="1"/>
        <d v="2023-07-25T00:00:00" u="1"/>
        <d v="2023-07-26T00:00:00" u="1"/>
        <d v="2023-07-27T00:00:00" u="1"/>
        <d v="2023-07-28T00:00:00" u="1"/>
        <d v="2023-07-29T00:00:00" u="1"/>
        <d v="2023-07-30T00:00:00" u="1"/>
        <d v="2023-07-31T00:00:00" u="1"/>
        <d v="2023-08-01T00:00:00" u="1"/>
        <d v="2023-08-02T00:00:00" u="1"/>
        <d v="2023-08-03T00:00:00" u="1"/>
        <d v="2023-08-04T00:00:00" u="1"/>
        <d v="2023-08-05T00:00:00" u="1"/>
        <d v="2023-08-06T00:00:00" u="1"/>
        <d v="2023-08-07T00:00:00" u="1"/>
        <d v="2023-08-08T00:00:00" u="1"/>
        <d v="2023-08-09T00:00:00" u="1"/>
        <d v="2023-08-10T00:00:00" u="1"/>
        <d v="2023-08-11T00:00:00" u="1"/>
        <d v="2023-08-12T00:00:00" u="1"/>
        <d v="2023-08-13T00:00:00" u="1"/>
        <d v="2023-08-14T00:00:00" u="1"/>
        <d v="2023-08-15T00:00:00" u="1"/>
        <d v="2023-08-16T00:00:00" u="1"/>
        <d v="2023-08-17T00:00:00" u="1"/>
        <d v="2023-08-18T00:00:00" u="1"/>
        <d v="2023-08-19T00:00:00" u="1"/>
        <d v="2023-08-20T00:00:00" u="1"/>
        <d v="2023-08-21T00:00:00" u="1"/>
        <d v="2023-08-22T00:00:00" u="1"/>
        <d v="2023-08-23T00:00:00" u="1"/>
        <d v="2023-08-24T00:00:00" u="1"/>
        <d v="2023-08-25T00:00:00" u="1"/>
        <d v="2023-08-26T00:00:00" u="1"/>
        <d v="2023-08-27T00:00:00" u="1"/>
        <d v="2023-08-28T00:00:00" u="1"/>
        <d v="2023-08-29T00:00:00" u="1"/>
        <d v="2023-08-30T00:00:00" u="1"/>
        <d v="2023-08-31T00:00:00" u="1"/>
        <d v="2023-09-01T00:00:00" u="1"/>
        <d v="2023-09-02T00:00:00" u="1"/>
        <d v="2023-09-03T00:00:00" u="1"/>
        <d v="2023-09-04T00:00:00" u="1"/>
        <d v="2023-09-05T00:00:00" u="1"/>
        <d v="2023-09-06T00:00:00" u="1"/>
        <d v="2023-09-07T00:00:00" u="1"/>
        <d v="2023-09-08T00:00:00" u="1"/>
        <d v="2023-09-09T00:00:00" u="1"/>
        <d v="2023-09-10T00:00:00" u="1"/>
        <d v="2023-09-11T00:00:00" u="1"/>
        <d v="2023-09-12T00:00:00" u="1"/>
        <d v="2023-09-13T00:00:00" u="1"/>
        <d v="2023-09-14T00:00:00" u="1"/>
        <d v="2023-09-15T00:00:00" u="1"/>
        <d v="2023-09-16T00:00:00" u="1"/>
        <d v="2023-09-17T00:00:00" u="1"/>
        <d v="2023-09-18T00:00:00" u="1"/>
        <d v="2023-09-19T00:00:00" u="1"/>
        <d v="2023-09-20T00:00:00" u="1"/>
        <d v="2023-09-21T00:00:00" u="1"/>
        <d v="2023-09-22T00:00:00" u="1"/>
        <d v="2023-09-23T00:00:00" u="1"/>
        <d v="2023-09-24T00:00:00" u="1"/>
        <d v="2023-09-25T00:00:00" u="1"/>
        <d v="2023-09-26T00:00:00" u="1"/>
        <d v="2023-09-27T00:00:00" u="1"/>
        <d v="2023-09-28T00:00:00" u="1"/>
        <d v="2023-09-29T00:00:00" u="1"/>
        <d v="2023-09-30T00:00:00" u="1"/>
        <d v="2023-10-01T00:00:00" u="1"/>
        <d v="2023-10-02T00:00:00" u="1"/>
        <d v="2023-10-03T00:00:00" u="1"/>
        <d v="2023-10-04T00:00:00" u="1"/>
        <d v="2023-10-05T00:00:00" u="1"/>
        <d v="2023-10-06T00:00:00" u="1"/>
        <d v="2023-10-07T00:00:00" u="1"/>
        <d v="2023-10-08T00:00:00" u="1"/>
        <d v="2023-10-09T00:00:00" u="1"/>
        <d v="2023-10-10T00:00:00" u="1"/>
        <d v="2023-10-11T00:00:00" u="1"/>
        <d v="2023-10-12T00:00:00" u="1"/>
        <d v="2023-10-13T00:00:00" u="1"/>
        <d v="2023-10-14T00:00:00" u="1"/>
        <d v="2023-10-15T00:00:00" u="1"/>
        <d v="2023-10-16T00:00:00" u="1"/>
        <d v="2023-10-17T00:00:00" u="1"/>
        <d v="2023-10-18T00:00:00" u="1"/>
        <d v="2023-10-19T00:00:00" u="1"/>
        <d v="2023-10-20T00:00:00" u="1"/>
        <d v="2023-10-21T00:00:00" u="1"/>
        <d v="2023-10-22T00:00:00" u="1"/>
        <d v="2023-10-23T00:00:00" u="1"/>
        <d v="2023-10-24T00:00:00" u="1"/>
        <d v="2023-10-25T00:00:00" u="1"/>
        <d v="2023-10-26T00:00:00" u="1"/>
        <d v="2023-10-27T00:00:00" u="1"/>
        <d v="2023-10-28T00:00:00" u="1"/>
        <d v="2023-10-29T00:00:00" u="1"/>
        <d v="2023-10-30T00:00:00" u="1"/>
        <d v="2023-10-31T00:00:00" u="1"/>
        <d v="2023-11-01T00:00:00" u="1"/>
        <d v="2023-11-02T00:00:00" u="1"/>
        <d v="2023-11-03T00:00:00" u="1"/>
        <d v="2023-11-04T00:00:00" u="1"/>
        <d v="2023-11-05T00:00:00" u="1"/>
        <d v="2023-11-06T00:00:00" u="1"/>
        <d v="2023-11-07T00:00:00" u="1"/>
        <d v="2023-11-08T00:00:00" u="1"/>
        <d v="2023-11-09T00:00:00" u="1"/>
        <d v="2023-11-10T00:00:00" u="1"/>
        <d v="2023-11-11T00:00:00" u="1"/>
        <d v="2023-11-12T00:00:00" u="1"/>
        <d v="2023-11-13T00:00:00" u="1"/>
        <d v="2023-11-14T00:00:00" u="1"/>
        <d v="2023-11-15T00:00:00" u="1"/>
        <d v="2023-11-16T00:00:00" u="1"/>
        <d v="2023-11-17T00:00:00" u="1"/>
        <d v="2023-11-18T00:00:00" u="1"/>
        <d v="2023-11-19T00:00:00" u="1"/>
        <d v="2023-11-20T00:00:00" u="1"/>
        <d v="2023-11-21T00:00:00" u="1"/>
        <d v="2023-11-22T00:00:00" u="1"/>
        <d v="2023-11-23T00:00:00" u="1"/>
        <d v="2023-11-24T00:00:00" u="1"/>
        <d v="2023-11-25T00:00:00" u="1"/>
        <d v="2023-11-26T00:00:00" u="1"/>
        <d v="2023-11-27T00:00:00" u="1"/>
        <d v="2023-11-28T00:00:00" u="1"/>
        <d v="2023-11-29T00:00:00" u="1"/>
        <d v="2023-11-30T00:00:00" u="1"/>
        <d v="2023-12-01T00:00:00" u="1"/>
        <d v="2023-12-02T00:00:00" u="1"/>
        <d v="2023-12-03T00:00:00" u="1"/>
        <d v="2023-12-04T00:00:00" u="1"/>
        <d v="2023-12-05T00:00:00" u="1"/>
        <d v="2023-12-06T00:00:00" u="1"/>
        <d v="2023-12-07T00:00:00" u="1"/>
        <d v="2023-12-08T00:00:00" u="1"/>
        <d v="2023-12-09T00:00:00" u="1"/>
        <d v="2023-12-10T00:00:00" u="1"/>
        <d v="2023-12-11T00:00:00" u="1"/>
        <d v="2023-12-12T00:00:00" u="1"/>
        <d v="2023-12-13T00:00:00" u="1"/>
        <d v="2023-12-14T00:00:00" u="1"/>
        <d v="2023-12-15T00:00:00" u="1"/>
        <d v="2023-12-16T00:00:00" u="1"/>
        <d v="2023-12-17T00:00:00" u="1"/>
        <d v="2023-12-18T00:00:00" u="1"/>
        <d v="2023-12-19T00:00:00" u="1"/>
        <d v="2023-12-20T00:00:00" u="1"/>
        <d v="2023-12-21T00:00:00" u="1"/>
        <d v="2023-12-22T00:00:00" u="1"/>
        <d v="2023-12-23T00:00:00" u="1"/>
        <d v="2023-12-24T00:00:00" u="1"/>
        <d v="2023-12-25T00:00:00" u="1"/>
        <d v="2023-12-26T00:00:00" u="1"/>
        <d v="2023-12-27T00:00:00" u="1"/>
        <d v="2023-12-28T00:00:00" u="1"/>
        <d v="2023-12-29T00:00:00" u="1"/>
        <d v="2023-12-30T00:00:00" u="1"/>
        <d v="2023-12-31T00:00:00" u="1"/>
        <d v="2024-01-01T00:00:00" u="1"/>
        <d v="2024-01-02T00:00:00" u="1"/>
        <d v="2024-01-03T00:00:00" u="1"/>
        <d v="2024-01-04T00:00:00" u="1"/>
        <d v="2024-01-05T00:00:00" u="1"/>
        <d v="2024-01-06T00:00:00" u="1"/>
        <d v="2024-01-07T00:00:00" u="1"/>
        <d v="2024-01-08T00:00:00" u="1"/>
        <d v="2024-01-09T00:00:00" u="1"/>
        <d v="2024-01-10T00:00:00" u="1"/>
        <d v="2024-01-11T00:00:00" u="1"/>
        <d v="2024-01-12T00:00:00" u="1"/>
        <d v="2024-01-13T00:00:00" u="1"/>
        <d v="2024-01-14T00:00:00" u="1"/>
        <d v="2024-01-15T00:00:00" u="1"/>
        <d v="2024-01-16T00:00:00" u="1"/>
        <d v="2024-01-17T00:00:00" u="1"/>
        <d v="2024-01-18T00:00:00" u="1"/>
        <d v="2024-01-19T00:00:00" u="1"/>
        <d v="2024-01-20T00:00:00" u="1"/>
        <d v="2024-01-21T00:00:00" u="1"/>
        <d v="2024-01-22T00:00:00" u="1"/>
        <d v="2024-01-23T00:00:00" u="1"/>
        <d v="2024-01-24T00:00:00" u="1"/>
        <d v="2024-01-25T00:00:00" u="1"/>
        <d v="2024-01-26T00:00:00" u="1"/>
        <d v="2024-01-27T00:00:00" u="1"/>
        <d v="2024-01-28T00:00:00" u="1"/>
        <d v="2024-01-29T00:00:00" u="1"/>
        <d v="2024-01-30T00:00:00" u="1"/>
        <d v="2024-01-31T00:00:00" u="1"/>
        <d v="2024-02-01T00:00:00" u="1"/>
        <d v="2024-02-02T00:00:00" u="1"/>
        <d v="2024-02-03T00:00:00" u="1"/>
        <d v="2024-02-04T00:00:00" u="1"/>
        <d v="2024-02-05T00:00:00" u="1"/>
        <d v="2024-02-06T00:00:00" u="1"/>
        <d v="2024-02-07T00:00:00" u="1"/>
        <d v="2024-02-08T00:00:00" u="1"/>
        <d v="2024-02-09T00:00:00" u="1"/>
        <d v="2024-02-10T00:00:00" u="1"/>
        <d v="2024-02-11T00:00:00" u="1"/>
        <d v="2024-02-12T00:00:00" u="1"/>
        <d v="2024-02-13T00:00:00" u="1"/>
        <d v="2024-02-14T00:00:00" u="1"/>
        <d v="2024-02-15T00:00:00" u="1"/>
        <d v="2024-02-16T00:00:00" u="1"/>
        <d v="2024-02-17T00:00:00" u="1"/>
        <d v="2024-02-18T00:00:00" u="1"/>
        <d v="2024-02-19T00:00:00" u="1"/>
        <d v="2024-02-20T00:00:00" u="1"/>
        <d v="2024-02-21T00:00:00" u="1"/>
        <d v="2024-02-22T00:00:00" u="1"/>
        <d v="2024-02-23T00:00:00" u="1"/>
        <d v="2024-02-24T00:00:00" u="1"/>
        <d v="2024-02-25T00:00:00" u="1"/>
        <d v="2024-02-26T00:00:00" u="1"/>
        <d v="2024-02-27T00:00:00" u="1"/>
        <d v="2024-02-28T00:00:00" u="1"/>
        <d v="2024-02-29T00:00:00" u="1"/>
        <d v="2024-03-01T00:00:00" u="1"/>
        <d v="2024-03-02T00:00:00" u="1"/>
        <d v="2024-03-03T00:00:00" u="1"/>
        <d v="2024-03-04T00:00:00" u="1"/>
        <d v="2024-03-05T00:00:00" u="1"/>
        <d v="2024-03-06T00:00:00" u="1"/>
        <d v="2024-03-07T00:00:00" u="1"/>
        <d v="2024-03-08T00:00:00" u="1"/>
        <d v="2024-03-09T00:00:00" u="1"/>
        <d v="2024-03-10T00:00:00" u="1"/>
        <d v="2024-03-11T00:00:00" u="1"/>
        <d v="2024-03-12T00:00:00" u="1"/>
        <d v="2024-03-13T00:00:00" u="1"/>
        <d v="2024-03-14T00:00:00" u="1"/>
        <d v="2024-03-15T00:00:00" u="1"/>
        <d v="2024-03-16T00:00:00" u="1"/>
        <d v="2024-03-17T00:00:00" u="1"/>
        <d v="2024-03-18T00:00:00" u="1"/>
        <d v="2024-03-19T00:00:00" u="1"/>
        <d v="2024-03-20T00:00:00" u="1"/>
        <d v="2024-03-21T00:00:00" u="1"/>
        <d v="2024-03-22T00:00:00" u="1"/>
        <d v="2024-03-23T00:00:00" u="1"/>
        <d v="2024-03-24T00:00:00" u="1"/>
        <d v="2024-03-25T00:00:00" u="1"/>
        <d v="2024-03-26T00:00:00" u="1"/>
        <d v="2024-03-27T00:00:00" u="1"/>
        <d v="2024-03-28T00:00:00" u="1"/>
        <d v="2024-03-29T00:00:00" u="1"/>
        <d v="2024-03-30T00:00:00" u="1"/>
        <d v="2024-03-31T00:00:00" u="1"/>
        <d v="2024-04-01T00:00:00" u="1"/>
        <d v="2024-04-02T00:00:00" u="1"/>
        <d v="2024-04-03T00:00:00" u="1"/>
        <d v="2024-04-04T00:00:00" u="1"/>
        <d v="2024-04-05T00:00:00" u="1"/>
        <d v="2024-04-06T00:00:00" u="1"/>
        <d v="2024-04-07T00:00:00" u="1"/>
        <d v="2024-04-08T00:00:00" u="1"/>
        <d v="2024-04-09T00:00:00" u="1"/>
        <d v="2024-04-10T00:00:00" u="1"/>
        <d v="2024-04-11T00:00:00" u="1"/>
        <d v="2024-04-12T00:00:00" u="1"/>
        <d v="2024-04-13T00:00:00" u="1"/>
        <d v="2024-04-14T00:00:00" u="1"/>
        <d v="2024-04-15T00:00:00" u="1"/>
        <d v="2024-04-16T00:00:00" u="1"/>
        <d v="2024-04-17T00:00:00" u="1"/>
        <d v="2024-04-18T00:00:00" u="1"/>
        <d v="2024-04-19T00:00:00" u="1"/>
        <d v="2024-04-20T00:00:00" u="1"/>
        <d v="2024-04-21T00:00:00" u="1"/>
        <d v="2024-04-22T00:00:00" u="1"/>
        <d v="2024-04-23T00:00:00" u="1"/>
        <d v="2024-04-24T00:00:00" u="1"/>
        <d v="2024-04-25T00:00:00" u="1"/>
        <d v="2024-04-26T00:00:00" u="1"/>
        <d v="2024-04-27T00:00:00" u="1"/>
        <d v="2024-04-28T00:00:00" u="1"/>
        <d v="2024-04-29T00:00:00" u="1"/>
        <d v="2024-04-30T00:00:00" u="1"/>
        <d v="2024-05-01T00:00:00" u="1"/>
        <d v="2024-05-02T00:00:00" u="1"/>
        <d v="2024-05-03T00:00:00" u="1"/>
        <d v="2024-05-04T00:00:00" u="1"/>
        <d v="2024-05-05T00:00:00" u="1"/>
        <d v="2024-05-06T00:00:00" u="1"/>
        <d v="2024-05-07T00:00:00" u="1"/>
        <d v="2024-05-08T00:00:00" u="1"/>
        <d v="2024-05-09T00:00:00" u="1"/>
        <d v="2024-05-10T00:00:00" u="1"/>
        <d v="2024-05-11T00:00:00" u="1"/>
        <d v="2024-05-12T00:00:00" u="1"/>
        <d v="2024-05-13T00:00:00" u="1"/>
        <d v="2024-05-14T00:00:00" u="1"/>
        <d v="2024-05-15T00:00:00" u="1"/>
        <d v="2024-05-16T00:00:00" u="1"/>
        <d v="2024-05-17T00:00:00" u="1"/>
        <d v="2024-05-18T00:00:00" u="1"/>
        <d v="2024-05-19T00:00:00" u="1"/>
        <d v="2024-05-20T00:00:00" u="1"/>
        <d v="2024-05-21T00:00:00" u="1"/>
        <d v="2024-05-22T00:00:00" u="1"/>
        <d v="2024-05-23T00:00:00" u="1"/>
        <d v="2024-05-24T00:00:00" u="1"/>
        <d v="2024-05-25T00:00:00" u="1"/>
        <d v="2024-05-26T00:00:00" u="1"/>
        <d v="2024-05-27T00:00:00" u="1"/>
        <d v="2024-05-28T00:00:00" u="1"/>
        <d v="2024-05-29T00:00:00" u="1"/>
        <d v="2024-05-30T00:00:00" u="1"/>
        <d v="2024-05-31T00:00:00" u="1"/>
        <d v="2024-06-01T00:00:00" u="1"/>
        <d v="2024-06-02T00:00:00" u="1"/>
        <d v="2024-06-03T00:00:00" u="1"/>
        <d v="2024-06-04T00:00:00" u="1"/>
        <d v="2024-06-05T00:00:00" u="1"/>
        <d v="2024-06-06T00:00:00" u="1"/>
        <d v="2024-06-07T00:00:00" u="1"/>
        <d v="2024-06-08T00:00:00" u="1"/>
        <d v="2024-06-09T00:00:00" u="1"/>
        <d v="2024-06-10T00:00:00" u="1"/>
        <d v="2024-06-11T00:00:00" u="1"/>
        <d v="2024-06-12T00:00:00" u="1"/>
        <d v="2024-06-13T00:00:00" u="1"/>
        <d v="2024-06-14T00:00:00" u="1"/>
        <d v="2024-06-15T00:00:00" u="1"/>
        <d v="2024-06-16T00:00:00" u="1"/>
        <d v="2024-06-17T00:00:00" u="1"/>
        <d v="2024-06-18T00:00:00" u="1"/>
        <d v="2024-06-19T00:00:00" u="1"/>
        <d v="2024-06-20T00:00:00" u="1"/>
        <d v="2024-06-21T00:00:00" u="1"/>
        <d v="2024-06-22T00:00:00" u="1"/>
        <d v="2024-06-23T00:00:00" u="1"/>
        <d v="2024-06-24T00:00:00" u="1"/>
        <d v="2024-06-25T00:00:00" u="1"/>
        <d v="2024-06-26T00:00:00" u="1"/>
        <d v="2024-06-27T00:00:00" u="1"/>
        <d v="2024-06-28T00:00:00" u="1"/>
        <d v="2024-06-29T00:00:00" u="1"/>
        <d v="2024-06-30T00:00:00" u="1"/>
        <d v="2024-07-01T00:00:00" u="1"/>
        <d v="2024-07-02T00:00:00" u="1"/>
        <d v="2024-07-03T00:00:00" u="1"/>
        <d v="2024-07-04T00:00:00" u="1"/>
        <d v="2024-07-05T00:00:00" u="1"/>
        <d v="2024-07-06T00:00:00" u="1"/>
        <d v="2024-07-07T00:00:00" u="1"/>
        <d v="2024-07-08T00:00:00" u="1"/>
        <d v="2024-07-09T00:00:00" u="1"/>
        <d v="2024-07-10T00:00:00" u="1"/>
        <d v="2024-07-11T00:00:00" u="1"/>
        <d v="2024-07-12T00:00:00" u="1"/>
        <d v="2024-07-13T00:00:00" u="1"/>
        <d v="2024-07-14T00:00:00" u="1"/>
        <d v="2024-07-15T00:00:00" u="1"/>
        <d v="2024-07-16T00:00:00" u="1"/>
        <d v="2024-07-17T00:00:00" u="1"/>
        <d v="2024-07-18T00:00:00" u="1"/>
        <d v="2024-07-19T00:00:00" u="1"/>
        <d v="2024-07-20T00:00:00" u="1"/>
        <d v="2024-07-21T00:00:00" u="1"/>
        <d v="2024-07-22T00:00:00" u="1"/>
        <d v="2024-07-23T00:00:00" u="1"/>
        <d v="2024-07-24T00:00:00" u="1"/>
        <d v="2024-07-25T00:00:00" u="1"/>
        <d v="2024-07-26T00:00:00" u="1"/>
        <d v="2024-07-27T00:00:00" u="1"/>
        <d v="2024-07-28T00:00:00" u="1"/>
        <d v="2024-07-29T00:00:00" u="1"/>
        <d v="2024-07-30T00:00:00" u="1"/>
        <d v="2024-07-31T00:00:00" u="1"/>
        <d v="2024-08-01T00:00:00" u="1"/>
        <d v="2024-08-02T00:00:00" u="1"/>
        <d v="2024-08-03T00:00:00" u="1"/>
        <d v="2024-08-04T00:00:00" u="1"/>
        <d v="2024-08-05T00:00:00" u="1"/>
        <d v="2024-08-06T00:00:00" u="1"/>
        <d v="2024-08-07T00:00:00" u="1"/>
        <d v="2024-08-08T00:00:00" u="1"/>
        <d v="2024-08-09T00:00:00" u="1"/>
        <d v="2024-08-10T00:00:00" u="1"/>
        <d v="2024-08-11T00:00:00" u="1"/>
        <d v="2024-08-12T00:00:00" u="1"/>
        <d v="2024-08-13T00:00:00" u="1"/>
        <d v="2024-08-14T00:00:00" u="1"/>
        <d v="2024-08-15T00:00:00" u="1"/>
        <d v="2024-08-16T00:00:00" u="1"/>
        <d v="2024-08-17T00:00:00" u="1"/>
        <d v="2024-08-18T00:00:00" u="1"/>
        <d v="2024-08-19T00:00:00" u="1"/>
        <d v="2024-08-20T00:00:00" u="1"/>
        <d v="2024-08-21T00:00:00" u="1"/>
        <d v="2024-08-22T00:00:00" u="1"/>
        <d v="2024-08-23T00:00:00" u="1"/>
        <d v="2024-08-24T00:00:00" u="1"/>
        <d v="2024-08-25T00:00:00" u="1"/>
        <d v="2024-08-26T00:00:00" u="1"/>
        <d v="2024-08-27T00:00:00" u="1"/>
        <d v="2024-08-28T00:00:00" u="1"/>
        <d v="2024-08-29T00:00:00" u="1"/>
        <d v="2024-08-30T00:00:00" u="1"/>
        <d v="2024-08-31T00:00:00" u="1"/>
        <d v="2024-09-01T00:00:00" u="1"/>
        <d v="2024-09-02T00:00:00" u="1"/>
        <d v="2024-09-03T00:00:00" u="1"/>
        <d v="2024-09-04T00:00:00" u="1"/>
        <d v="2024-09-05T00:00:00" u="1"/>
        <d v="2024-09-06T00:00:00" u="1"/>
        <d v="2024-09-07T00:00:00" u="1"/>
        <d v="2024-09-08T00:00:00" u="1"/>
        <d v="2024-09-09T00:00:00" u="1"/>
        <d v="2024-09-10T00:00:00" u="1"/>
        <d v="2024-09-11T00:00:00" u="1"/>
        <d v="2024-09-12T00:00:00" u="1"/>
        <d v="2024-09-13T00:00:00" u="1"/>
        <d v="2024-09-14T00:00:00" u="1"/>
        <d v="2024-09-15T00:00:00" u="1"/>
        <d v="2024-09-16T00:00:00" u="1"/>
        <d v="2024-09-17T00:00:00" u="1"/>
        <d v="2024-09-18T00:00:00" u="1"/>
        <d v="2024-09-19T00:00:00" u="1"/>
        <d v="2024-09-20T00:00:00" u="1"/>
        <d v="2024-09-21T00:00:00" u="1"/>
        <d v="2024-09-22T00:00:00" u="1"/>
        <d v="2024-09-23T00:00:00" u="1"/>
        <d v="2024-09-24T00:00:00" u="1"/>
        <d v="2024-09-25T00:00:00" u="1"/>
        <d v="2024-09-26T00:00:00" u="1"/>
        <d v="2024-09-27T00:00:00" u="1"/>
        <d v="2024-09-28T00:00:00" u="1"/>
        <d v="2024-09-29T00:00:00" u="1"/>
        <d v="2024-09-30T00:00:00" u="1"/>
        <d v="2024-10-01T00:00:00" u="1"/>
        <d v="2024-10-02T00:00:00" u="1"/>
        <d v="2024-10-03T00:00:00" u="1"/>
        <d v="2024-10-04T00:00:00" u="1"/>
        <d v="2024-10-05T00:00:00" u="1"/>
        <d v="2024-10-06T00:00:00" u="1"/>
        <d v="2024-10-07T00:00:00" u="1"/>
        <d v="2024-10-08T00:00:00" u="1"/>
        <d v="2024-10-09T00:00:00" u="1"/>
        <d v="2024-10-10T00:00:00" u="1"/>
        <d v="2024-10-11T00:00:00" u="1"/>
        <d v="2024-10-12T00:00:00" u="1"/>
        <d v="2024-10-13T00:00:00" u="1"/>
        <d v="2024-10-14T00:00:00" u="1"/>
        <d v="2024-10-15T00:00:00" u="1"/>
        <d v="2024-10-16T00:00:00" u="1"/>
        <d v="2024-10-17T00:00:00" u="1"/>
        <d v="2024-10-18T00:00:00" u="1"/>
        <d v="2024-10-19T00:00:00" u="1"/>
        <d v="2024-10-20T00:00:00" u="1"/>
        <d v="2024-10-21T00:00:00" u="1"/>
        <d v="2024-10-22T00:00:00" u="1"/>
        <d v="2024-10-23T00:00:00" u="1"/>
        <d v="2024-10-24T00:00:00" u="1"/>
        <d v="2024-10-25T00:00:00" u="1"/>
        <d v="2024-10-26T00:00:00" u="1"/>
        <d v="2024-10-27T00:00:00" u="1"/>
        <d v="2024-10-28T00:00:00" u="1"/>
        <d v="2024-10-29T00:00:00" u="1"/>
        <d v="2024-10-30T00:00:00" u="1"/>
        <d v="2024-10-31T00:00:00" u="1"/>
        <d v="2024-11-01T00:00:00" u="1"/>
        <d v="2024-11-02T00:00:00" u="1"/>
        <d v="2024-11-03T00:00:00" u="1"/>
        <d v="2024-11-04T00:00:00" u="1"/>
        <d v="2024-11-05T00:00:00" u="1"/>
        <d v="2024-11-06T00:00:00" u="1"/>
        <d v="2024-11-07T00:00:00" u="1"/>
        <d v="2024-11-08T00:00:00" u="1"/>
        <d v="2024-11-09T00:00:00" u="1"/>
        <d v="2024-11-10T00:00:00" u="1"/>
        <d v="2024-11-11T00:00:00" u="1"/>
        <d v="2024-11-12T00:00:00" u="1"/>
        <d v="2024-11-13T00:00:00" u="1"/>
        <d v="2024-11-14T00:00:00" u="1"/>
        <d v="2024-11-15T00:00:00" u="1"/>
        <d v="2024-11-16T00:00:00" u="1"/>
        <d v="2024-11-17T00:00:00" u="1"/>
        <d v="2024-11-18T00:00:00" u="1"/>
        <d v="2024-11-19T00:00:00" u="1"/>
        <d v="2024-11-20T00:00:00" u="1"/>
        <d v="2024-11-21T00:00:00" u="1"/>
        <d v="2024-11-22T00:00:00" u="1"/>
        <d v="2024-11-23T00:00:00" u="1"/>
        <d v="2024-11-24T00:00:00" u="1"/>
        <d v="2024-11-25T00:00:00" u="1"/>
        <d v="2024-11-26T00:00:00" u="1"/>
        <d v="2024-11-27T00:00:00" u="1"/>
        <d v="2024-11-28T00:00:00" u="1"/>
        <d v="2024-11-29T00:00:00" u="1"/>
        <d v="2024-11-30T00:00:00" u="1"/>
        <d v="2024-12-01T00:00:00" u="1"/>
        <d v="2024-12-02T00:00:00" u="1"/>
        <d v="2024-12-03T00:00:00" u="1"/>
        <d v="2024-12-04T00:00:00" u="1"/>
        <d v="2024-12-05T00:00:00" u="1"/>
        <d v="2024-12-06T00:00:00" u="1"/>
        <d v="2024-12-07T00:00:00" u="1"/>
        <d v="2024-12-08T00:00:00" u="1"/>
        <d v="2024-12-09T00:00:00" u="1"/>
        <d v="2024-12-10T00:00:00" u="1"/>
        <d v="2024-12-11T00:00:00" u="1"/>
        <d v="2024-12-12T00:00:00" u="1"/>
        <d v="2024-12-13T00:00:00" u="1"/>
        <d v="2024-12-14T00:00:00" u="1"/>
        <d v="2024-12-15T00:00:00" u="1"/>
        <d v="2024-12-16T00:00:00" u="1"/>
        <d v="2024-12-17T00:00:00" u="1"/>
        <d v="2024-12-18T00:00:00" u="1"/>
        <d v="2024-12-19T00:00:00" u="1"/>
        <d v="2024-12-20T00:00:00" u="1"/>
        <d v="2024-12-21T00:00:00" u="1"/>
        <d v="2024-12-22T00:00:00" u="1"/>
        <d v="2024-12-23T00:00:00" u="1"/>
        <d v="2024-12-24T00:00:00" u="1"/>
        <d v="2024-12-25T00:00:00" u="1"/>
        <d v="2024-12-26T00:00:00" u="1"/>
        <d v="2024-12-27T00:00:00" u="1"/>
        <d v="2024-12-28T00:00:00" u="1"/>
        <d v="2024-12-29T00:00:00" u="1"/>
        <d v="2024-12-30T00:00:00" u="1"/>
        <d v="2024-12-31T00:00:00" u="1"/>
        <d v="2025-01-01T00:00:00" u="1"/>
        <d v="2025-01-02T00:00:00" u="1"/>
        <d v="2025-01-03T00:00:00" u="1"/>
        <d v="2025-01-04T00:00:00" u="1"/>
        <d v="2025-01-05T00:00:00" u="1"/>
        <d v="2025-01-06T00:00:00" u="1"/>
        <d v="2025-01-07T00:00:00" u="1"/>
        <d v="2025-01-08T00:00:00" u="1"/>
        <d v="2025-01-09T00:00:00" u="1"/>
        <d v="2025-01-10T00:00:00" u="1"/>
        <d v="2025-01-11T00:00:00" u="1"/>
        <d v="2025-01-12T00:00:00" u="1"/>
        <d v="2025-01-13T00:00:00" u="1"/>
        <d v="2025-01-14T00:00:00" u="1"/>
        <d v="2025-01-15T00:00:00" u="1"/>
        <d v="2025-01-16T00:00:00" u="1"/>
        <d v="2025-01-17T00:00:00" u="1"/>
        <d v="2025-01-18T00:00:00" u="1"/>
        <d v="2025-01-19T00:00:00" u="1"/>
        <d v="2025-01-20T00:00:00" u="1"/>
        <d v="2025-01-21T00:00:00" u="1"/>
        <d v="2025-01-22T00:00:00" u="1"/>
        <d v="2025-01-23T00:00:00" u="1"/>
        <d v="2025-01-24T00:00:00" u="1"/>
        <d v="2025-01-25T00:00:00" u="1"/>
        <d v="2025-01-26T00:00:00" u="1"/>
        <d v="2025-01-27T00:00:00" u="1"/>
        <d v="2025-01-28T00:00:00" u="1"/>
        <d v="2025-01-29T00:00:00" u="1"/>
        <d v="2025-01-30T00:00:00" u="1"/>
        <d v="2025-01-31T00:00:00" u="1"/>
      </sharedItems>
      <fieldGroup par="52"/>
    </cacheField>
    <cacheField name="Finacial Year" numFmtId="0">
      <sharedItems containsSemiMixedTypes="0" containsString="0" containsNumber="1" containsInteger="1" minValue="2025" maxValue="2026"/>
    </cacheField>
    <cacheField name="Calendor Year" numFmtId="0">
      <sharedItems containsSemiMixedTypes="0" containsString="0" containsNumber="1" containsInteger="1" minValue="2025" maxValue="2025"/>
    </cacheField>
    <cacheField name="Month Year" numFmtId="171">
      <sharedItems containsSemiMixedTypes="0" containsNonDate="0" containsDate="1" containsString="0" minDate="2025-02-01T00:00:00" maxDate="2025-12-02T00:00:00"/>
    </cacheField>
    <cacheField name="Days" numFmtId="0">
      <sharedItems containsSemiMixedTypes="0" containsString="0" containsNumber="1" containsInteger="1" minValue="28" maxValue="31"/>
    </cacheField>
    <cacheField name="Sunrise Time (POA&gt;20 W/m2)" numFmtId="173">
      <sharedItems containsNonDate="0" containsDate="1" containsString="0" containsBlank="1" minDate="1899-12-30T06:12:00" maxDate="1899-12-30T10:02:00"/>
    </cacheField>
    <cacheField name="Sunset Time (POA&lt;20 W/m2)" numFmtId="173">
      <sharedItems containsNonDate="0" containsDate="1" containsString="0" containsBlank="1" minDate="1899-12-30T17:20:00" maxDate="1899-12-30T18:25:00"/>
    </cacheField>
    <cacheField name="IS1Inv1" numFmtId="1">
      <sharedItems containsString="0" containsBlank="1" containsNumber="1" minValue="0" maxValue="26169.200000000001"/>
    </cacheField>
    <cacheField name="IS1Inv2" numFmtId="1">
      <sharedItems containsString="0" containsBlank="1" containsNumber="1" minValue="0" maxValue="26546.3"/>
    </cacheField>
    <cacheField name="IS2Inv1" numFmtId="1">
      <sharedItems containsString="0" containsBlank="1" containsNumber="1" minValue="0" maxValue="36288.5"/>
    </cacheField>
    <cacheField name="IS2Inv2" numFmtId="1">
      <sharedItems containsString="0" containsBlank="1" containsNumber="1" minValue="0" maxValue="36779.1"/>
    </cacheField>
    <cacheField name="IS3Inv1" numFmtId="1">
      <sharedItems containsString="0" containsBlank="1" containsNumber="1" minValue="0" maxValue="35644"/>
    </cacheField>
    <cacheField name="IS4Inv1" numFmtId="1">
      <sharedItems containsString="0" containsBlank="1" containsNumber="1" minValue="0" maxValue="24655.7"/>
    </cacheField>
    <cacheField name="IS4Inv2" numFmtId="1">
      <sharedItems containsString="0" containsBlank="1" containsNumber="1" minValue="99.7" maxValue="28092.9"/>
    </cacheField>
    <cacheField name="IS15_Inv1_M1" numFmtId="1">
      <sharedItems containsNonDate="0" containsString="0" containsBlank="1"/>
    </cacheField>
    <cacheField name="IS15_Inv1_M2" numFmtId="1">
      <sharedItems containsNonDate="0" containsString="0" containsBlank="1"/>
    </cacheField>
    <cacheField name="POA_UP_IS1 (KWh/m2)" numFmtId="0">
      <sharedItems containsString="0" containsBlank="1" containsNumber="1" minValue="3.8330777300000021" maxValue="7.16"/>
    </cacheField>
    <cacheField name="GHI_UP_IS1 (KWh/m2)" numFmtId="0">
      <sharedItems containsString="0" containsBlank="1" containsNumber="1" minValue="3.4841065249999992" maxValue="7.28"/>
    </cacheField>
    <cacheField name="AT_IS1 (°C)" numFmtId="0">
      <sharedItems containsString="0" containsBlank="1" containsNumber="1" minValue="26.492139550561813" maxValue="39.86"/>
    </cacheField>
    <cacheField name="MT_IS1 (°C)" numFmtId="0">
      <sharedItems containsString="0" containsBlank="1" containsNumber="1" minValue="33.794326292134812" maxValue="50.97"/>
    </cacheField>
    <cacheField name="RH_IS1 (%)" numFmtId="0">
      <sharedItems containsString="0" containsBlank="1" containsNumber="1" minValue="10.25" maxValue="41.09"/>
    </cacheField>
    <cacheField name="Rain_IS1 (mm)" numFmtId="0">
      <sharedItems containsString="0" containsBlank="1" containsNumber="1" containsInteger="1" minValue="0" maxValue="0"/>
    </cacheField>
    <cacheField name="WS_Avg_IS1 (m/s)" numFmtId="0">
      <sharedItems containsString="0" containsBlank="1" containsNumber="1" minValue="0.03" maxValue="3.72"/>
    </cacheField>
    <cacheField name="WS_Max_IS1 (m/s)" numFmtId="0">
      <sharedItems containsString="0" containsBlank="1" containsNumber="1" minValue="4.8" maxValue="11.83"/>
    </cacheField>
    <cacheField name="O2RE7" numFmtId="0">
      <sharedItems containsSemiMixedTypes="0" containsString="0" containsNumber="1" minValue="0" maxValue="161353.70000000001"/>
    </cacheField>
    <cacheField name="O2RE27" numFmtId="167">
      <sharedItems containsSemiMixedTypes="0" containsString="0" containsNumber="1" minValue="0" maxValue="47642.7"/>
    </cacheField>
    <cacheField name="Inv Total Gneration (MWh)" numFmtId="167">
      <sharedItems containsSemiMixedTypes="0" containsString="0" containsNumber="1" minValue="0" maxValue="194360.7"/>
    </cacheField>
    <cacheField name="33 kV_F1_Ex" numFmtId="0">
      <sharedItems containsNonDate="0" containsString="0" containsBlank="1"/>
    </cacheField>
    <cacheField name="33kV_OG1_Ex" numFmtId="0">
      <sharedItems containsString="0" containsBlank="1" containsNumber="1" minValue="462" maxValue="10977"/>
    </cacheField>
    <cacheField name="220kV_TX1_Ex" numFmtId="0">
      <sharedItems containsNonDate="0" containsString="0" containsBlank="1"/>
    </cacheField>
    <cacheField name="220kV_TL_TVM_Ex" numFmtId="0">
      <sharedItems containsString="0" containsBlank="1" containsNumber="1" minValue="470" maxValue="7283.7"/>
    </cacheField>
    <cacheField name="220kV_C&amp;R_PQM_Ex" numFmtId="0">
      <sharedItems containsString="0" containsBlank="1" containsNumber="1" minValue="39.1" maxValue="10719.214"/>
    </cacheField>
    <cacheField name="220kV_C&amp;R_PQM_Imp" numFmtId="0">
      <sharedItems containsString="0" containsBlank="1" containsNumber="1" minValue="0" maxValue="0.04"/>
    </cacheField>
    <cacheField name="33kV_Aux1_Im" numFmtId="0">
      <sharedItems containsString="0" containsBlank="1" containsNumber="1" minValue="0.12" maxValue="1.28"/>
    </cacheField>
    <cacheField name="33 kV_Solar_F1_Energy (kWh)" numFmtId="1">
      <sharedItems containsBlank="1"/>
    </cacheField>
    <cacheField name="33kV_OG1_Energy (KWh)" numFmtId="1">
      <sharedItems containsSemiMixedTypes="0" containsString="0" containsNumber="1" minValue="0" maxValue="462000"/>
    </cacheField>
    <cacheField name="220kV_TL_TVM Energy (KWh)" numFmtId="1">
      <sharedItems containsSemiMixedTypes="0" containsString="0" containsNumber="1" minValue="0" maxValue="752000"/>
    </cacheField>
    <cacheField name="220kV_C&amp;R_PQM_Ex (KWh)" numFmtId="1">
      <sharedItems containsMixedTypes="1" containsNumber="1" minValue="0" maxValue="190719.99999999936"/>
    </cacheField>
    <cacheField name="220kV_C&amp;R_PQM_Imp (KWh)2" numFmtId="1">
      <sharedItems containsMixedTypes="1" containsNumber="1" minValue="0" maxValue="120"/>
    </cacheField>
    <cacheField name="33kV_Aux1_Im(KWh)" numFmtId="1">
      <sharedItems containsMixedTypes="1" containsNumber="1" minValue="0" maxValue="120"/>
    </cacheField>
    <cacheField name="33 kV Total Export (KWH)" numFmtId="1">
      <sharedItems containsSemiMixedTypes="0" containsString="0" containsNumber="1" minValue="0" maxValue="462000"/>
    </cacheField>
    <cacheField name="220 KV Net Export (KWh)" numFmtId="1">
      <sharedItems containsMixedTypes="1" containsNumber="1" minValue="0" maxValue="751880"/>
    </cacheField>
    <cacheField name="33 kV Line Loss (%)" numFmtId="10">
      <sharedItems containsMixedTypes="1" containsNumber="1" minValue="-1" maxValue="4.0569176882661981"/>
    </cacheField>
    <cacheField name="Operating Hours" numFmtId="2">
      <sharedItems containsSemiMixedTypes="0" containsString="0" containsNumber="1" minValue="0" maxValue="12.183333333333335"/>
    </cacheField>
    <cacheField name=" Export (33 kV)" numFmtId="164">
      <sharedItems containsSemiMixedTypes="0" containsString="0" containsNumber="1" minValue="0" maxValue="462000"/>
    </cacheField>
    <cacheField name=" Net Export" numFmtId="164">
      <sharedItems containsSemiMixedTypes="0" containsString="0" containsNumber="1" minValue="-1412295.9719789836" maxValue="190836.00544902054"/>
    </cacheField>
    <cacheField name="Connected DC Capcity (MWp)" numFmtId="0">
      <sharedItems containsString="0" containsBlank="1" containsNumber="1" minValue="25.73" maxValue="39.21"/>
    </cacheField>
    <cacheField name="E_AC (WPR)" numFmtId="0">
      <sharedItems containsNonDate="0" containsString="0" containsBlank="1"/>
    </cacheField>
    <cacheField name="E_DC (WPR)" numFmtId="0">
      <sharedItems containsNonDate="0" containsString="0" containsBlank="1"/>
    </cacheField>
    <cacheField name="WPR (%)" numFmtId="0">
      <sharedItems/>
    </cacheField>
    <cacheField name="Months (Date)" numFmtId="0" databaseField="0">
      <fieldGroup base="0">
        <rangePr groupBy="months" startDate="2025-02-01T00:00:00" endDate="2026-01-01T00:00:00"/>
        <groupItems count="14">
          <s v="&lt;01-02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6"/>
        </groupItems>
      </fieldGroup>
    </cacheField>
    <cacheField name="Quarters (Date)" numFmtId="0" databaseField="0">
      <fieldGroup base="0">
        <rangePr groupBy="quarters" startDate="2025-02-01T00:00:00" endDate="2026-01-01T00:00:00"/>
        <groupItems count="6">
          <s v="&lt;01-02-2025"/>
          <s v="Qtr1"/>
          <s v="Qtr2"/>
          <s v="Qtr3"/>
          <s v="Qtr4"/>
          <s v="&gt;01-01-2026"/>
        </groupItems>
      </fieldGroup>
    </cacheField>
    <cacheField name="Years (Date)" numFmtId="0" databaseField="0">
      <fieldGroup base="0">
        <rangePr groupBy="years" startDate="2025-02-01T00:00:00" endDate="2026-01-01T00:00:00"/>
        <groupItems count="4">
          <s v="&lt;01-02-2025"/>
          <s v="2025"/>
          <s v="2026"/>
          <s v="&gt;01-01-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n v="0"/>
    <n v="0"/>
    <n v="0"/>
    <n v="0"/>
    <n v="0"/>
    <s v=""/>
    <n v="0"/>
    <n v="0"/>
    <n v="0"/>
    <m/>
    <m/>
    <m/>
    <s v=""/>
  </r>
  <r>
    <x v="1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"/>
    <n v="2025"/>
    <n v="2025"/>
    <d v="2025-02-01T00:00:00"/>
    <n v="28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4"/>
    <n v="2025"/>
    <n v="2025"/>
    <d v="2025-02-01T00:00:00"/>
    <n v="28"/>
    <m/>
    <m/>
    <n v="14.3"/>
    <n v="63.6"/>
    <n v="307"/>
    <n v="0"/>
    <n v="0"/>
    <n v="0"/>
    <m/>
    <m/>
    <m/>
    <m/>
    <m/>
    <m/>
    <m/>
    <m/>
    <m/>
    <m/>
    <m/>
    <n v="384.9"/>
    <n v="0"/>
    <n v="384.9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5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6"/>
    <n v="2025"/>
    <n v="2025"/>
    <d v="2025-02-01T00:00:00"/>
    <n v="28"/>
    <m/>
    <m/>
    <n v="0"/>
    <n v="0"/>
    <n v="0"/>
    <n v="0"/>
    <n v="0"/>
    <n v="357.4"/>
    <m/>
    <m/>
    <m/>
    <m/>
    <m/>
    <m/>
    <m/>
    <m/>
    <m/>
    <m/>
    <m/>
    <n v="0"/>
    <n v="357.4"/>
    <n v="357.4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7"/>
    <n v="2025"/>
    <n v="2025"/>
    <d v="2025-02-01T00:00:00"/>
    <n v="28"/>
    <m/>
    <m/>
    <n v="0"/>
    <n v="0"/>
    <n v="0"/>
    <n v="0"/>
    <n v="0"/>
    <n v="127.8"/>
    <m/>
    <m/>
    <m/>
    <m/>
    <m/>
    <m/>
    <m/>
    <m/>
    <m/>
    <m/>
    <m/>
    <n v="0"/>
    <n v="127.8"/>
    <n v="127.8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8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"/>
    <n v="2025"/>
    <n v="2025"/>
    <d v="2025-02-01T00:00:00"/>
    <n v="28"/>
    <m/>
    <m/>
    <n v="0"/>
    <n v="0"/>
    <n v="0"/>
    <n v="0"/>
    <n v="0"/>
    <n v="0"/>
    <m/>
    <m/>
    <m/>
    <m/>
    <m/>
    <m/>
    <m/>
    <m/>
    <m/>
    <m/>
    <m/>
    <n v="0"/>
    <n v="0"/>
    <n v="0"/>
    <m/>
    <m/>
    <m/>
    <n v="470"/>
    <m/>
    <m/>
    <n v="0.12"/>
    <s v=""/>
    <n v="0"/>
    <n v="752000"/>
    <s v=""/>
    <n v="120"/>
    <n v="120"/>
    <n v="0"/>
    <n v="751880"/>
    <n v="-1"/>
    <n v="0"/>
    <n v="0"/>
    <n v="0"/>
    <m/>
    <m/>
    <m/>
    <s v=""/>
  </r>
  <r>
    <x v="10"/>
    <n v="2025"/>
    <n v="2025"/>
    <d v="2025-02-01T00:00:00"/>
    <n v="28"/>
    <d v="1899-12-30T10:02:00"/>
    <d v="1899-12-30T17:58:00"/>
    <n v="1466.3"/>
    <n v="1809.1"/>
    <n v="872.4"/>
    <n v="60.7"/>
    <n v="0"/>
    <n v="1043.5999999999999"/>
    <m/>
    <m/>
    <m/>
    <n v="4.0894753799999997"/>
    <n v="3.7523453199999963"/>
    <n v="33.686243487394975"/>
    <n v="47.582668277310937"/>
    <n v="32.210099159663883"/>
    <n v="0"/>
    <n v="2.106743697478989"/>
    <n v="8.23"/>
    <n v="4208.4999999999991"/>
    <n v="1043.5999999999999"/>
    <n v="5252.0999999999985"/>
    <m/>
    <m/>
    <m/>
    <n v="472.5"/>
    <m/>
    <m/>
    <n v="0.12"/>
    <s v=""/>
    <n v="0"/>
    <n v="4000"/>
    <s v=""/>
    <n v="0"/>
    <n v="0"/>
    <n v="0"/>
    <n v="4000"/>
    <n v="-1"/>
    <n v="7.9333333333333336"/>
    <n v="0"/>
    <n v="0"/>
    <m/>
    <m/>
    <m/>
    <s v=""/>
  </r>
  <r>
    <x v="11"/>
    <n v="2025"/>
    <n v="2025"/>
    <d v="2025-02-01T00:00:00"/>
    <n v="28"/>
    <d v="1899-12-30T07:09:00"/>
    <d v="1899-12-30T18:03:00"/>
    <n v="14656.5"/>
    <n v="16188.8"/>
    <n v="4433.5"/>
    <n v="0"/>
    <n v="7808.9"/>
    <n v="3448.1"/>
    <m/>
    <m/>
    <m/>
    <n v="4.1293276750000034"/>
    <n v="3.7183764699999999"/>
    <n v="30.898724599999991"/>
    <n v="39.885205200000023"/>
    <n v="28.33793099999998"/>
    <n v="0"/>
    <n v="2.6291199999999999"/>
    <n v="7.71"/>
    <n v="43087.700000000004"/>
    <n v="3448.1"/>
    <n v="46535.8"/>
    <m/>
    <m/>
    <m/>
    <n v="502.3"/>
    <m/>
    <m/>
    <n v="0.12"/>
    <s v=""/>
    <n v="0"/>
    <n v="47680.000000000015"/>
    <s v=""/>
    <n v="0"/>
    <n v="0"/>
    <n v="0"/>
    <n v="47680.000000000015"/>
    <n v="-1"/>
    <n v="10.9"/>
    <n v="0"/>
    <n v="0"/>
    <n v="25.73"/>
    <m/>
    <m/>
    <s v=""/>
  </r>
  <r>
    <x v="12"/>
    <n v="2025"/>
    <n v="2025"/>
    <d v="2025-02-01T00:00:00"/>
    <n v="28"/>
    <d v="1899-12-30T07:08:00"/>
    <d v="1899-12-30T18:08:00"/>
    <n v="20354.3"/>
    <n v="21587.4"/>
    <n v="27500.1"/>
    <n v="2056.8000000000002"/>
    <n v="10611.3"/>
    <n v="8591.7999999999993"/>
    <m/>
    <m/>
    <m/>
    <n v="3.8330777300000021"/>
    <n v="3.4841065249999992"/>
    <n v="26.492139550561813"/>
    <n v="33.794326292134812"/>
    <n v="32.30738112359554"/>
    <n v="0"/>
    <n v="3.0159101123595495"/>
    <n v="8.9600000000000009"/>
    <n v="82109.899999999994"/>
    <n v="8591.7999999999993"/>
    <n v="90701.7"/>
    <m/>
    <m/>
    <m/>
    <n v="557.9"/>
    <m/>
    <m/>
    <n v="0.12"/>
    <s v=""/>
    <n v="0"/>
    <n v="88959.999999999942"/>
    <s v=""/>
    <n v="0"/>
    <n v="0"/>
    <n v="0"/>
    <n v="88959.999999999942"/>
    <n v="-1"/>
    <n v="11"/>
    <n v="0"/>
    <n v="0"/>
    <n v="25.73"/>
    <m/>
    <m/>
    <s v=""/>
  </r>
  <r>
    <x v="13"/>
    <n v="2025"/>
    <n v="2025"/>
    <d v="2025-02-01T00:00:00"/>
    <n v="28"/>
    <d v="1899-12-30T07:07:00"/>
    <d v="1899-12-30T18:06:00"/>
    <n v="10930.5"/>
    <n v="12023.8"/>
    <n v="13626.1"/>
    <n v="16915.3"/>
    <n v="5933.9"/>
    <n v="1665.4"/>
    <m/>
    <m/>
    <m/>
    <n v="6.1266714266666691"/>
    <n v="5.5545637600000033"/>
    <n v="27.907991469194307"/>
    <n v="39.258701105845162"/>
    <n v="22.077766034755172"/>
    <n v="0"/>
    <n v="2.2087835703001595"/>
    <n v="5.73"/>
    <n v="59429.599999999999"/>
    <n v="1665.4"/>
    <n v="61095"/>
    <m/>
    <m/>
    <m/>
    <n v="594.9"/>
    <n v="39.1"/>
    <n v="0"/>
    <n v="0.13"/>
    <s v=""/>
    <n v="0"/>
    <n v="59200"/>
    <n v="39100"/>
    <n v="10.000000000000009"/>
    <n v="10.000000000000009"/>
    <n v="0"/>
    <n v="59190"/>
    <n v="-1"/>
    <n v="10.983333333333333"/>
    <n v="0"/>
    <n v="0"/>
    <n v="25.73"/>
    <m/>
    <m/>
    <s v=""/>
  </r>
  <r>
    <x v="14"/>
    <n v="2025"/>
    <n v="2025"/>
    <d v="2025-02-01T00:00:00"/>
    <n v="28"/>
    <d v="1899-12-30T07:04:00"/>
    <d v="1899-12-30T18:07:00"/>
    <n v="19545.3"/>
    <n v="21761.200000000001"/>
    <n v="26449.9"/>
    <n v="31321.9"/>
    <n v="1542.1"/>
    <n v="1507"/>
    <m/>
    <m/>
    <m/>
    <n v="5.8016031199999967"/>
    <n v="5.26830945166666"/>
    <n v="29.877313195548492"/>
    <n v="39.993111605723371"/>
    <n v="21.570651828298868"/>
    <n v="0"/>
    <n v="2.0696343402225756"/>
    <n v="6.6"/>
    <n v="100620.4"/>
    <n v="1507"/>
    <n v="102127.4"/>
    <m/>
    <m/>
    <m/>
    <n v="657.4"/>
    <n v="138.88"/>
    <n v="0"/>
    <n v="0.13"/>
    <s v=""/>
    <n v="0"/>
    <n v="100000"/>
    <n v="99780"/>
    <n v="0"/>
    <n v="0"/>
    <n v="0"/>
    <n v="100000"/>
    <n v="-1"/>
    <n v="11.049999999999999"/>
    <n v="0"/>
    <n v="0"/>
    <n v="25.73"/>
    <m/>
    <m/>
    <s v=""/>
  </r>
  <r>
    <x v="15"/>
    <n v="2025"/>
    <n v="2025"/>
    <d v="2025-02-01T00:00:00"/>
    <n v="28"/>
    <d v="1899-12-30T07:05:00"/>
    <d v="1899-12-30T18:06:00"/>
    <n v="12350.9"/>
    <n v="14515.4"/>
    <n v="14517.7"/>
    <n v="11799.5"/>
    <n v="6100"/>
    <n v="4935.3"/>
    <m/>
    <m/>
    <m/>
    <n v="6.0372056066666691"/>
    <n v="5.5122128883333303"/>
    <n v="31.018818098159528"/>
    <n v="43.121462269938675"/>
    <n v="21.481464263803684"/>
    <n v="0"/>
    <n v="2.159953987730062"/>
    <n v="7.3"/>
    <n v="59283.5"/>
    <n v="4935.3"/>
    <n v="64218.8"/>
    <m/>
    <m/>
    <m/>
    <n v="696.8"/>
    <n v="201.63"/>
    <n v="0.01"/>
    <n v="0.13"/>
    <s v=""/>
    <n v="0"/>
    <n v="63039.999999999964"/>
    <n v="62750"/>
    <n v="0"/>
    <n v="0"/>
    <n v="0"/>
    <n v="63039.999999999964"/>
    <n v="-1"/>
    <n v="11.016666666666666"/>
    <n v="0"/>
    <n v="0"/>
    <n v="25.73"/>
    <m/>
    <m/>
    <s v=""/>
  </r>
  <r>
    <x v="16"/>
    <n v="2025"/>
    <n v="2025"/>
    <d v="2025-02-01T00:00:00"/>
    <n v="28"/>
    <d v="1899-12-30T07:04:00"/>
    <d v="1899-12-30T18:05:00"/>
    <n v="15973"/>
    <n v="17124.599999999999"/>
    <n v="11136"/>
    <n v="11480.9"/>
    <n v="4940.5"/>
    <n v="6863.5"/>
    <m/>
    <m/>
    <m/>
    <n v="6.03503750166667"/>
    <n v="5.5368909449999988"/>
    <n v="31.140511497730714"/>
    <n v="43.094274130105923"/>
    <n v="23.727501361573392"/>
    <n v="0"/>
    <n v="1.8506202723146747"/>
    <n v="6.04"/>
    <n v="60655"/>
    <n v="6863.5"/>
    <n v="67518.5"/>
    <m/>
    <n v="462"/>
    <m/>
    <n v="753.9"/>
    <n v="292.73"/>
    <n v="0.01"/>
    <n v="0.13"/>
    <s v=""/>
    <n v="462000"/>
    <n v="91360.000000000029"/>
    <n v="91100.000000000029"/>
    <n v="0"/>
    <n v="0"/>
    <n v="462000"/>
    <n v="91360.000000000029"/>
    <n v="4.0569176882661981"/>
    <n v="11.016666666666666"/>
    <n v="462000"/>
    <n v="-1412295.9719789836"/>
    <n v="25.73"/>
    <m/>
    <m/>
    <s v=""/>
  </r>
  <r>
    <x v="17"/>
    <n v="2025"/>
    <n v="2025"/>
    <d v="2025-02-01T00:00:00"/>
    <n v="28"/>
    <d v="1899-12-30T07:05:00"/>
    <d v="1899-12-30T18:06:00"/>
    <n v="18565.5"/>
    <n v="21121.5"/>
    <n v="12855.8"/>
    <n v="14077.5"/>
    <n v="7351.1"/>
    <n v="5391.2"/>
    <m/>
    <m/>
    <m/>
    <n v="5.7756282066666627"/>
    <n v="5.3281188366666656"/>
    <n v="31.63572981651372"/>
    <n v="42.972879663608545"/>
    <n v="26.374784403669707"/>
    <n v="0"/>
    <n v="2.0830733944954147"/>
    <n v="6.84"/>
    <n v="73971.400000000009"/>
    <n v="5391.2"/>
    <n v="79362.600000000006"/>
    <m/>
    <n v="571"/>
    <m/>
    <n v="821.3"/>
    <n v="400.3"/>
    <n v="0.01"/>
    <n v="0.14000000000000001"/>
    <s v=""/>
    <n v="109000"/>
    <n v="107839.99999999997"/>
    <n v="107570"/>
    <n v="10.000000000000009"/>
    <n v="10.000000000000009"/>
    <n v="109000"/>
    <n v="107829.99999999997"/>
    <n v="1.0850412686636668E-2"/>
    <n v="11.016666666666666"/>
    <n v="109000"/>
    <n v="107817.3050171566"/>
    <n v="25.73"/>
    <m/>
    <m/>
    <s v=""/>
  </r>
  <r>
    <x v="18"/>
    <n v="2025"/>
    <n v="2025"/>
    <d v="2025-02-01T00:00:00"/>
    <n v="28"/>
    <d v="1899-12-30T07:03:00"/>
    <d v="1899-12-30T18:04:00"/>
    <n v="17979.900000000001"/>
    <n v="19865.599999999999"/>
    <n v="12036.6"/>
    <n v="13181"/>
    <n v="7000.4"/>
    <n v="6251.1"/>
    <m/>
    <m/>
    <m/>
    <n v="5.7040034950000038"/>
    <n v="5.2856175633333295"/>
    <n v="31.138144090909091"/>
    <n v="41.857509999999941"/>
    <n v="30.495603939393963"/>
    <n v="0"/>
    <n v="2.3147272727272732"/>
    <n v="6.92"/>
    <n v="70063.5"/>
    <n v="6251.1"/>
    <n v="76314.600000000006"/>
    <m/>
    <n v="675.39"/>
    <m/>
    <n v="886"/>
    <n v="503.75"/>
    <n v="0.02"/>
    <n v="0.14000000000000001"/>
    <s v=""/>
    <n v="104389.99999999999"/>
    <n v="103520.00000000007"/>
    <n v="103449.99999999999"/>
    <n v="0"/>
    <n v="0"/>
    <n v="104389.99999999999"/>
    <n v="103520.00000000007"/>
    <n v="8.4041731066453185E-3"/>
    <n v="11.016666666666666"/>
    <n v="104389.99999999999"/>
    <n v="103512.68836939728"/>
    <n v="25.73"/>
    <m/>
    <m/>
    <s v=""/>
  </r>
  <r>
    <x v="19"/>
    <n v="2025"/>
    <n v="2025"/>
    <d v="2025-02-01T00:00:00"/>
    <n v="28"/>
    <d v="1899-12-30T07:04:00"/>
    <d v="1899-12-30T18:05:00"/>
    <n v="6774.9"/>
    <n v="7158"/>
    <n v="6330.5"/>
    <n v="6526.1"/>
    <n v="4480.1000000000004"/>
    <n v="3874.2"/>
    <m/>
    <m/>
    <m/>
    <n v="5.672602519999991"/>
    <n v="5.301340961666674"/>
    <n v="30.631803622047215"/>
    <n v="44.170030866141701"/>
    <n v="27.514204251968522"/>
    <n v="0"/>
    <n v="2.0077165354330719"/>
    <n v="5.74"/>
    <n v="31269.599999999999"/>
    <n v="3874.2"/>
    <n v="35143.799999999996"/>
    <m/>
    <n v="725"/>
    <m/>
    <n v="916.8"/>
    <n v="552.79"/>
    <n v="0.04"/>
    <n v="0.14000000000000001"/>
    <s v=""/>
    <n v="49610.000000000015"/>
    <n v="49279.999999999927"/>
    <n v="49039.999999999964"/>
    <n v="0"/>
    <n v="0"/>
    <n v="49610.000000000015"/>
    <n v="49279.999999999927"/>
    <n v="6.6964285714303795E-3"/>
    <n v="11.016666666666666"/>
    <n v="49610.000000000015"/>
    <n v="49277.790178571355"/>
    <n v="25.73"/>
    <m/>
    <m/>
    <s v=""/>
  </r>
  <r>
    <x v="20"/>
    <n v="2025"/>
    <n v="2025"/>
    <d v="2025-02-01T00:00:00"/>
    <n v="28"/>
    <d v="1899-12-30T06:59:00"/>
    <d v="1899-12-30T18:07:00"/>
    <n v="20584.5"/>
    <n v="21411.9"/>
    <n v="14662.1"/>
    <n v="14966.4"/>
    <n v="7910.7"/>
    <n v="7020.4"/>
    <m/>
    <m/>
    <m/>
    <n v="6.1320215116666734"/>
    <n v="5.7125027033333327"/>
    <n v="31.222499101796398"/>
    <n v="43.867619760479045"/>
    <n v="23.640102544910167"/>
    <n v="0"/>
    <n v="1.9827245508982037"/>
    <n v="5.76"/>
    <n v="79535.599999999991"/>
    <n v="7020.4"/>
    <n v="86555.999999999985"/>
    <m/>
    <n v="842"/>
    <m/>
    <n v="989.9"/>
    <n v="669.44"/>
    <n v="0.04"/>
    <n v="0.15"/>
    <s v=""/>
    <n v="117000"/>
    <n v="116960.00000000003"/>
    <n v="116650.00000000009"/>
    <n v="9.9999999999999805"/>
    <n v="9.9999999999999805"/>
    <n v="117000"/>
    <n v="116950.00000000003"/>
    <n v="4.2753313381771463E-4"/>
    <n v="11.133333333333333"/>
    <n v="117000"/>
    <n v="116949.97862334333"/>
    <n v="25.73"/>
    <m/>
    <m/>
    <s v=""/>
  </r>
  <r>
    <x v="21"/>
    <n v="2025"/>
    <n v="2025"/>
    <d v="2025-02-01T00:00:00"/>
    <n v="28"/>
    <d v="1899-12-30T07:01:00"/>
    <d v="1899-12-30T18:08:00"/>
    <n v="21237.4"/>
    <n v="20351.400000000001"/>
    <n v="15174"/>
    <n v="15968.4"/>
    <n v="7840.2"/>
    <n v="7015.3"/>
    <m/>
    <m/>
    <m/>
    <n v="6.0064611499999963"/>
    <n v="5.5608111066666668"/>
    <n v="30.580061631419937"/>
    <n v="40.649326737160116"/>
    <n v="25.746243051359507"/>
    <n v="0"/>
    <n v="2.5844561933534744"/>
    <n v="6.61"/>
    <n v="80571.399999999994"/>
    <n v="7015.3"/>
    <n v="87586.7"/>
    <m/>
    <n v="962"/>
    <m/>
    <n v="1064.0999999999999"/>
    <n v="788"/>
    <n v="0.04"/>
    <n v="0.16"/>
    <s v=""/>
    <n v="120000"/>
    <n v="118719.99999999988"/>
    <n v="118559.99999999994"/>
    <n v="10.000000000000009"/>
    <n v="10.000000000000009"/>
    <n v="120000"/>
    <n v="118709.99999999988"/>
    <n v="1.086681829669045E-2"/>
    <n v="11.116666666666665"/>
    <n v="120000"/>
    <n v="118695.98180439715"/>
    <n v="25.73"/>
    <m/>
    <m/>
    <s v=""/>
  </r>
  <r>
    <x v="22"/>
    <n v="2025"/>
    <n v="2025"/>
    <d v="2025-02-01T00:00:00"/>
    <n v="28"/>
    <d v="1899-12-30T07:01:00"/>
    <d v="1899-12-30T18:06:00"/>
    <n v="20620.2"/>
    <n v="21593.200000000001"/>
    <n v="15921.3"/>
    <n v="15637.7"/>
    <n v="7609.1"/>
    <n v="6786.7"/>
    <m/>
    <m/>
    <m/>
    <n v="5.7472487683333275"/>
    <n v="5.4444262400000021"/>
    <n v="29.948071794871826"/>
    <n v="39.835181447963784"/>
    <n v="23.86"/>
    <n v="0"/>
    <n v="2.4083559577677223"/>
    <n v="6.8"/>
    <n v="81381.5"/>
    <n v="6786.7"/>
    <n v="88168.2"/>
    <m/>
    <n v="1082"/>
    <m/>
    <n v="1138.7"/>
    <n v="907.4"/>
    <n v="0.04"/>
    <n v="0.16"/>
    <s v=""/>
    <n v="120000"/>
    <n v="119360.00000000022"/>
    <n v="119399.99999999997"/>
    <n v="0"/>
    <n v="0"/>
    <n v="120000"/>
    <n v="119360.00000000022"/>
    <n v="5.3619302949043934E-3"/>
    <n v="11.083333333333332"/>
    <n v="120000"/>
    <n v="119356.56836461148"/>
    <n v="25.73"/>
    <m/>
    <m/>
    <s v=""/>
  </r>
  <r>
    <x v="23"/>
    <n v="2025"/>
    <n v="2025"/>
    <d v="2025-02-01T00:00:00"/>
    <n v="28"/>
    <d v="1899-12-30T07:01:00"/>
    <d v="1899-12-30T18:09:00"/>
    <n v="20512.3"/>
    <n v="21388.5"/>
    <n v="16048.1"/>
    <m/>
    <n v="7600.7"/>
    <n v="6691"/>
    <m/>
    <m/>
    <m/>
    <n v="5.3666447750000001"/>
    <n v="5.041488951666663"/>
    <n v="30.181044615384629"/>
    <n v="42.957616410256399"/>
    <n v="24.271241880341901"/>
    <n v="0"/>
    <n v="1.9968888888888887"/>
    <n v="6.57"/>
    <n v="65549.600000000006"/>
    <n v="6691"/>
    <n v="72240.600000000006"/>
    <m/>
    <n v="1203.8"/>
    <m/>
    <n v="1213.8"/>
    <n v="1026.99"/>
    <n v="0.04"/>
    <n v="0.16"/>
    <s v=""/>
    <n v="121799.99999999996"/>
    <n v="120159.99999999985"/>
    <n v="119590.00000000003"/>
    <n v="0"/>
    <n v="0"/>
    <n v="121799.99999999996"/>
    <n v="120159.99999999985"/>
    <n v="1.364846870838976E-2"/>
    <n v="11.133333333333333"/>
    <n v="121799.99999999996"/>
    <n v="120137.61651131809"/>
    <n v="25.73"/>
    <m/>
    <m/>
    <s v=""/>
  </r>
  <r>
    <x v="24"/>
    <n v="2025"/>
    <n v="2025"/>
    <d v="2025-02-01T00:00:00"/>
    <n v="28"/>
    <d v="1899-12-30T06:58:00"/>
    <d v="1899-12-30T17:58:00"/>
    <n v="21952.9"/>
    <n v="21520"/>
    <n v="32144.2"/>
    <n v="31679.4"/>
    <n v="10046.4"/>
    <n v="7427"/>
    <m/>
    <m/>
    <m/>
    <n v="5.9343803449999966"/>
    <n v="5.585575906666663"/>
    <n v="29.802610892587012"/>
    <n v="40.552769137670218"/>
    <n v="24.78948971255673"/>
    <n v="0"/>
    <n v="2.9870272314674708"/>
    <n v="7.24"/>
    <n v="117342.9"/>
    <n v="7427"/>
    <n v="124769.9"/>
    <m/>
    <n v="1327"/>
    <m/>
    <n v="1290.3"/>
    <n v="1149.1300000000001"/>
    <n v="0.04"/>
    <n v="0.17"/>
    <s v=""/>
    <n v="123200.00000000004"/>
    <n v="122400"/>
    <n v="122140.0000000001"/>
    <n v="10.000000000000009"/>
    <n v="10.000000000000009"/>
    <n v="123200.00000000004"/>
    <n v="122390"/>
    <n v="6.618187760438321E-3"/>
    <n v="11"/>
    <n v="123200.00000000004"/>
    <n v="122384.63926791404"/>
    <n v="25.73"/>
    <m/>
    <m/>
    <s v=""/>
  </r>
  <r>
    <x v="25"/>
    <n v="2025"/>
    <n v="2025"/>
    <d v="2025-02-01T00:00:00"/>
    <n v="28"/>
    <d v="1899-12-30T07:00:00"/>
    <d v="1899-12-30T18:08:00"/>
    <n v="22846"/>
    <n v="21312.5"/>
    <n v="15940.1"/>
    <n v="15717.9"/>
    <n v="7632.1"/>
    <n v="6701.09"/>
    <m/>
    <m/>
    <m/>
    <n v="5.87"/>
    <n v="5.54"/>
    <n v="30.41"/>
    <n v="39.869999999999997"/>
    <n v="27.17"/>
    <n v="0"/>
    <n v="0.14000000000000001"/>
    <n v="7.03"/>
    <n v="83448.600000000006"/>
    <n v="6701.09"/>
    <n v="90149.69"/>
    <m/>
    <n v="1450"/>
    <m/>
    <n v="1366.9"/>
    <n v="1271.42"/>
    <n v="0.04"/>
    <n v="0.18"/>
    <s v=""/>
    <n v="123000"/>
    <n v="122560.00000000022"/>
    <n v="122289.99999999997"/>
    <n v="9.9999999999999805"/>
    <n v="9.9999999999999805"/>
    <n v="123000"/>
    <n v="122550.00000000022"/>
    <n v="3.6719706242331895E-3"/>
    <n v="11.133333333333333"/>
    <n v="123000"/>
    <n v="122548.34761321932"/>
    <n v="25.73"/>
    <m/>
    <m/>
    <s v=""/>
  </r>
  <r>
    <x v="26"/>
    <n v="2025"/>
    <n v="2025"/>
    <d v="2025-02-01T00:00:00"/>
    <n v="28"/>
    <d v="1899-12-30T06:51:00"/>
    <d v="1899-12-30T18:12:00"/>
    <n v="23587.7"/>
    <n v="21984.5"/>
    <n v="16205"/>
    <n v="16015.9"/>
    <n v="9219.6"/>
    <n v="6958"/>
    <m/>
    <m/>
    <m/>
    <n v="6.19"/>
    <n v="5.79"/>
    <n v="30.94"/>
    <n v="42.01"/>
    <n v="21.76"/>
    <n v="0"/>
    <n v="0.03"/>
    <n v="6.26"/>
    <n v="87012.7"/>
    <n v="6958"/>
    <n v="93970.7"/>
    <m/>
    <n v="1580"/>
    <m/>
    <n v="1447.4"/>
    <n v="1399.93"/>
    <n v="0.04"/>
    <n v="0.19"/>
    <s v=""/>
    <n v="130000"/>
    <n v="128800"/>
    <n v="128509.99999999999"/>
    <n v="10.000000000000009"/>
    <n v="10.000000000000009"/>
    <n v="130000"/>
    <n v="128790"/>
    <n v="9.3951393741749101E-3"/>
    <n v="11.35"/>
    <n v="130000"/>
    <n v="128778.63188135726"/>
    <n v="25.73"/>
    <m/>
    <m/>
    <s v=""/>
  </r>
  <r>
    <x v="27"/>
    <n v="2025"/>
    <n v="2025"/>
    <d v="2025-02-01T00:00:00"/>
    <n v="28"/>
    <d v="1899-12-30T06:58:00"/>
    <d v="1899-12-30T18:07:00"/>
    <n v="22695.599999999999"/>
    <n v="21150.3"/>
    <n v="15656.5"/>
    <n v="15423.7"/>
    <n v="8661.6"/>
    <n v="6470.5"/>
    <m/>
    <m/>
    <m/>
    <n v="5.9319522733333345"/>
    <n v="5.4892942333333297"/>
    <n v="31.586624477611974"/>
    <n v="44.008159253731343"/>
    <n v="32.36"/>
    <n v="0"/>
    <n v="2.1379104477611932"/>
    <n v="6.18"/>
    <n v="83587.7"/>
    <n v="6470.5"/>
    <n v="90058.2"/>
    <m/>
    <n v="1704"/>
    <m/>
    <n v="1524.7"/>
    <n v="1523.37"/>
    <n v="0.04"/>
    <n v="0.21"/>
    <s v=""/>
    <n v="124000"/>
    <n v="123679.99999999993"/>
    <n v="123439.99999999983"/>
    <n v="19.999999999999989"/>
    <n v="19.999999999999989"/>
    <n v="124000"/>
    <n v="123659.99999999993"/>
    <n v="2.749474365195459E-3"/>
    <n v="11.149999999999999"/>
    <n v="124000"/>
    <n v="123659.06517871577"/>
    <n v="25.73"/>
    <m/>
    <m/>
    <s v=""/>
  </r>
  <r>
    <x v="28"/>
    <n v="2025"/>
    <n v="2025"/>
    <d v="2025-03-01T00:00:00"/>
    <n v="31"/>
    <d v="1899-12-30T06:58:00"/>
    <d v="1899-12-30T18:05:00"/>
    <n v="20994.3"/>
    <n v="19745.2"/>
    <n v="14383.4"/>
    <n v="14146.4"/>
    <n v="7951.6"/>
    <n v="6471.8"/>
    <m/>
    <m/>
    <m/>
    <n v="5.3786464950000052"/>
    <n v="5.0637963266666661"/>
    <n v="31.73325119760479"/>
    <n v="43.805277245508954"/>
    <n v="37.47"/>
    <n v="0"/>
    <n v="2.484535928143714"/>
    <n v="6.75"/>
    <n v="77220.900000000009"/>
    <n v="6471.8"/>
    <n v="83692.700000000012"/>
    <m/>
    <n v="1819"/>
    <m/>
    <n v="1596.1"/>
    <n v="1637.22"/>
    <n v="0.04"/>
    <n v="0.22"/>
    <s v=""/>
    <n v="115000"/>
    <n v="114239.99999999978"/>
    <n v="113850.00000000013"/>
    <n v="10.000000000000009"/>
    <n v="10.000000000000009"/>
    <n v="115000"/>
    <n v="114229.99999999978"/>
    <n v="6.7407861332418051E-3"/>
    <n v="11.116666666666665"/>
    <n v="115000"/>
    <n v="114224.80959467719"/>
    <n v="25.73"/>
    <m/>
    <m/>
    <s v=""/>
  </r>
  <r>
    <x v="29"/>
    <n v="2025"/>
    <n v="2025"/>
    <d v="2025-03-01T00:00:00"/>
    <n v="31"/>
    <d v="1899-12-30T06:51:00"/>
    <d v="1899-12-30T17:56:00"/>
    <n v="19207.900000000001"/>
    <n v="18007.7"/>
    <n v="13171"/>
    <n v="13004.9"/>
    <n v="7342.6"/>
    <n v="5783.7"/>
    <m/>
    <m/>
    <m/>
    <n v="4.8463335866666633"/>
    <n v="4.6134248483333282"/>
    <n v="32.666069069069081"/>
    <n v="43.641993093093092"/>
    <n v="28.326297447447441"/>
    <n v="0"/>
    <n v="1.7579879879879869"/>
    <n v="5.87"/>
    <n v="70734.100000000006"/>
    <n v="5783.7"/>
    <n v="76517.8"/>
    <m/>
    <n v="1926"/>
    <m/>
    <n v="1662.5"/>
    <n v="1743.08"/>
    <n v="0.04"/>
    <n v="0.23"/>
    <s v=""/>
    <n v="107000"/>
    <n v="106240.00000000015"/>
    <n v="105859.9999999999"/>
    <n v="10.000000000000009"/>
    <n v="10.000000000000009"/>
    <n v="107000"/>
    <n v="106230.00000000015"/>
    <n v="7.2484232326071041E-3"/>
    <n v="11.083333333333334"/>
    <n v="107000"/>
    <n v="106224.41871411105"/>
    <n v="25.73"/>
    <m/>
    <m/>
    <s v=""/>
  </r>
  <r>
    <x v="30"/>
    <n v="2025"/>
    <n v="2025"/>
    <d v="2025-03-01T00:00:00"/>
    <n v="31"/>
    <d v="1899-12-30T06:56:00"/>
    <d v="1899-12-30T18:04:00"/>
    <n v="23266.2"/>
    <n v="22909.3"/>
    <n v="14473.8"/>
    <n v="15958.5"/>
    <n v="9355"/>
    <n v="7408.4"/>
    <m/>
    <m/>
    <m/>
    <n v="6.1661503183333446"/>
    <n v="5.7827628700000036"/>
    <n v="32.426615097159981"/>
    <n v="43.093194170403585"/>
    <n v="23.95"/>
    <n v="0"/>
    <n v="2.6015844544095676"/>
    <n v="9.36"/>
    <n v="85962.8"/>
    <n v="7408.4"/>
    <n v="93371.199999999997"/>
    <m/>
    <n v="2059"/>
    <m/>
    <n v="1744.9"/>
    <n v="1874.6"/>
    <n v="0.04"/>
    <n v="0.25"/>
    <s v=""/>
    <n v="133000"/>
    <n v="131840.00000000015"/>
    <n v="131519.99999999997"/>
    <n v="19.999999999999989"/>
    <n v="19.999999999999989"/>
    <n v="133000"/>
    <n v="131820.00000000015"/>
    <n v="8.9516006675758319E-3"/>
    <n v="11.133333333333333"/>
    <n v="133000"/>
    <n v="131809.43711121241"/>
    <n v="25.73"/>
    <m/>
    <m/>
    <s v=""/>
  </r>
  <r>
    <x v="31"/>
    <n v="2025"/>
    <n v="2025"/>
    <d v="2025-03-01T00:00:00"/>
    <n v="31"/>
    <d v="1899-12-30T06:52:00"/>
    <d v="1899-12-30T18:11:00"/>
    <n v="22579.5"/>
    <n v="22175.1"/>
    <n v="15314.3"/>
    <n v="15619.2"/>
    <n v="8863.6"/>
    <n v="7179.1"/>
    <m/>
    <m/>
    <m/>
    <n v="5.8700272916666671"/>
    <n v="5.5579001566666646"/>
    <n v="32.561246470588223"/>
    <n v="43.706391764705899"/>
    <n v="24.772561617647078"/>
    <n v="0"/>
    <n v="2.1589852941176493"/>
    <n v="6.58"/>
    <n v="84551.7"/>
    <n v="7179.1"/>
    <n v="91730.8"/>
    <m/>
    <n v="2187"/>
    <m/>
    <n v="1824.2"/>
    <n v="2001.28"/>
    <n v="0.04"/>
    <n v="0.27"/>
    <s v=""/>
    <n v="128000"/>
    <n v="126879.99999999993"/>
    <n v="126680.00000000006"/>
    <n v="20.000000000000018"/>
    <n v="20.000000000000018"/>
    <n v="128000"/>
    <n v="126859.99999999993"/>
    <n v="8.9862840927013021E-3"/>
    <n v="11.316666666666666"/>
    <n v="128000"/>
    <n v="126849.75563613423"/>
    <n v="25.73"/>
    <m/>
    <m/>
    <s v=""/>
  </r>
  <r>
    <x v="32"/>
    <n v="2025"/>
    <n v="2025"/>
    <d v="2025-03-01T00:00:00"/>
    <n v="31"/>
    <d v="1899-12-30T06:53:00"/>
    <d v="1899-12-30T18:13:00"/>
    <n v="24815.8"/>
    <n v="24455.9"/>
    <n v="17064.849999999999"/>
    <n v="17117.5"/>
    <n v="10221.9"/>
    <n v="8540.7999999999993"/>
    <m/>
    <m/>
    <m/>
    <n v="6.661262763333335"/>
    <n v="6.3176677866666617"/>
    <n v="29.84990469897209"/>
    <n v="39.400013950073436"/>
    <n v="17.788211306901641"/>
    <n v="0"/>
    <n v="3.528825256975034"/>
    <n v="9.4600000000000009"/>
    <n v="93675.949999999983"/>
    <n v="8540.7999999999993"/>
    <n v="102216.74999999999"/>
    <m/>
    <n v="2330"/>
    <m/>
    <n v="1912.7"/>
    <n v="2142.6999999999998"/>
    <n v="0.04"/>
    <n v="0.28000000000000003"/>
    <s v=""/>
    <n v="143000"/>
    <n v="141600"/>
    <n v="141419.99999999985"/>
    <n v="10.000000000000009"/>
    <n v="10.000000000000009"/>
    <n v="143000"/>
    <n v="141590"/>
    <n v="9.9583303905643739E-3"/>
    <n v="11.333333333333332"/>
    <n v="143000"/>
    <n v="141575.95875414929"/>
    <n v="25.73"/>
    <m/>
    <m/>
    <s v=""/>
  </r>
  <r>
    <x v="33"/>
    <n v="2025"/>
    <n v="2025"/>
    <d v="2025-03-01T00:00:00"/>
    <n v="31"/>
    <d v="1899-12-30T06:52:00"/>
    <d v="1899-12-30T18:16:00"/>
    <n v="25107"/>
    <n v="24770.9"/>
    <n v="17300.900000000001"/>
    <n v="17133.3"/>
    <n v="10253.700000000001"/>
    <n v="9511"/>
    <m/>
    <m/>
    <m/>
    <n v="6.7426993149999985"/>
    <n v="6.442217265"/>
    <n v="29.017574890510943"/>
    <n v="41.150046131386851"/>
    <n v="13.562627445255488"/>
    <n v="0"/>
    <n v="2.3329781021897809"/>
    <n v="6.95"/>
    <n v="94565.8"/>
    <n v="9511"/>
    <n v="104076.8"/>
    <m/>
    <n v="2476"/>
    <m/>
    <n v="2003.4"/>
    <n v="2287"/>
    <n v="0.04"/>
    <n v="0.28999999999999998"/>
    <s v=""/>
    <n v="146000"/>
    <n v="145120.00000000006"/>
    <n v="144300.00000000017"/>
    <n v="9.9999999999999538"/>
    <n v="9.9999999999999538"/>
    <n v="146000"/>
    <n v="145110.00000000006"/>
    <n v="6.1332782027423427E-3"/>
    <n v="11.399999999999999"/>
    <n v="146000"/>
    <n v="145104.54138239962"/>
    <n v="25.73"/>
    <m/>
    <m/>
    <s v=""/>
  </r>
  <r>
    <x v="34"/>
    <n v="2025"/>
    <n v="2025"/>
    <d v="2025-03-01T00:00:00"/>
    <n v="31"/>
    <d v="1899-12-30T06:51:00"/>
    <d v="1899-12-30T18:14:00"/>
    <n v="24362.1"/>
    <n v="23883.4"/>
    <n v="16759.7"/>
    <n v="16603.810000000001"/>
    <n v="9683"/>
    <n v="9033.2000000000007"/>
    <m/>
    <m/>
    <m/>
    <n v="6.3591095666666622"/>
    <n v="6.1033446500000048"/>
    <n v="30.326921637426913"/>
    <n v="42.994664473684225"/>
    <n v="15.970483918128664"/>
    <n v="0"/>
    <n v="1.9230555555555573"/>
    <n v="7.53"/>
    <n v="91292.01"/>
    <n v="9033.2000000000007"/>
    <n v="100325.20999999999"/>
    <m/>
    <n v="2616"/>
    <m/>
    <n v="2090.9"/>
    <n v="2427.23"/>
    <n v="0.04"/>
    <n v="0.31"/>
    <s v=""/>
    <n v="140000"/>
    <n v="140000"/>
    <n v="140230.00000000003"/>
    <n v="20.000000000000018"/>
    <n v="20.000000000000018"/>
    <n v="140000"/>
    <n v="139980"/>
    <n v="1.4287755393627144E-4"/>
    <n v="11.383333333333333"/>
    <n v="140000"/>
    <n v="139979.99714244893"/>
    <n v="25.73"/>
    <m/>
    <m/>
    <s v=""/>
  </r>
  <r>
    <x v="35"/>
    <n v="2025"/>
    <n v="2025"/>
    <d v="2025-03-01T00:00:00"/>
    <n v="31"/>
    <d v="1899-12-30T06:51:00"/>
    <d v="1899-12-30T18:11:00"/>
    <n v="23754"/>
    <n v="23169"/>
    <n v="16257.4"/>
    <n v="16226"/>
    <n v="9274.9"/>
    <n v="8610.7000000000007"/>
    <m/>
    <m/>
    <m/>
    <n v="6.1003677650000094"/>
    <n v="5.9208204216666696"/>
    <n v="32.603180323054353"/>
    <n v="45.634789280469867"/>
    <n v="16.191688986784143"/>
    <n v="0"/>
    <n v="2.1968428781204112"/>
    <n v="7.38"/>
    <n v="88681.299999999988"/>
    <n v="8610.7000000000007"/>
    <n v="97291.999999999985"/>
    <m/>
    <n v="2754"/>
    <m/>
    <n v="2176"/>
    <n v="2563.1799999999998"/>
    <n v="0.04"/>
    <n v="0.32"/>
    <s v=""/>
    <n v="138000"/>
    <n v="136159.99999999985"/>
    <n v="135949.99999999983"/>
    <n v="10.000000000000009"/>
    <n v="10.000000000000009"/>
    <n v="138000"/>
    <n v="136149.99999999985"/>
    <n v="1.3587954461991458E-2"/>
    <n v="11.333333333333332"/>
    <n v="138000"/>
    <n v="136124.86228424517"/>
    <n v="25.73"/>
    <m/>
    <m/>
    <s v=""/>
  </r>
  <r>
    <x v="36"/>
    <n v="2025"/>
    <n v="2025"/>
    <d v="2025-03-01T00:00:00"/>
    <n v="31"/>
    <d v="1899-12-30T06:51:00"/>
    <d v="1899-12-30T18:06:00"/>
    <n v="21939.200000000001"/>
    <n v="21232.7"/>
    <n v="15186.2"/>
    <n v="14852.1"/>
    <n v="8390"/>
    <n v="7681"/>
    <m/>
    <m/>
    <m/>
    <n v="5.4084679366666659"/>
    <n v="5.2886640849999917"/>
    <n v="32.717577514792886"/>
    <n v="42.920764053254423"/>
    <n v="18.849087130177498"/>
    <n v="0"/>
    <n v="2.3454142011834311"/>
    <n v="8.02"/>
    <n v="81600.200000000012"/>
    <n v="7681"/>
    <n v="89281.200000000012"/>
    <m/>
    <n v="2879"/>
    <m/>
    <n v="2254.1999999999998"/>
    <n v="2687.89"/>
    <n v="0.04"/>
    <n v="0.33"/>
    <s v=""/>
    <n v="125000"/>
    <n v="125119.99999999971"/>
    <n v="124710.00000000003"/>
    <n v="10.000000000000009"/>
    <n v="10.000000000000009"/>
    <n v="125000"/>
    <n v="125109.99999999971"/>
    <n v="-8.7922628087055976E-4"/>
    <n v="11.25"/>
    <n v="125000"/>
    <n v="125109.90328510883"/>
    <n v="25.73"/>
    <m/>
    <m/>
    <s v=""/>
  </r>
  <r>
    <x v="37"/>
    <n v="2025"/>
    <n v="2025"/>
    <d v="2025-03-01T00:00:00"/>
    <n v="31"/>
    <d v="1899-12-30T06:53:00"/>
    <d v="1899-12-30T18:06:00"/>
    <n v="20541.8"/>
    <n v="19759.900000000001"/>
    <n v="14592.2"/>
    <n v="14101.3"/>
    <n v="7861.7"/>
    <n v="7117.1"/>
    <n v="2521"/>
    <m/>
    <m/>
    <n v="5.1030309783333303"/>
    <n v="4.986754014999998"/>
    <n v="32.191752522255179"/>
    <n v="43.889498516320501"/>
    <n v="35.686134718100867"/>
    <n v="0"/>
    <n v="2.1423590504451044"/>
    <n v="6.09"/>
    <n v="76856.899999999994"/>
    <n v="9638.1"/>
    <n v="86495"/>
    <m/>
    <n v="3001"/>
    <m/>
    <n v="2329.6"/>
    <n v="2808"/>
    <n v="0.04"/>
    <n v="0.35"/>
    <s v=""/>
    <n v="122000"/>
    <n v="120640.00000000015"/>
    <n v="120110.00000000013"/>
    <n v="19.999999999999961"/>
    <n v="19.999999999999961"/>
    <n v="122000"/>
    <n v="120620.00000000015"/>
    <n v="1.1440888741500954E-2"/>
    <n v="11.216666666666667"/>
    <n v="122000"/>
    <n v="120604.21157353689"/>
    <n v="26.73"/>
    <m/>
    <m/>
    <s v=""/>
  </r>
  <r>
    <x v="38"/>
    <n v="2025"/>
    <n v="2025"/>
    <d v="2025-03-01T00:00:00"/>
    <n v="31"/>
    <d v="1899-12-30T06:50:00"/>
    <d v="1899-12-30T18:09:00"/>
    <n v="22201.1"/>
    <n v="21144.6"/>
    <n v="16221.1"/>
    <n v="15255.3"/>
    <n v="8419.2999999999993"/>
    <n v="7572.4"/>
    <n v="3605"/>
    <m/>
    <m/>
    <n v="5.4887202833333424"/>
    <n v="5.374226491666664"/>
    <n v="32.787079117647089"/>
    <n v="44.309008382352964"/>
    <n v="34.269766764705949"/>
    <n v="0"/>
    <n v="2.3932499999999997"/>
    <n v="7.92"/>
    <n v="83241.399999999994"/>
    <n v="11177.4"/>
    <n v="94418.799999999988"/>
    <m/>
    <n v="3133"/>
    <m/>
    <n v="2411.6999999999998"/>
    <n v="2939.37"/>
    <n v="0.04"/>
    <n v="0.37"/>
    <s v=""/>
    <n v="132000"/>
    <n v="131359.99999999985"/>
    <n v="131369.99999999988"/>
    <n v="20.000000000000018"/>
    <n v="20.000000000000018"/>
    <n v="132000"/>
    <n v="131339.99999999985"/>
    <n v="5.0251256281417245E-3"/>
    <n v="11.316666666666666"/>
    <n v="132000"/>
    <n v="131336.6834170853"/>
    <n v="26.73"/>
    <m/>
    <m/>
    <s v=""/>
  </r>
  <r>
    <x v="39"/>
    <n v="2025"/>
    <n v="2025"/>
    <d v="2025-03-01T00:00:00"/>
    <n v="31"/>
    <d v="1899-12-30T06:49:00"/>
    <d v="1899-12-30T18:05:00"/>
    <n v="21473.5"/>
    <n v="20558.8"/>
    <n v="15764.9"/>
    <n v="14873.5"/>
    <n v="8227"/>
    <n v="7317.6"/>
    <n v="99.7"/>
    <m/>
    <m/>
    <n v="5.3131618899999982"/>
    <n v="5.2806775166666711"/>
    <n v="35.174067946824231"/>
    <n v="46.973532644017794"/>
    <n v="25.749966174298354"/>
    <n v="0"/>
    <n v="2.1064697193500761"/>
    <n v="5.87"/>
    <n v="80897.700000000012"/>
    <n v="7417.3"/>
    <n v="88315.000000000015"/>
    <m/>
    <n v="3259"/>
    <m/>
    <n v="2490"/>
    <n v="3064.21"/>
    <n v="0.04"/>
    <n v="0.39"/>
    <s v=""/>
    <n v="126000"/>
    <n v="125280.00000000029"/>
    <n v="124840.00000000015"/>
    <n v="20.000000000000018"/>
    <n v="20.000000000000018"/>
    <n v="126000"/>
    <n v="125260.00000000029"/>
    <n v="5.9077119591226523E-3"/>
    <n v="11.266666666666666"/>
    <n v="126000"/>
    <n v="125255.62829315054"/>
    <n v="26.73"/>
    <m/>
    <m/>
    <s v=""/>
  </r>
  <r>
    <x v="40"/>
    <n v="2025"/>
    <n v="2025"/>
    <d v="2025-03-01T00:00:00"/>
    <n v="31"/>
    <d v="1899-12-30T06:49:00"/>
    <d v="1899-12-30T18:05:00"/>
    <n v="21276.2"/>
    <n v="20531.400000000001"/>
    <n v="15610.4"/>
    <n v="14982.3"/>
    <n v="8200.7000000000007"/>
    <n v="7317"/>
    <n v="2948.2"/>
    <m/>
    <m/>
    <n v="5.2782256966666754"/>
    <n v="5.2488296016666682"/>
    <n v="35.680321991084675"/>
    <n v="45.690731649331333"/>
    <n v="19.97202778603269"/>
    <n v="0"/>
    <n v="2.17014880952381"/>
    <n v="6.11"/>
    <n v="80601"/>
    <n v="10265.200000000001"/>
    <n v="90866.2"/>
    <m/>
    <n v="3389"/>
    <m/>
    <n v="2570.6999999999998"/>
    <n v="3193.11"/>
    <n v="0.04"/>
    <n v="0.41"/>
    <s v=""/>
    <n v="130000"/>
    <n v="129119.99999999971"/>
    <n v="128900.00000000009"/>
    <n v="19.999999999999961"/>
    <n v="19.999999999999961"/>
    <n v="130000"/>
    <n v="129099.99999999971"/>
    <n v="6.9713400464779252E-3"/>
    <n v="11.266666666666666"/>
    <n v="130000"/>
    <n v="129093.72579395787"/>
    <n v="26.73"/>
    <m/>
    <m/>
    <s v=""/>
  </r>
  <r>
    <x v="41"/>
    <n v="2025"/>
    <n v="2025"/>
    <d v="2025-03-01T00:00:00"/>
    <n v="31"/>
    <d v="1899-12-30T06:49:00"/>
    <d v="1899-12-30T18:09:00"/>
    <n v="21716.6"/>
    <n v="20899.8"/>
    <n v="15907.1"/>
    <n v="15171"/>
    <n v="8292.2999999999993"/>
    <n v="7524.3"/>
    <n v="3016.7"/>
    <m/>
    <m/>
    <n v="5.3668310749999968"/>
    <n v="5.3496631566666695"/>
    <n v="35.6045585903084"/>
    <n v="46.948074155653408"/>
    <n v="18.767769309838492"/>
    <n v="0"/>
    <n v="1.8352422907488992"/>
    <n v="7.61"/>
    <n v="81986.8"/>
    <n v="10541"/>
    <n v="92527.8"/>
    <m/>
    <n v="3522"/>
    <m/>
    <n v="2652.9"/>
    <n v="3324.34"/>
    <n v="0.04"/>
    <n v="0.41"/>
    <s v=""/>
    <n v="133000"/>
    <n v="131520.00000000044"/>
    <n v="131230.00000000003"/>
    <n v="0"/>
    <n v="0"/>
    <n v="133000"/>
    <n v="131520.00000000044"/>
    <n v="1.1253041362527139E-2"/>
    <n v="11.333333333333332"/>
    <n v="133000"/>
    <n v="131503.34549878389"/>
    <n v="26.73"/>
    <m/>
    <m/>
    <s v=""/>
  </r>
  <r>
    <x v="42"/>
    <n v="2025"/>
    <n v="2025"/>
    <d v="2025-03-01T00:00:00"/>
    <n v="31"/>
    <d v="1899-12-30T06:47:00"/>
    <d v="1899-12-30T18:07:00"/>
    <n v="20420.400000000001"/>
    <n v="19680.2"/>
    <n v="15094.2"/>
    <n v="14394.3"/>
    <n v="7835.7"/>
    <n v="7088.7"/>
    <n v="2853.3"/>
    <m/>
    <m/>
    <n v="5.0838432133333402"/>
    <n v="5.0877104599999958"/>
    <n v="35.64079823788547"/>
    <n v="46.894938032305504"/>
    <n v="19.848177533039681"/>
    <n v="0"/>
    <n v="2.4650513950073401"/>
    <n v="8.41"/>
    <n v="77424.800000000003"/>
    <n v="9942"/>
    <n v="87366.8"/>
    <m/>
    <n v="3647"/>
    <m/>
    <n v="2730.6"/>
    <n v="3448.37"/>
    <n v="0.04"/>
    <n v="0.42"/>
    <s v=""/>
    <n v="125000"/>
    <n v="124319.99999999971"/>
    <n v="124029.99999999974"/>
    <n v="10.000000000000009"/>
    <n v="10.000000000000009"/>
    <n v="125000"/>
    <n v="124309.99999999971"/>
    <n v="5.5506395302091782E-3"/>
    <n v="11.333333333333332"/>
    <n v="125000"/>
    <n v="124306.17005872386"/>
    <n v="26.73"/>
    <m/>
    <m/>
    <s v=""/>
  </r>
  <r>
    <x v="43"/>
    <n v="2025"/>
    <n v="2025"/>
    <d v="2025-03-01T00:00:00"/>
    <n v="31"/>
    <d v="1899-12-30T06:53:00"/>
    <d v="1899-12-30T18:01:00"/>
    <n v="20087.900000000001"/>
    <n v="19405.099999999999"/>
    <n v="14100.5"/>
    <n v="14540.1"/>
    <n v="7665.4"/>
    <n v="7014.6"/>
    <n v="2831.1"/>
    <m/>
    <m/>
    <n v="4.9239694283333257"/>
    <n v="4.9563697633333348"/>
    <n v="35.41271569506727"/>
    <n v="46.172689985052301"/>
    <n v="25.248583856502218"/>
    <n v="0"/>
    <n v="3.3673692077727932"/>
    <n v="10.11"/>
    <n v="75799"/>
    <n v="9845.7000000000007"/>
    <n v="85644.7"/>
    <m/>
    <n v="3770"/>
    <m/>
    <n v="2806.9"/>
    <n v="3570.7"/>
    <n v="0.04"/>
    <n v="0.43"/>
    <s v=""/>
    <n v="123000"/>
    <n v="122080.00000000029"/>
    <n v="122329.99999999993"/>
    <n v="10.000000000000009"/>
    <n v="10.000000000000009"/>
    <n v="123000"/>
    <n v="122070.00000000029"/>
    <n v="7.6185795035610404E-3"/>
    <n v="11.133333333333333"/>
    <n v="123000"/>
    <n v="122062.91472106198"/>
    <n v="26.73"/>
    <m/>
    <m/>
    <s v=""/>
  </r>
  <r>
    <x v="44"/>
    <n v="2025"/>
    <n v="2025"/>
    <d v="2025-03-01T00:00:00"/>
    <n v="31"/>
    <d v="1899-12-30T06:43:00"/>
    <d v="1899-12-30T18:00:00"/>
    <n v="22105"/>
    <n v="21611.200000000001"/>
    <n v="15421.4"/>
    <n v="16046.9"/>
    <n v="8409.2000000000007"/>
    <n v="7722.4"/>
    <n v="3748.6"/>
    <m/>
    <m/>
    <n v="5.43"/>
    <n v="5.39"/>
    <n v="34.36"/>
    <n v="43.44"/>
    <n v="20.56"/>
    <n v="0"/>
    <n v="3.01"/>
    <n v="7.32"/>
    <n v="83593.7"/>
    <n v="11471"/>
    <n v="95064.7"/>
    <m/>
    <n v="3908"/>
    <m/>
    <n v="2892.7"/>
    <n v="3707.3249999999998"/>
    <n v="0.04"/>
    <n v="0.45"/>
    <s v=""/>
    <n v="138000"/>
    <n v="137279.99999999956"/>
    <n v="136625"/>
    <n v="20.000000000000018"/>
    <n v="20.000000000000018"/>
    <n v="138000"/>
    <n v="137259.99999999956"/>
    <n v="5.3912283258081839E-3"/>
    <n v="11.283333333333333"/>
    <n v="138000"/>
    <n v="137256.01049103847"/>
    <n v="26.73"/>
    <m/>
    <m/>
    <s v=""/>
  </r>
  <r>
    <x v="45"/>
    <n v="2025"/>
    <n v="2025"/>
    <d v="2025-03-01T00:00:00"/>
    <n v="31"/>
    <d v="1899-12-30T06:49:00"/>
    <d v="1899-12-30T18:08:00"/>
    <n v="21974.1"/>
    <n v="21881.599999999999"/>
    <n v="31363.200000000001"/>
    <n v="31039.5"/>
    <n v="10764.2"/>
    <n v="16423.5"/>
    <n v="7513.6"/>
    <m/>
    <m/>
    <n v="5.41"/>
    <n v="5.39"/>
    <n v="34.47"/>
    <n v="46.05"/>
    <n v="21.28"/>
    <n v="0"/>
    <n v="1.79"/>
    <n v="6.3"/>
    <n v="117022.59999999999"/>
    <n v="23937.1"/>
    <n v="140959.69999999998"/>
    <m/>
    <n v="4047"/>
    <m/>
    <n v="2979.3"/>
    <n v="3845.1869999999999"/>
    <n v="0.04"/>
    <n v="0.47"/>
    <s v=""/>
    <n v="139000"/>
    <n v="138560.00000000058"/>
    <n v="137862.00000000009"/>
    <n v="19.999999999999961"/>
    <n v="19.999999999999961"/>
    <n v="139000"/>
    <n v="138540.00000000058"/>
    <n v="3.3203406958237647E-3"/>
    <n v="11.316666666666666"/>
    <n v="139000"/>
    <n v="138538.47264328049"/>
    <n v="26.73"/>
    <m/>
    <m/>
    <s v=""/>
  </r>
  <r>
    <x v="46"/>
    <n v="2025"/>
    <n v="2025"/>
    <d v="2025-03-01T00:00:00"/>
    <n v="31"/>
    <d v="1899-12-30T06:44:00"/>
    <d v="1899-12-30T18:11:00"/>
    <n v="20912.900000000001"/>
    <n v="20704.7"/>
    <n v="30328"/>
    <n v="29809.599999999999"/>
    <n v="10233.5"/>
    <n v="15747.5"/>
    <n v="9420.2000000000007"/>
    <m/>
    <m/>
    <n v="5.25"/>
    <n v="5.25"/>
    <n v="35.33"/>
    <n v="45.27"/>
    <n v="28.23"/>
    <n v="0"/>
    <n v="3.54"/>
    <n v="8.98"/>
    <n v="111988.70000000001"/>
    <n v="25167.7"/>
    <n v="137156.40000000002"/>
    <m/>
    <n v="4183"/>
    <m/>
    <n v="3063.5"/>
    <n v="3977.33"/>
    <n v="0.04"/>
    <n v="0.49"/>
    <s v=""/>
    <n v="136000"/>
    <n v="134719.99999999971"/>
    <n v="132143.00000000003"/>
    <n v="20.000000000000018"/>
    <n v="20.000000000000018"/>
    <n v="136000"/>
    <n v="134699.99999999971"/>
    <n v="9.6510764662234294E-3"/>
    <n v="11.45"/>
    <n v="136000"/>
    <n v="134687.45360059361"/>
    <n v="26.73"/>
    <m/>
    <m/>
    <s v=""/>
  </r>
  <r>
    <x v="47"/>
    <n v="2025"/>
    <n v="2025"/>
    <d v="2025-03-01T00:00:00"/>
    <n v="31"/>
    <d v="1899-12-30T06:44:00"/>
    <d v="1899-12-30T18:10:00"/>
    <n v="20610.8"/>
    <n v="19973"/>
    <n v="29105.8"/>
    <n v="28556"/>
    <n v="9753.9"/>
    <n v="15161.9"/>
    <n v="9045.9"/>
    <m/>
    <m/>
    <n v="4.88"/>
    <n v="4.92"/>
    <n v="30.04"/>
    <n v="45.39"/>
    <n v="33.479999999999997"/>
    <n v="0"/>
    <n v="2.8"/>
    <n v="11.83"/>
    <n v="107999.5"/>
    <n v="24207.8"/>
    <n v="132207.29999999999"/>
    <m/>
    <n v="4314"/>
    <m/>
    <n v="3144.7"/>
    <n v="4109.2700000000004"/>
    <n v="0.04"/>
    <n v="0.51"/>
    <s v=""/>
    <n v="131000"/>
    <n v="129919.99999999971"/>
    <n v="131940.00000000052"/>
    <n v="20.000000000000018"/>
    <n v="20.000000000000018"/>
    <n v="131000"/>
    <n v="129899.99999999971"/>
    <n v="8.4680523479623293E-3"/>
    <n v="11.433333333333334"/>
    <n v="131000"/>
    <n v="129890.68514241693"/>
    <n v="26.73"/>
    <m/>
    <m/>
    <s v=""/>
  </r>
  <r>
    <x v="48"/>
    <n v="2025"/>
    <n v="2025"/>
    <d v="2025-03-01T00:00:00"/>
    <n v="31"/>
    <d v="1899-12-30T06:49:00"/>
    <d v="1899-12-30T18:11:00"/>
    <n v="23041.599999999999"/>
    <n v="22269.4"/>
    <n v="31782.799999999999"/>
    <n v="32351.8"/>
    <n v="10936.5"/>
    <n v="17320.099999999999"/>
    <n v="11158.7"/>
    <m/>
    <m/>
    <n v="5.45"/>
    <n v="5.57"/>
    <n v="34.28"/>
    <n v="44.78"/>
    <n v="19.89"/>
    <n v="0"/>
    <n v="2.62"/>
    <n v="7.11"/>
    <n v="120382.1"/>
    <n v="28478.799999999999"/>
    <n v="148860.9"/>
    <m/>
    <n v="4461"/>
    <m/>
    <n v="3236.2"/>
    <n v="4255.18"/>
    <n v="0.04"/>
    <n v="0.53"/>
    <s v=""/>
    <n v="147000"/>
    <n v="146400"/>
    <n v="145909.99999999985"/>
    <n v="20.000000000000018"/>
    <n v="20.000000000000018"/>
    <n v="147000"/>
    <n v="146380"/>
    <n v="4.2355513048231153E-3"/>
    <n v="11.366666666666667"/>
    <n v="147000"/>
    <n v="146377.37395819099"/>
    <n v="28.52"/>
    <m/>
    <m/>
    <s v=""/>
  </r>
  <r>
    <x v="49"/>
    <n v="2025"/>
    <n v="2025"/>
    <d v="2025-03-01T00:00:00"/>
    <n v="31"/>
    <d v="1899-12-30T06:38:00"/>
    <d v="1899-12-30T18:13:00"/>
    <n v="23577.200000000001"/>
    <n v="23413.5"/>
    <n v="32916.199999999997"/>
    <n v="32274.3"/>
    <n v="11200.3"/>
    <n v="18884.2"/>
    <n v="11426.8"/>
    <m/>
    <m/>
    <n v="5.61"/>
    <n v="5.79"/>
    <n v="33.21"/>
    <n v="46.04"/>
    <n v="31.84"/>
    <n v="0"/>
    <n v="2.04"/>
    <n v="6.49"/>
    <n v="123381.5"/>
    <n v="30311"/>
    <n v="153692.5"/>
    <m/>
    <n v="4613"/>
    <m/>
    <n v="3330.5"/>
    <n v="4405.88"/>
    <n v="0.04"/>
    <n v="0.55000000000000004"/>
    <s v=""/>
    <n v="152000"/>
    <n v="150880.00000000029"/>
    <n v="150699.99999999983"/>
    <n v="20.000000000000018"/>
    <n v="20.000000000000018"/>
    <n v="152000"/>
    <n v="150860.00000000029"/>
    <n v="7.5566750629703083E-3"/>
    <n v="11.583333333333332"/>
    <n v="152000"/>
    <n v="150851.38539042851"/>
    <n v="28.52"/>
    <m/>
    <m/>
    <s v=""/>
  </r>
  <r>
    <x v="50"/>
    <n v="2025"/>
    <n v="2025"/>
    <d v="2025-03-01T00:00:00"/>
    <n v="31"/>
    <d v="1899-12-30T06:40:00"/>
    <d v="1899-12-30T18:12:00"/>
    <n v="23145.8"/>
    <n v="23331.4"/>
    <n v="32400.1"/>
    <n v="31874.5"/>
    <n v="10988.6"/>
    <n v="19508.099999999999"/>
    <n v="12258.5"/>
    <m/>
    <m/>
    <n v="5.53"/>
    <n v="5.71"/>
    <n v="33.880000000000003"/>
    <n v="44.77"/>
    <n v="25.56"/>
    <n v="0"/>
    <n v="2.0699999999999998"/>
    <n v="6.18"/>
    <n v="121740.4"/>
    <n v="31766.6"/>
    <n v="153507"/>
    <m/>
    <n v="4765"/>
    <m/>
    <n v="3424.8"/>
    <n v="4556.42"/>
    <n v="0.04"/>
    <n v="0.56000000000000005"/>
    <s v=""/>
    <n v="152000"/>
    <n v="150880.00000000029"/>
    <n v="150539.99999999997"/>
    <n v="10.000000000000009"/>
    <n v="10.000000000000009"/>
    <n v="152000"/>
    <n v="150870.00000000029"/>
    <n v="7.4898919599635239E-3"/>
    <n v="11.533333333333331"/>
    <n v="152000"/>
    <n v="150861.53642208554"/>
    <n v="28.52"/>
    <m/>
    <m/>
    <s v=""/>
  </r>
  <r>
    <x v="51"/>
    <n v="2025"/>
    <n v="2025"/>
    <d v="2025-03-01T00:00:00"/>
    <n v="31"/>
    <d v="1899-12-30T06:39:00"/>
    <d v="1899-12-30T18:14:00"/>
    <n v="19595.099999999999"/>
    <n v="19755.2"/>
    <n v="32498.3"/>
    <n v="32839.1"/>
    <n v="11364.7"/>
    <n v="20142.400000000001"/>
    <n v="12584.8"/>
    <m/>
    <m/>
    <n v="5.62"/>
    <n v="5.82"/>
    <n v="34.1"/>
    <n v="44.01"/>
    <n v="20.36"/>
    <n v="0"/>
    <n v="2.4700000000000002"/>
    <n v="8.34"/>
    <n v="116052.40000000001"/>
    <n v="32727.200000000001"/>
    <n v="148779.6"/>
    <m/>
    <n v="4912"/>
    <m/>
    <n v="3516.2"/>
    <n v="4702.3215"/>
    <n v="0.04"/>
    <n v="0.57999999999999996"/>
    <s v=""/>
    <n v="147000"/>
    <n v="146239.99999999942"/>
    <n v="145901.49999999994"/>
    <n v="19.999999999999908"/>
    <n v="19.999999999999908"/>
    <n v="147000"/>
    <n v="146219.99999999942"/>
    <n v="5.3344275748912207E-3"/>
    <n v="11.583333333333332"/>
    <n v="147000"/>
    <n v="146215.83914649099"/>
    <n v="30.72"/>
    <m/>
    <m/>
    <s v=""/>
  </r>
  <r>
    <x v="52"/>
    <n v="2025"/>
    <n v="2025"/>
    <d v="2025-03-01T00:00:00"/>
    <n v="31"/>
    <d v="1899-12-30T06:39:00"/>
    <d v="1899-12-30T18:13:00"/>
    <n v="23605.5"/>
    <n v="23783.1"/>
    <n v="33064.199999999997"/>
    <n v="32993.5"/>
    <n v="11421.1"/>
    <n v="20459"/>
    <n v="13197.5"/>
    <m/>
    <m/>
    <n v="5.63"/>
    <n v="5.86"/>
    <n v="33.99"/>
    <n v="44.69"/>
    <n v="20"/>
    <n v="0"/>
    <n v="2.54"/>
    <n v="7.67"/>
    <n v="124867.4"/>
    <n v="33656.5"/>
    <n v="158523.9"/>
    <m/>
    <n v="5069"/>
    <m/>
    <n v="3613.6"/>
    <n v="4857.7815000000001"/>
    <n v="0.04"/>
    <n v="0.6"/>
    <s v=""/>
    <n v="157000"/>
    <n v="155840.00000000015"/>
    <n v="155460.00000000003"/>
    <n v="20.000000000000018"/>
    <n v="20.000000000000018"/>
    <n v="157000"/>
    <n v="155820.00000000015"/>
    <n v="7.5728404569366248E-3"/>
    <n v="11.566666666666666"/>
    <n v="157000"/>
    <n v="155811.06404826095"/>
    <n v="30.72"/>
    <m/>
    <m/>
    <s v=""/>
  </r>
  <r>
    <x v="53"/>
    <n v="2025"/>
    <n v="2025"/>
    <d v="2025-03-01T00:00:00"/>
    <n v="31"/>
    <d v="1899-12-30T06:38:00"/>
    <d v="1899-12-30T18:10:00"/>
    <n v="22172.7"/>
    <n v="22389.4"/>
    <n v="31309.599999999999"/>
    <n v="31391.599999999999"/>
    <n v="10733.5"/>
    <n v="19243"/>
    <n v="15410"/>
    <m/>
    <m/>
    <n v="6.47"/>
    <n v="5.58"/>
    <n v="34.840000000000003"/>
    <n v="46.82"/>
    <n v="21.69"/>
    <n v="0"/>
    <n v="1.88"/>
    <n v="7.6"/>
    <n v="117996.80000000002"/>
    <n v="34653"/>
    <n v="152649.80000000002"/>
    <m/>
    <n v="5220"/>
    <m/>
    <n v="3707.3"/>
    <n v="5007.4650000000001"/>
    <n v="0.04"/>
    <n v="0.62"/>
    <s v=""/>
    <n v="151000"/>
    <n v="149920.00000000044"/>
    <n v="149683.50000000009"/>
    <n v="20.000000000000018"/>
    <n v="20.000000000000018"/>
    <n v="151000"/>
    <n v="149900.00000000044"/>
    <n v="7.338225483652927E-3"/>
    <n v="11.533333333333331"/>
    <n v="151000"/>
    <n v="149891.92795196842"/>
    <n v="30.72"/>
    <m/>
    <m/>
    <s v=""/>
  </r>
  <r>
    <x v="54"/>
    <n v="2025"/>
    <n v="2025"/>
    <d v="2025-03-01T00:00:00"/>
    <n v="31"/>
    <d v="1899-12-30T06:38:00"/>
    <d v="1899-12-30T18:04:00"/>
    <n v="20139.7"/>
    <n v="20208.400000000001"/>
    <n v="28385.5"/>
    <n v="28885.7"/>
    <n v="9786.4"/>
    <n v="17248.400000000001"/>
    <n v="13853.5"/>
    <m/>
    <m/>
    <n v="6"/>
    <n v="5.52"/>
    <n v="35.9"/>
    <n v="46.36"/>
    <n v="22.89"/>
    <n v="0"/>
    <n v="2.04"/>
    <n v="6.64"/>
    <n v="107405.7"/>
    <n v="31101.9"/>
    <n v="138507.6"/>
    <m/>
    <n v="5357"/>
    <m/>
    <n v="3792.4"/>
    <n v="5143.2280000000001"/>
    <n v="0.04"/>
    <n v="0.64"/>
    <s v=""/>
    <n v="137000"/>
    <n v="136159.99999999985"/>
    <n v="135762.99999999991"/>
    <n v="20.000000000000018"/>
    <n v="20.000000000000018"/>
    <n v="137000"/>
    <n v="136139.99999999985"/>
    <n v="6.3170265902758871E-3"/>
    <n v="11.433333333333334"/>
    <n v="137000"/>
    <n v="136134.56735713221"/>
    <n v="30.72"/>
    <m/>
    <m/>
    <s v=""/>
  </r>
  <r>
    <x v="55"/>
    <n v="2025"/>
    <n v="2025"/>
    <d v="2025-03-01T00:00:00"/>
    <n v="31"/>
    <d v="1899-12-30T06:38:00"/>
    <d v="1899-12-30T18:11:00"/>
    <n v="19095.5"/>
    <n v="19068.2"/>
    <n v="25896.9"/>
    <n v="26364.3"/>
    <n v="9355.2000000000007"/>
    <n v="16258.1"/>
    <n v="13057.5"/>
    <m/>
    <m/>
    <n v="6.19"/>
    <n v="5.69"/>
    <n v="35.340000000000003"/>
    <n v="43.77"/>
    <n v="25.95"/>
    <n v="0"/>
    <n v="2.58"/>
    <n v="8.4499999999999993"/>
    <n v="99780.099999999991"/>
    <n v="29315.599999999999"/>
    <n v="129095.69999999998"/>
    <m/>
    <n v="5486"/>
    <m/>
    <n v="3872.9"/>
    <n v="5271.31"/>
    <n v="0.04"/>
    <n v="0.66"/>
    <s v=""/>
    <n v="129000"/>
    <n v="128800"/>
    <n v="128082.00000000033"/>
    <n v="20.000000000000018"/>
    <n v="20.000000000000018"/>
    <n v="129000"/>
    <n v="128780"/>
    <n v="1.7083398043173936E-3"/>
    <n v="11.549999999999999"/>
    <n v="129000"/>
    <n v="128779.62416524306"/>
    <n v="30.72"/>
    <m/>
    <m/>
    <s v=""/>
  </r>
  <r>
    <x v="56"/>
    <n v="2025"/>
    <n v="2025"/>
    <d v="2025-03-01T00:00:00"/>
    <n v="31"/>
    <d v="1899-12-30T06:36:00"/>
    <d v="1899-12-30T18:10:00"/>
    <n v="21911.1"/>
    <n v="21381.1"/>
    <n v="29468.799999999999"/>
    <n v="29598.799999999999"/>
    <n v="10397.799999999999"/>
    <n v="20540.7"/>
    <n v="14572.8"/>
    <m/>
    <m/>
    <n v="6.29"/>
    <n v="5.73"/>
    <n v="35.94"/>
    <n v="44.76"/>
    <n v="17.07"/>
    <n v="0"/>
    <n v="2.76"/>
    <n v="7.89"/>
    <n v="112757.6"/>
    <n v="35113.5"/>
    <n v="147871.1"/>
    <m/>
    <n v="5633"/>
    <m/>
    <n v="3964"/>
    <n v="5417.35"/>
    <n v="0.04"/>
    <n v="0.68"/>
    <s v=""/>
    <n v="147000"/>
    <n v="145759.99999999985"/>
    <n v="146039.99999999997"/>
    <n v="20.000000000000018"/>
    <n v="20.000000000000018"/>
    <n v="147000"/>
    <n v="145739.99999999985"/>
    <n v="8.6455331412114145E-3"/>
    <n v="11.566666666666666"/>
    <n v="147000"/>
    <n v="145729.10662824192"/>
    <n v="30.72"/>
    <m/>
    <m/>
    <s v=""/>
  </r>
  <r>
    <x v="57"/>
    <n v="2025"/>
    <n v="2025"/>
    <d v="2025-03-01T00:00:00"/>
    <n v="31"/>
    <d v="1899-12-30T06:35:00"/>
    <d v="1899-12-30T18:09:00"/>
    <n v="21251.8"/>
    <n v="20537.2"/>
    <n v="27288.799999999999"/>
    <n v="28301.4"/>
    <n v="9591.5"/>
    <n v="20442.5"/>
    <n v="13963.9"/>
    <m/>
    <m/>
    <n v="5.81"/>
    <n v="5.68"/>
    <n v="36.33"/>
    <n v="44.98"/>
    <n v="16.32"/>
    <n v="0"/>
    <n v="2.06"/>
    <n v="7.88"/>
    <n v="106970.70000000001"/>
    <n v="34406.400000000001"/>
    <n v="141377.1"/>
    <m/>
    <n v="5773"/>
    <m/>
    <n v="4050.9"/>
    <n v="5556.0214999999998"/>
    <n v="0.04"/>
    <n v="0.69"/>
    <s v=""/>
    <n v="140000"/>
    <n v="139040.00000000015"/>
    <n v="138671.49999999948"/>
    <n v="9.999999999999897"/>
    <n v="9.999999999999897"/>
    <n v="140000"/>
    <n v="139030.00000000015"/>
    <n v="6.9769114579576463E-3"/>
    <n v="11.566666666666666"/>
    <n v="140000"/>
    <n v="139023.23239588592"/>
    <n v="30.72"/>
    <m/>
    <m/>
    <s v=""/>
  </r>
  <r>
    <x v="58"/>
    <n v="2025"/>
    <n v="2025"/>
    <d v="2025-03-01T00:00:00"/>
    <n v="31"/>
    <d v="1899-12-30T06:37:00"/>
    <d v="1899-12-30T18:03:00"/>
    <n v="19012.099999999999"/>
    <n v="18444.5"/>
    <n v="24547.8"/>
    <n v="26020.400000000001"/>
    <n v="8594.9"/>
    <n v="18677.400000000001"/>
    <n v="13955.3"/>
    <m/>
    <m/>
    <n v="5.26"/>
    <n v="5.15"/>
    <n v="36.299999999999997"/>
    <n v="45.84"/>
    <n v="22.59"/>
    <n v="0"/>
    <n v="1.74"/>
    <n v="4.8"/>
    <n v="96619.699999999983"/>
    <n v="32632.7"/>
    <n v="129252.39999999998"/>
    <m/>
    <n v="5901"/>
    <m/>
    <n v="4130.3"/>
    <n v="5682.8140000000003"/>
    <n v="0.04"/>
    <n v="0.71"/>
    <s v=""/>
    <n v="128000"/>
    <n v="127040.00000000015"/>
    <n v="126792.50000000047"/>
    <n v="20.000000000000018"/>
    <n v="20.000000000000018"/>
    <n v="128000"/>
    <n v="127020.00000000015"/>
    <n v="7.7153204219795324E-3"/>
    <n v="11.433333333333334"/>
    <n v="128000"/>
    <n v="127012.43898598662"/>
    <n v="30.72"/>
    <m/>
    <m/>
    <s v=""/>
  </r>
  <r>
    <x v="59"/>
    <n v="2026"/>
    <n v="2025"/>
    <d v="2025-04-01T00:00:00"/>
    <n v="30"/>
    <d v="1899-12-30T06:34:00"/>
    <d v="1899-12-30T17:20:00"/>
    <n v="15477.5"/>
    <n v="15003.3"/>
    <n v="21701.9"/>
    <n v="21077.5"/>
    <n v="7020.8"/>
    <n v="16212.1"/>
    <n v="12514.9"/>
    <m/>
    <m/>
    <n v="4.29"/>
    <n v="4.28"/>
    <n v="35"/>
    <n v="43.05"/>
    <n v="29.12"/>
    <n v="0"/>
    <n v="1.88"/>
    <n v="5.22"/>
    <n v="80281"/>
    <n v="28727"/>
    <n v="109008"/>
    <m/>
    <n v="6009"/>
    <m/>
    <n v="4197.3999999999996"/>
    <n v="5789.5349999999999"/>
    <n v="0.04"/>
    <n v="0.73"/>
    <s v=""/>
    <n v="108000"/>
    <n v="107359.99999999913"/>
    <n v="106720.99999999955"/>
    <n v="20.000000000000018"/>
    <n v="20.000000000000018"/>
    <n v="108000"/>
    <n v="107339.99999999913"/>
    <n v="6.1486864170008371E-3"/>
    <n v="10.766666666666666"/>
    <n v="108000"/>
    <n v="107335.94186696391"/>
    <n v="33.64"/>
    <m/>
    <m/>
    <s v=""/>
  </r>
  <r>
    <x v="60"/>
    <n v="2026"/>
    <n v="2025"/>
    <d v="2025-04-01T00:00:00"/>
    <n v="30"/>
    <d v="1899-12-30T06:34:00"/>
    <d v="1899-12-30T18:13:00"/>
    <n v="19849.7"/>
    <n v="19221"/>
    <n v="28054.5"/>
    <n v="27826.799999999999"/>
    <n v="10420.299999999999"/>
    <n v="20997"/>
    <n v="16134.4"/>
    <m/>
    <m/>
    <n v="5.47"/>
    <n v="5.4"/>
    <n v="33.619999999999997"/>
    <n v="41.29"/>
    <n v="33.81"/>
    <n v="0"/>
    <n v="3.31"/>
    <n v="7.96"/>
    <n v="105372.3"/>
    <n v="37131.4"/>
    <n v="142503.70000000001"/>
    <m/>
    <n v="6150"/>
    <m/>
    <n v="4285"/>
    <n v="5929.4480000000003"/>
    <n v="0.04"/>
    <n v="0.74"/>
    <s v=""/>
    <n v="141000"/>
    <n v="140160.00000000058"/>
    <n v="139913.00000000047"/>
    <n v="10.000000000000009"/>
    <n v="10.000000000000009"/>
    <n v="141000"/>
    <n v="140150.00000000058"/>
    <n v="6.0649304316762187E-3"/>
    <n v="11.649999999999999"/>
    <n v="141000"/>
    <n v="140144.84480913365"/>
    <n v="33.64"/>
    <m/>
    <m/>
    <s v=""/>
  </r>
  <r>
    <x v="61"/>
    <n v="2026"/>
    <n v="2025"/>
    <d v="2025-04-01T00:00:00"/>
    <n v="30"/>
    <d v="1899-12-30T06:35:00"/>
    <d v="1899-12-30T17:32:00"/>
    <n v="17770.2"/>
    <n v="17182.5"/>
    <n v="25413.9"/>
    <n v="25418"/>
    <n v="10899.5"/>
    <n v="19071"/>
    <n v="10184.200000000001"/>
    <m/>
    <m/>
    <n v="4.93"/>
    <n v="4.8600000000000003"/>
    <n v="31.69"/>
    <n v="39.79"/>
    <n v="38.840000000000003"/>
    <n v="0"/>
    <n v="3.55"/>
    <n v="9.8699999999999992"/>
    <n v="96684.1"/>
    <n v="29255.200000000001"/>
    <n v="125939.3"/>
    <m/>
    <n v="6275"/>
    <m/>
    <n v="4362.3999999999996"/>
    <n v="6053"/>
    <n v="0.04"/>
    <n v="0.75"/>
    <s v=""/>
    <n v="125000"/>
    <n v="123839.99999999942"/>
    <n v="123551.99999999968"/>
    <n v="10.000000000000009"/>
    <n v="10.000000000000009"/>
    <n v="125000"/>
    <n v="123829.99999999942"/>
    <n v="9.4484373738237259E-3"/>
    <n v="10.95"/>
    <n v="125000"/>
    <n v="123818.94532827204"/>
    <n v="33.64"/>
    <m/>
    <m/>
    <s v=""/>
  </r>
  <r>
    <x v="62"/>
    <n v="2026"/>
    <n v="2025"/>
    <d v="2025-04-01T00:00:00"/>
    <n v="30"/>
    <d v="1899-12-30T06:33:00"/>
    <d v="1899-12-30T18:12:00"/>
    <n v="23201.200000000001"/>
    <n v="22190.3"/>
    <n v="32311.599999999999"/>
    <n v="32744"/>
    <n v="16878.2"/>
    <n v="24438.7"/>
    <n v="19002.2"/>
    <m/>
    <m/>
    <n v="6.45"/>
    <n v="6.38"/>
    <n v="32.729999999999997"/>
    <n v="45.1"/>
    <n v="41.09"/>
    <n v="0"/>
    <n v="2.19"/>
    <n v="6.83"/>
    <n v="127325.3"/>
    <n v="43440.9"/>
    <n v="170766.2"/>
    <m/>
    <n v="6444"/>
    <m/>
    <n v="4467.3999999999996"/>
    <n v="6220.7139999999999"/>
    <n v="0.04"/>
    <n v="0.77"/>
    <s v=""/>
    <n v="169000"/>
    <n v="168000"/>
    <n v="167713.99999999994"/>
    <n v="20.000000000000018"/>
    <n v="20.000000000000018"/>
    <n v="169000"/>
    <n v="167980"/>
    <n v="6.072151446600893E-3"/>
    <n v="11.65"/>
    <n v="169000"/>
    <n v="167973.80640552446"/>
    <n v="33.64"/>
    <m/>
    <m/>
    <s v=""/>
  </r>
  <r>
    <x v="63"/>
    <n v="2026"/>
    <n v="2025"/>
    <d v="2025-04-01T00:00:00"/>
    <n v="30"/>
    <d v="1899-12-30T06:30:00"/>
    <d v="1899-12-30T18:15:00"/>
    <n v="23433.3"/>
    <n v="22152.5"/>
    <n v="31686.799999999999"/>
    <n v="32557.8"/>
    <n v="18545.599999999999"/>
    <n v="18955.2"/>
    <n v="24205.3"/>
    <m/>
    <m/>
    <n v="6.5"/>
    <n v="6.44"/>
    <n v="35.47"/>
    <n v="47.05"/>
    <n v="26.42"/>
    <n v="0"/>
    <n v="2.1800000000000002"/>
    <n v="6.22"/>
    <n v="128376"/>
    <n v="43160.5"/>
    <n v="171536.5"/>
    <m/>
    <n v="6614"/>
    <m/>
    <n v="4572.8999999999996"/>
    <n v="6389.29"/>
    <n v="0.04"/>
    <n v="0.79"/>
    <s v=""/>
    <n v="170000"/>
    <n v="168800"/>
    <n v="168576.00000000003"/>
    <n v="20.000000000000018"/>
    <n v="20.000000000000018"/>
    <n v="170000"/>
    <n v="168780"/>
    <n v="7.2283445905914068E-3"/>
    <n v="11.75"/>
    <n v="170000"/>
    <n v="168771.18141959945"/>
    <n v="33.64"/>
    <m/>
    <m/>
    <s v=""/>
  </r>
  <r>
    <x v="64"/>
    <n v="2026"/>
    <n v="2025"/>
    <d v="2025-04-01T00:00:00"/>
    <n v="30"/>
    <d v="1899-12-30T06:27:00"/>
    <d v="1899-12-30T18:15:00"/>
    <n v="25208"/>
    <n v="24960.799999999999"/>
    <n v="19613"/>
    <n v="20543.599999999999"/>
    <n v="22565.7"/>
    <n v="20954.5"/>
    <n v="26688.2"/>
    <m/>
    <m/>
    <n v="7.13"/>
    <n v="7.08"/>
    <n v="36.69"/>
    <n v="46.52"/>
    <n v="15.91"/>
    <n v="0"/>
    <n v="2.38"/>
    <n v="9.06"/>
    <n v="112891.09999999999"/>
    <n v="47642.7"/>
    <n v="160533.79999999999"/>
    <m/>
    <n v="6773"/>
    <m/>
    <n v="4671.6000000000004"/>
    <n v="6546.8024999999998"/>
    <n v="0.04"/>
    <n v="0.8"/>
    <s v=""/>
    <n v="159000"/>
    <n v="157920.00000000116"/>
    <n v="157512.49999999983"/>
    <n v="10.000000000000009"/>
    <n v="10.000000000000009"/>
    <n v="159000"/>
    <n v="157910.00000000116"/>
    <n v="6.9026660756053015E-3"/>
    <n v="11.799999999999999"/>
    <n v="159000"/>
    <n v="157902.47609397877"/>
    <n v="33.64"/>
    <m/>
    <m/>
    <s v=""/>
  </r>
  <r>
    <x v="65"/>
    <n v="2026"/>
    <n v="2025"/>
    <d v="2025-04-01T00:00:00"/>
    <n v="30"/>
    <d v="1899-12-30T06:27:00"/>
    <d v="1899-12-30T18:15:00"/>
    <n v="24405.8"/>
    <n v="24592.3"/>
    <n v="29357.599999999999"/>
    <n v="31048.7"/>
    <n v="22264.400000000001"/>
    <n v="20182.400000000001"/>
    <n v="26415.7"/>
    <m/>
    <m/>
    <n v="6.82"/>
    <n v="6.77"/>
    <n v="37.89"/>
    <n v="46.46"/>
    <n v="13.4"/>
    <n v="0"/>
    <n v="2.52"/>
    <n v="9.18"/>
    <n v="131668.79999999999"/>
    <n v="46598.100000000006"/>
    <n v="178266.9"/>
    <m/>
    <n v="6949"/>
    <m/>
    <n v="4781.1000000000004"/>
    <n v="6721.6930000000002"/>
    <n v="0.04"/>
    <n v="0.82"/>
    <s v=""/>
    <n v="176000"/>
    <n v="175200"/>
    <n v="174890.50000000044"/>
    <n v="19.999999999999908"/>
    <n v="19.999999999999908"/>
    <n v="176000"/>
    <n v="175180"/>
    <n v="4.6808996460783181E-3"/>
    <n v="11.799999999999999"/>
    <n v="176000"/>
    <n v="175176.16166229022"/>
    <n v="33.64"/>
    <m/>
    <m/>
    <s v=""/>
  </r>
  <r>
    <x v="66"/>
    <n v="2026"/>
    <n v="2025"/>
    <d v="2025-04-01T00:00:00"/>
    <n v="30"/>
    <d v="1899-12-30T06:30:00"/>
    <d v="1899-12-30T18:18:00"/>
    <n v="22513.7"/>
    <n v="22701.5"/>
    <n v="29676.799999999999"/>
    <n v="31873.1"/>
    <n v="21144.1"/>
    <n v="24655.7"/>
    <n v="18980.2"/>
    <m/>
    <m/>
    <n v="6.4"/>
    <n v="6.36"/>
    <n v="37.07"/>
    <n v="47.88"/>
    <n v="26.68"/>
    <n v="0"/>
    <n v="2.4500000000000002"/>
    <n v="6.44"/>
    <n v="127909.20000000001"/>
    <n v="43635.9"/>
    <n v="171545.1"/>
    <m/>
    <n v="7118"/>
    <m/>
    <n v="4886.5"/>
    <n v="6890.02"/>
    <n v="0.04"/>
    <n v="0.85"/>
    <s v=""/>
    <n v="169000"/>
    <n v="168639.99999999942"/>
    <n v="168327.00000000023"/>
    <n v="30.000000000000028"/>
    <n v="30.000000000000028"/>
    <n v="169000"/>
    <n v="168609.99999999942"/>
    <n v="2.3130300693943173E-3"/>
    <n v="11.799999999999999"/>
    <n v="169000"/>
    <n v="168609.09791827237"/>
    <n v="33.64"/>
    <m/>
    <m/>
    <s v=""/>
  </r>
  <r>
    <x v="67"/>
    <n v="2026"/>
    <n v="2025"/>
    <d v="2025-04-01T00:00:00"/>
    <n v="30"/>
    <d v="1899-12-30T06:40:00"/>
    <d v="1899-12-30T18:12:00"/>
    <n v="21961"/>
    <n v="22001.200000000001"/>
    <n v="29252.2"/>
    <n v="31249.9"/>
    <n v="22253.1"/>
    <n v="23913.3"/>
    <n v="18522.8"/>
    <m/>
    <m/>
    <n v="6.21"/>
    <n v="6.17"/>
    <n v="36.200000000000003"/>
    <n v="46.92"/>
    <n v="30.68"/>
    <n v="0"/>
    <n v="2.91"/>
    <n v="6.66"/>
    <n v="126717.4"/>
    <n v="42436.1"/>
    <n v="169153.5"/>
    <m/>
    <n v="7286"/>
    <m/>
    <n v="4990.3999999999996"/>
    <n v="7055.8159999999998"/>
    <n v="0.04"/>
    <n v="0.87"/>
    <s v=""/>
    <n v="168000"/>
    <n v="166239.99999999942"/>
    <n v="165795.99999999936"/>
    <n v="20.000000000000018"/>
    <n v="20.000000000000018"/>
    <n v="168000"/>
    <n v="166219.99999999942"/>
    <n v="1.0708699314165404E-2"/>
    <n v="11.533333333333331"/>
    <n v="168000"/>
    <n v="166200.93851522022"/>
    <n v="35.31"/>
    <m/>
    <m/>
    <s v=""/>
  </r>
  <r>
    <x v="68"/>
    <n v="2026"/>
    <n v="2025"/>
    <d v="2025-04-01T00:00:00"/>
    <n v="30"/>
    <d v="1899-12-30T06:26:00"/>
    <d v="1899-12-30T18:16:00"/>
    <n v="22575.7"/>
    <n v="22790.9"/>
    <n v="31219.4"/>
    <n v="32792.6"/>
    <n v="26225.8"/>
    <n v="24214.400000000001"/>
    <n v="18782.2"/>
    <m/>
    <m/>
    <n v="6.27"/>
    <n v="6.25"/>
    <n v="36.950000000000003"/>
    <n v="46.54"/>
    <n v="22.4"/>
    <n v="0"/>
    <n v="2.86"/>
    <n v="8.27"/>
    <n v="135604.4"/>
    <n v="42996.600000000006"/>
    <n v="178601"/>
    <m/>
    <n v="7462"/>
    <m/>
    <n v="5100.1000000000004"/>
    <n v="7231.0879999999997"/>
    <n v="0.04"/>
    <n v="0.9"/>
    <s v=""/>
    <n v="176000"/>
    <n v="175520.00000000116"/>
    <n v="175271.99999999994"/>
    <n v="30.000000000000028"/>
    <n v="30.000000000000028"/>
    <n v="176000"/>
    <n v="175490.00000000116"/>
    <n v="2.906148498483363E-3"/>
    <n v="11.833333333333332"/>
    <n v="176000"/>
    <n v="175488.51786426693"/>
    <n v="35.31"/>
    <m/>
    <m/>
    <s v=""/>
  </r>
  <r>
    <x v="69"/>
    <n v="2026"/>
    <n v="2025"/>
    <d v="2025-04-01T00:00:00"/>
    <n v="30"/>
    <d v="1899-12-30T06:26:00"/>
    <d v="1899-12-30T18:08:00"/>
    <n v="21754.1"/>
    <n v="22114.9"/>
    <n v="30514.2"/>
    <n v="31302.799999999999"/>
    <n v="27999.8"/>
    <n v="21607.5"/>
    <n v="18136.099999999999"/>
    <m/>
    <m/>
    <n v="6.52"/>
    <n v="6.52"/>
    <n v="36.729999999999997"/>
    <n v="45.41"/>
    <n v="19.940000000000001"/>
    <n v="0"/>
    <n v="3.15"/>
    <n v="7.42"/>
    <n v="133685.79999999999"/>
    <n v="39743.599999999999"/>
    <n v="173429.4"/>
    <m/>
    <n v="7634"/>
    <m/>
    <n v="5206.7"/>
    <n v="7401.2110000000002"/>
    <n v="0.04"/>
    <n v="0.92"/>
    <s v=""/>
    <n v="172000"/>
    <n v="170559.99999999913"/>
    <n v="170123.00000000049"/>
    <n v="20.000000000000018"/>
    <n v="20.000000000000018"/>
    <n v="172000"/>
    <n v="170539.99999999913"/>
    <n v="8.5610413979175792E-3"/>
    <n v="11.7"/>
    <n v="172000"/>
    <n v="170527.50087955818"/>
    <n v="35.31"/>
    <m/>
    <m/>
    <s v=""/>
  </r>
  <r>
    <x v="70"/>
    <n v="2026"/>
    <n v="2025"/>
    <d v="2025-04-01T00:00:00"/>
    <n v="30"/>
    <d v="1899-12-30T06:41:00"/>
    <d v="1899-12-30T18:04:00"/>
    <n v="24760.6"/>
    <n v="25063.8"/>
    <n v="34600"/>
    <n v="35287.9"/>
    <n v="34363.4"/>
    <n v="11140.3"/>
    <n v="20550.599999999999"/>
    <m/>
    <m/>
    <n v="6.67"/>
    <n v="6.66"/>
    <n v="36.520000000000003"/>
    <n v="48.68"/>
    <n v="19.73"/>
    <n v="0"/>
    <n v="3.66"/>
    <n v="8.68"/>
    <n v="154075.69999999998"/>
    <n v="31690.899999999998"/>
    <n v="185766.59999999998"/>
    <m/>
    <n v="7818"/>
    <m/>
    <n v="5320.8"/>
    <n v="7583.549"/>
    <n v="0.04"/>
    <n v="0.93"/>
    <s v=""/>
    <n v="184000"/>
    <n v="182560.00000000058"/>
    <n v="182337.99999999974"/>
    <n v="10.000000000000009"/>
    <n v="10.000000000000009"/>
    <n v="184000"/>
    <n v="182550.00000000058"/>
    <n v="7.9430293070359426E-3"/>
    <n v="11.383333333333333"/>
    <n v="184000"/>
    <n v="182538.4826075054"/>
    <n v="35.31"/>
    <m/>
    <m/>
    <s v=""/>
  </r>
  <r>
    <x v="71"/>
    <n v="2026"/>
    <n v="2025"/>
    <d v="2025-04-01T00:00:00"/>
    <n v="30"/>
    <d v="1899-12-30T06:25:00"/>
    <d v="1899-12-30T18:22:00"/>
    <n v="22476.9"/>
    <n v="22664.1"/>
    <n v="30536.799999999999"/>
    <n v="31302.9"/>
    <n v="29720.7"/>
    <n v="10781.1"/>
    <n v="18221.099999999999"/>
    <m/>
    <m/>
    <n v="6.15"/>
    <n v="6.24"/>
    <n v="36.53"/>
    <n v="44.93"/>
    <n v="23"/>
    <n v="0"/>
    <n v="2.98"/>
    <n v="7.7"/>
    <n v="136701.40000000002"/>
    <n v="29002.199999999997"/>
    <n v="165703.60000000003"/>
    <m/>
    <n v="7981"/>
    <m/>
    <n v="5422.5"/>
    <n v="7746.0725000000002"/>
    <n v="0.04"/>
    <n v="0.94"/>
    <s v=""/>
    <n v="163000"/>
    <n v="162719.99999999971"/>
    <n v="162523.50000000023"/>
    <n v="9.999999999999897"/>
    <n v="9.999999999999897"/>
    <n v="163000"/>
    <n v="162709.99999999971"/>
    <n v="1.7823120889943755E-3"/>
    <n v="11.95"/>
    <n v="163000"/>
    <n v="162709.48312949392"/>
    <n v="35.31"/>
    <m/>
    <m/>
    <s v=""/>
  </r>
  <r>
    <x v="72"/>
    <n v="2026"/>
    <n v="2025"/>
    <d v="2025-04-01T00:00:00"/>
    <n v="30"/>
    <d v="1899-12-30T06:28:00"/>
    <d v="1899-12-30T18:19:00"/>
    <n v="24357.7"/>
    <n v="24544.9"/>
    <n v="33021.300000000003"/>
    <n v="33926.9"/>
    <n v="33170.800000000003"/>
    <n v="10819.1"/>
    <n v="19930.3"/>
    <m/>
    <m/>
    <n v="6.68"/>
    <n v="6.7"/>
    <n v="36.76"/>
    <n v="45.63"/>
    <n v="18.649999999999999"/>
    <n v="0"/>
    <n v="3.14"/>
    <n v="9.32"/>
    <n v="149021.60000000003"/>
    <n v="30749.4"/>
    <n v="179771.00000000003"/>
    <m/>
    <n v="8159"/>
    <m/>
    <n v="5532.7"/>
    <n v="7922.3159999999998"/>
    <n v="0.04"/>
    <n v="0.96"/>
    <s v=""/>
    <n v="178000"/>
    <n v="176319.99999999971"/>
    <n v="176243.49999999959"/>
    <n v="20.000000000000018"/>
    <n v="20.000000000000018"/>
    <n v="178000"/>
    <n v="176299.99999999971"/>
    <n v="9.6426545660821539E-3"/>
    <n v="11.85"/>
    <n v="178000"/>
    <n v="176283.60748723737"/>
    <n v="35.31"/>
    <m/>
    <m/>
    <s v=""/>
  </r>
  <r>
    <x v="73"/>
    <n v="2026"/>
    <n v="2025"/>
    <d v="2025-04-01T00:00:00"/>
    <n v="30"/>
    <d v="1899-12-30T06:21:00"/>
    <d v="1899-12-30T18:16:00"/>
    <n v="22930.400000000001"/>
    <n v="23567.9"/>
    <n v="30886.7"/>
    <n v="32230"/>
    <n v="31994"/>
    <n v="10943.5"/>
    <n v="19367.3"/>
    <m/>
    <m/>
    <n v="6.23"/>
    <n v="6.3"/>
    <n v="37.450000000000003"/>
    <n v="46.26"/>
    <n v="19.190000000000001"/>
    <n v="0"/>
    <n v="3.09"/>
    <n v="10.7"/>
    <n v="141609"/>
    <n v="30310.799999999999"/>
    <n v="171919.8"/>
    <m/>
    <n v="8329"/>
    <m/>
    <n v="5638.6"/>
    <n v="8091.1935000000003"/>
    <n v="0.04"/>
    <n v="0.97"/>
    <s v=""/>
    <n v="170000"/>
    <n v="169440.00000000087"/>
    <n v="168877.50000000052"/>
    <n v="10.000000000000009"/>
    <n v="10.000000000000009"/>
    <n v="170000"/>
    <n v="169430.00000000087"/>
    <n v="3.3642212122948489E-3"/>
    <n v="11.916666666666666"/>
    <n v="170000"/>
    <n v="169428.08239390986"/>
    <n v="35.31"/>
    <m/>
    <m/>
    <s v=""/>
  </r>
  <r>
    <x v="74"/>
    <n v="2026"/>
    <n v="2025"/>
    <d v="2025-04-01T00:00:00"/>
    <n v="30"/>
    <d v="1899-12-30T06:21:00"/>
    <d v="1899-12-30T18:11:00"/>
    <n v="22169.3"/>
    <n v="23172.1"/>
    <n v="30132.2"/>
    <n v="31530"/>
    <n v="31360.799999999999"/>
    <n v="10772"/>
    <n v="18744"/>
    <m/>
    <m/>
    <n v="6.05"/>
    <n v="6.1"/>
    <n v="36.22"/>
    <n v="47"/>
    <n v="29.36"/>
    <n v="0"/>
    <n v="2.37"/>
    <n v="6.75"/>
    <n v="138364.4"/>
    <n v="29516"/>
    <n v="167880.4"/>
    <m/>
    <n v="8495"/>
    <m/>
    <n v="5741.8"/>
    <n v="8255.9205000000002"/>
    <n v="0.04"/>
    <n v="0.99"/>
    <s v=""/>
    <n v="166000"/>
    <n v="165119.99999999971"/>
    <n v="164726.99999999985"/>
    <n v="20.000000000000018"/>
    <n v="20.000000000000018"/>
    <n v="166000"/>
    <n v="165099.99999999971"/>
    <n v="5.4512416717158452E-3"/>
    <n v="11.833333333333332"/>
    <n v="166000"/>
    <n v="165095.09388249516"/>
    <n v="35.31"/>
    <m/>
    <m/>
    <s v=""/>
  </r>
  <r>
    <x v="75"/>
    <n v="2026"/>
    <n v="2025"/>
    <d v="2025-04-01T00:00:00"/>
    <n v="30"/>
    <d v="1899-12-30T06:23:00"/>
    <d v="1899-12-30T18:16:00"/>
    <n v="23143.200000000001"/>
    <n v="25126.400000000001"/>
    <n v="29397.1"/>
    <n v="32741.7"/>
    <n v="32372.1"/>
    <n v="10762.1"/>
    <n v="19795"/>
    <m/>
    <m/>
    <n v="6.39"/>
    <n v="6.45"/>
    <n v="37.65"/>
    <n v="48.8"/>
    <n v="24.52"/>
    <n v="0"/>
    <n v="2.2000000000000002"/>
    <n v="9.02"/>
    <n v="142780.5"/>
    <n v="30557.1"/>
    <n v="173337.60000000001"/>
    <m/>
    <n v="8666"/>
    <m/>
    <n v="5847.6"/>
    <n v="8425.0400000000009"/>
    <n v="0.04"/>
    <n v="1.01"/>
    <s v=""/>
    <n v="171000"/>
    <n v="169280.00000000029"/>
    <n v="169119.5000000007"/>
    <n v="20.000000000000018"/>
    <n v="20.000000000000018"/>
    <n v="171000"/>
    <n v="169260.00000000029"/>
    <n v="1.0280042538105327E-2"/>
    <n v="11.883333333333333"/>
    <n v="171000"/>
    <n v="169242.11272598399"/>
    <n v="35.31"/>
    <m/>
    <m/>
    <s v=""/>
  </r>
  <r>
    <x v="76"/>
    <n v="2026"/>
    <n v="2025"/>
    <d v="2025-04-01T00:00:00"/>
    <n v="30"/>
    <d v="1899-12-30T06:24:00"/>
    <d v="1899-12-30T18:05:00"/>
    <n v="16310.8"/>
    <n v="17006"/>
    <n v="19632.3"/>
    <n v="23109.4"/>
    <n v="23455.5"/>
    <n v="9900.9"/>
    <n v="14040.8"/>
    <m/>
    <m/>
    <n v="4.41"/>
    <n v="4.45"/>
    <n v="36.840000000000003"/>
    <n v="44.34"/>
    <n v="25.13"/>
    <n v="0"/>
    <n v="2.73"/>
    <n v="9.4"/>
    <n v="99514"/>
    <n v="23941.699999999997"/>
    <n v="123455.7"/>
    <m/>
    <n v="8788"/>
    <m/>
    <n v="5923.5"/>
    <n v="8546.1419999999998"/>
    <n v="0.04"/>
    <n v="1.02"/>
    <s v=""/>
    <n v="122000"/>
    <n v="121439.99999999942"/>
    <n v="121101.99999999895"/>
    <n v="10.000000000000009"/>
    <n v="10.000000000000009"/>
    <n v="122000"/>
    <n v="121429.99999999942"/>
    <n v="4.694062422799794E-3"/>
    <n v="11.683333333333334"/>
    <n v="122000"/>
    <n v="121427.32438441842"/>
    <n v="35.31"/>
    <m/>
    <m/>
    <s v=""/>
  </r>
  <r>
    <x v="77"/>
    <n v="2026"/>
    <n v="2025"/>
    <d v="2025-04-01T00:00:00"/>
    <n v="30"/>
    <d v="1899-12-30T06:19:00"/>
    <d v="1899-12-30T18:21:00"/>
    <n v="25795.1"/>
    <n v="26189.5"/>
    <n v="35078.400000000001"/>
    <n v="36032.6"/>
    <n v="34929.5"/>
    <n v="11004.8"/>
    <n v="21733.200000000001"/>
    <m/>
    <m/>
    <n v="6.92"/>
    <n v="7.01"/>
    <n v="38.5"/>
    <n v="47.72"/>
    <n v="20.21"/>
    <n v="0"/>
    <n v="3.12"/>
    <n v="7.92"/>
    <n v="158025.1"/>
    <n v="32738"/>
    <n v="190763.1"/>
    <m/>
    <n v="8976"/>
    <m/>
    <n v="6040.7"/>
    <n v="8733.2970000000005"/>
    <n v="0.04"/>
    <n v="1.04"/>
    <s v=""/>
    <n v="188000"/>
    <n v="187519.99999999971"/>
    <n v="187155.00000000064"/>
    <n v="20.000000000000018"/>
    <n v="20.000000000000018"/>
    <n v="188000"/>
    <n v="187499.99999999971"/>
    <n v="2.6666666666681493E-3"/>
    <n v="12.033333333333333"/>
    <n v="188000"/>
    <n v="187498.6666666664"/>
    <n v="35.31"/>
    <m/>
    <m/>
    <s v=""/>
  </r>
  <r>
    <x v="78"/>
    <n v="2026"/>
    <n v="2025"/>
    <d v="2025-04-01T00:00:00"/>
    <n v="30"/>
    <d v="1899-12-30T06:15:00"/>
    <d v="1899-12-30T18:24:00"/>
    <n v="26169.200000000001"/>
    <n v="26546.3"/>
    <n v="36215.1"/>
    <n v="36779.1"/>
    <n v="35644"/>
    <n v="11019"/>
    <n v="21988"/>
    <m/>
    <m/>
    <n v="7.05"/>
    <n v="7.17"/>
    <n v="38.97"/>
    <n v="49.7"/>
    <n v="17.43"/>
    <n v="0"/>
    <n v="2.77"/>
    <n v="7.35"/>
    <n v="161353.70000000001"/>
    <n v="33007"/>
    <n v="194360.7"/>
    <m/>
    <n v="9169"/>
    <m/>
    <n v="6160"/>
    <n v="8924.0169999999998"/>
    <n v="0.04"/>
    <n v="1.06"/>
    <s v=""/>
    <n v="193000"/>
    <n v="190880.00000000029"/>
    <n v="190719.99999999936"/>
    <n v="20.000000000000018"/>
    <n v="20.000000000000018"/>
    <n v="193000"/>
    <n v="190860.00000000029"/>
    <n v="1.1212406999893565E-2"/>
    <n v="12.150000000000002"/>
    <n v="193000"/>
    <n v="190836.00544902054"/>
    <n v="35.31"/>
    <m/>
    <m/>
    <s v=""/>
  </r>
  <r>
    <x v="79"/>
    <n v="2026"/>
    <n v="2025"/>
    <d v="2025-04-01T00:00:00"/>
    <n v="30"/>
    <d v="1899-12-30T06:16:00"/>
    <d v="1899-12-30T18:20:00"/>
    <n v="25428"/>
    <n v="25626"/>
    <n v="35665"/>
    <n v="34826"/>
    <n v="34797"/>
    <n v="7790"/>
    <n v="21341"/>
    <m/>
    <m/>
    <n v="7.16"/>
    <n v="7.28"/>
    <n v="38.880000000000003"/>
    <n v="50.19"/>
    <n v="15.15"/>
    <n v="0"/>
    <n v="2.91"/>
    <n v="7.53"/>
    <n v="156342"/>
    <n v="29131"/>
    <n v="185473"/>
    <m/>
    <n v="9352"/>
    <m/>
    <n v="6273.8"/>
    <n v="9105.8940000000002"/>
    <n v="0.04"/>
    <n v="1.0900000000000001"/>
    <s v=""/>
    <n v="183000"/>
    <n v="182080.00000000029"/>
    <n v="181877.00000000041"/>
    <n v="30.000000000000028"/>
    <n v="30.000000000000028"/>
    <n v="183000"/>
    <n v="182050.00000000029"/>
    <n v="5.2183466080730767E-3"/>
    <n v="12.066666666666666"/>
    <n v="183000"/>
    <n v="182045.04257072264"/>
    <n v="35.31"/>
    <m/>
    <m/>
    <s v=""/>
  </r>
  <r>
    <x v="80"/>
    <n v="2026"/>
    <n v="2025"/>
    <d v="2025-04-01T00:00:00"/>
    <n v="30"/>
    <d v="1899-12-30T06:14:00"/>
    <d v="1899-12-30T18:18:00"/>
    <n v="25865"/>
    <n v="26250.3"/>
    <n v="34910.99"/>
    <n v="33995.4"/>
    <n v="34849.5"/>
    <n v="10787"/>
    <n v="21547"/>
    <m/>
    <m/>
    <n v="6.85"/>
    <n v="7.03"/>
    <n v="39.340000000000003"/>
    <n v="50.33"/>
    <n v="14.77"/>
    <n v="0"/>
    <n v="2.2999999999999998"/>
    <n v="6.44"/>
    <n v="155871.19"/>
    <n v="32334"/>
    <n v="188205.19"/>
    <m/>
    <n v="9538"/>
    <m/>
    <n v="6389.4"/>
    <n v="9290.4950000000008"/>
    <n v="0.04"/>
    <n v="1.1200000000000001"/>
    <s v=""/>
    <n v="186000"/>
    <n v="184959.99999999913"/>
    <n v="184601.00000000058"/>
    <n v="30.000000000000028"/>
    <n v="30.000000000000028"/>
    <n v="186000"/>
    <n v="184929.99999999913"/>
    <n v="5.7859730708964552E-3"/>
    <n v="12.066666666666666"/>
    <n v="186000"/>
    <n v="184923.80900881326"/>
    <n v="35.31"/>
    <m/>
    <m/>
    <s v=""/>
  </r>
  <r>
    <x v="81"/>
    <n v="2026"/>
    <n v="2025"/>
    <d v="2025-04-01T00:00:00"/>
    <n v="30"/>
    <d v="1899-12-30T06:16:00"/>
    <d v="1899-12-30T18:16:00"/>
    <n v="25913.8"/>
    <n v="26467.7"/>
    <n v="35218.800000000003"/>
    <n v="34229.599999999999"/>
    <n v="35121.9"/>
    <n v="10882.8"/>
    <n v="21687.200000000001"/>
    <m/>
    <m/>
    <n v="6.01"/>
    <n v="6.09"/>
    <n v="39.86"/>
    <n v="50.62"/>
    <n v="12.58"/>
    <n v="0"/>
    <n v="2.97"/>
    <n v="7.13"/>
    <n v="156951.79999999999"/>
    <n v="32570"/>
    <n v="189521.8"/>
    <m/>
    <n v="9725"/>
    <m/>
    <n v="6505.7"/>
    <n v="9476.4599999999991"/>
    <n v="0.04"/>
    <n v="1.1499999999999999"/>
    <s v=""/>
    <n v="187000"/>
    <n v="186080.00000000029"/>
    <n v="185964.99999999831"/>
    <n v="29.999999999999805"/>
    <n v="29.999999999999805"/>
    <n v="187000"/>
    <n v="186050.00000000029"/>
    <n v="5.1061542596060328E-3"/>
    <n v="11.999999999999998"/>
    <n v="187000"/>
    <n v="186045.14915345368"/>
    <n v="39.21"/>
    <m/>
    <m/>
    <s v=""/>
  </r>
  <r>
    <x v="82"/>
    <n v="2026"/>
    <n v="2025"/>
    <d v="2025-04-01T00:00:00"/>
    <n v="30"/>
    <d v="1899-12-30T06:14:00"/>
    <d v="1899-12-30T18:18:00"/>
    <n v="25653.200000000001"/>
    <n v="26065"/>
    <n v="35868"/>
    <n v="34817"/>
    <n v="26315"/>
    <n v="10943.7"/>
    <n v="21606.400000000001"/>
    <m/>
    <m/>
    <n v="6.83"/>
    <n v="7"/>
    <n v="39.479999999999997"/>
    <n v="50.97"/>
    <n v="10.25"/>
    <n v="0"/>
    <n v="2.2200000000000002"/>
    <n v="6.45"/>
    <n v="148718.20000000001"/>
    <n v="32550.100000000002"/>
    <n v="181268.30000000002"/>
    <m/>
    <n v="9907"/>
    <m/>
    <n v="6619.1"/>
    <n v="9657.61"/>
    <n v="0.04"/>
    <n v="1.17"/>
    <s v=""/>
    <n v="182000"/>
    <n v="181440.00000000087"/>
    <n v="181150.00000000146"/>
    <n v="20.000000000000018"/>
    <n v="20.000000000000018"/>
    <n v="182000"/>
    <n v="181420.00000000087"/>
    <n v="3.1970014331337282E-3"/>
    <n v="12.066666666666666"/>
    <n v="182000"/>
    <n v="181418.14573916967"/>
    <n v="39.21"/>
    <m/>
    <m/>
    <s v=""/>
  </r>
  <r>
    <x v="83"/>
    <n v="2026"/>
    <n v="2025"/>
    <d v="2025-04-01T00:00:00"/>
    <n v="30"/>
    <d v="1899-12-30T06:15:00"/>
    <d v="1899-12-30T18:07:00"/>
    <n v="23021.7"/>
    <n v="23755.9"/>
    <n v="32869.4"/>
    <n v="31816.799999999999"/>
    <n v="31382.3"/>
    <n v="10318.5"/>
    <n v="19539.8"/>
    <m/>
    <m/>
    <n v="6.25"/>
    <n v="6.45"/>
    <n v="39.479999999999997"/>
    <n v="48.98"/>
    <n v="14.69"/>
    <n v="0"/>
    <n v="2.29"/>
    <n v="7.53"/>
    <n v="142846.1"/>
    <n v="29858.3"/>
    <n v="172704.4"/>
    <m/>
    <n v="10078"/>
    <m/>
    <n v="6725"/>
    <n v="9826.8700000000008"/>
    <n v="0.04"/>
    <n v="1.19"/>
    <s v=""/>
    <n v="171000"/>
    <n v="169439.99999999942"/>
    <n v="169260.00000000023"/>
    <n v="20.000000000000018"/>
    <n v="20.000000000000018"/>
    <n v="171000"/>
    <n v="169419.99999999942"/>
    <n v="9.325935544803432E-3"/>
    <n v="11.866666666666665"/>
    <n v="171000"/>
    <n v="169405.26502183863"/>
    <n v="39.21"/>
    <m/>
    <m/>
    <s v=""/>
  </r>
  <r>
    <x v="84"/>
    <n v="2026"/>
    <n v="2025"/>
    <d v="2025-04-01T00:00:00"/>
    <n v="30"/>
    <d v="1899-12-30T06:17:00"/>
    <d v="1899-12-30T18:20:00"/>
    <n v="21553.599999999999"/>
    <n v="22298.5"/>
    <n v="31441.1"/>
    <n v="30901.1"/>
    <n v="30618.6"/>
    <n v="10192.5"/>
    <n v="18104.7"/>
    <m/>
    <m/>
    <n v="5.75"/>
    <n v="5.92"/>
    <n v="37.770000000000003"/>
    <n v="46.78"/>
    <n v="24.39"/>
    <n v="0"/>
    <n v="3.31"/>
    <n v="11.44"/>
    <n v="136812.9"/>
    <n v="28297.200000000001"/>
    <n v="165110.1"/>
    <m/>
    <n v="10241"/>
    <m/>
    <n v="6826.4"/>
    <n v="9988.7009999999991"/>
    <n v="0.04"/>
    <n v="1.21"/>
    <s v=""/>
    <n v="163000"/>
    <n v="162239.99999999942"/>
    <n v="161830.99999999831"/>
    <n v="20.000000000000018"/>
    <n v="20.000000000000018"/>
    <n v="163000"/>
    <n v="162219.99999999942"/>
    <n v="4.8082850450041903E-3"/>
    <n v="12.049999999999997"/>
    <n v="163000"/>
    <n v="162216.24953766432"/>
    <n v="39.21"/>
    <m/>
    <m/>
    <s v=""/>
  </r>
  <r>
    <x v="85"/>
    <n v="2026"/>
    <n v="2025"/>
    <d v="2025-04-01T00:00:00"/>
    <n v="30"/>
    <d v="1899-12-30T06:12:00"/>
    <d v="1899-12-30T18:23:00"/>
    <n v="25493.3"/>
    <n v="26016.6"/>
    <n v="36288.5"/>
    <n v="35895.1"/>
    <n v="35637.800000000003"/>
    <n v="10870.4"/>
    <n v="21495.1"/>
    <m/>
    <m/>
    <n v="6.9"/>
    <n v="6.96"/>
    <n v="35.22"/>
    <n v="46.45"/>
    <n v="33.43"/>
    <n v="0"/>
    <n v="2.92"/>
    <n v="8.41"/>
    <n v="159331.29999999999"/>
    <n v="32365.5"/>
    <n v="191696.8"/>
    <m/>
    <n v="10431"/>
    <m/>
    <n v="6944.2"/>
    <n v="10176.25"/>
    <n v="0.04"/>
    <n v="1.22"/>
    <s v=""/>
    <n v="190000"/>
    <n v="188480.00000000029"/>
    <n v="187549.00000000087"/>
    <n v="10.000000000000009"/>
    <n v="10.000000000000009"/>
    <n v="190000"/>
    <n v="188470.00000000029"/>
    <n v="8.1180028651759439E-3"/>
    <n v="12.183333333333335"/>
    <n v="190000"/>
    <n v="188457.57945561656"/>
    <n v="39.21"/>
    <m/>
    <m/>
    <s v=""/>
  </r>
  <r>
    <x v="86"/>
    <n v="2026"/>
    <n v="2025"/>
    <d v="2025-04-01T00:00:00"/>
    <n v="30"/>
    <d v="1899-12-30T06:15:00"/>
    <d v="1899-12-30T18:22:00"/>
    <n v="23209.9"/>
    <n v="23586.799999999999"/>
    <n v="32906.6"/>
    <n v="32381.1"/>
    <n v="31544.9"/>
    <n v="11231"/>
    <n v="18317.7"/>
    <m/>
    <m/>
    <n v="6.28"/>
    <n v="6.52"/>
    <n v="37.799999999999997"/>
    <n v="47.71"/>
    <n v="24.58"/>
    <n v="0"/>
    <n v="3.28"/>
    <n v="8.31"/>
    <n v="143629.29999999999"/>
    <n v="29548.7"/>
    <n v="173178"/>
    <m/>
    <n v="10602"/>
    <m/>
    <n v="7050.5"/>
    <n v="10346.735000000001"/>
    <n v="0.04"/>
    <n v="1.24"/>
    <s v=""/>
    <n v="171000"/>
    <n v="170080.00000000029"/>
    <n v="170485.00000000058"/>
    <n v="20.000000000000018"/>
    <n v="20.000000000000018"/>
    <n v="171000"/>
    <n v="170060.00000000029"/>
    <n v="5.5274608961526361E-3"/>
    <n v="12.116666666666664"/>
    <n v="171000"/>
    <n v="170054.80418675789"/>
    <n v="39.21"/>
    <m/>
    <m/>
    <s v=""/>
  </r>
  <r>
    <x v="87"/>
    <n v="2026"/>
    <n v="2025"/>
    <d v="2025-04-01T00:00:00"/>
    <n v="30"/>
    <d v="1899-12-30T06:23:00"/>
    <d v="1899-12-30T18:24:00"/>
    <n v="24414.7"/>
    <n v="25061.7"/>
    <n v="34468.699999999997"/>
    <n v="33788.199999999997"/>
    <n v="33164.9"/>
    <n v="10793"/>
    <n v="27118"/>
    <m/>
    <m/>
    <n v="6.54"/>
    <n v="6.81"/>
    <n v="38.44"/>
    <n v="49.35"/>
    <n v="18.72"/>
    <n v="0"/>
    <n v="2.64"/>
    <n v="8.23"/>
    <n v="150898.20000000001"/>
    <n v="37911"/>
    <n v="188809.2"/>
    <m/>
    <n v="10789"/>
    <m/>
    <n v="7166.2"/>
    <n v="10531.945"/>
    <n v="0.04"/>
    <n v="1.25"/>
    <s v=""/>
    <n v="187000"/>
    <n v="185119.99999999971"/>
    <n v="185209.99999999913"/>
    <n v="10.000000000000009"/>
    <n v="10.000000000000009"/>
    <n v="187000"/>
    <n v="185109.99999999971"/>
    <n v="1.0210145319001107E-2"/>
    <n v="12.016666666666669"/>
    <n v="187000"/>
    <n v="185090.70282534679"/>
    <n v="39.21"/>
    <m/>
    <m/>
    <s v=""/>
  </r>
  <r>
    <x v="88"/>
    <n v="2026"/>
    <n v="2025"/>
    <d v="2025-04-01T00:00:00"/>
    <n v="30"/>
    <d v="1899-12-30T06:15:00"/>
    <d v="1899-12-30T18:25:00"/>
    <n v="24922.3"/>
    <n v="25428.1"/>
    <n v="34960.800000000003"/>
    <n v="34304.6"/>
    <n v="33567.800000000003"/>
    <n v="9538.1"/>
    <n v="28092.9"/>
    <m/>
    <m/>
    <n v="6.45"/>
    <n v="6.76"/>
    <n v="38.89"/>
    <n v="48.04"/>
    <n v="17.93"/>
    <n v="0"/>
    <n v="3.72"/>
    <n v="9.5299999999999994"/>
    <n v="153183.59999999998"/>
    <n v="37631"/>
    <n v="190814.59999999998"/>
    <m/>
    <n v="10977"/>
    <m/>
    <n v="7283.7"/>
    <n v="10719.214"/>
    <n v="0.04"/>
    <n v="1.28"/>
    <s v=""/>
    <n v="188000"/>
    <n v="188000"/>
    <n v="187269.00000000023"/>
    <n v="30.000000000000028"/>
    <n v="30.000000000000028"/>
    <n v="188000"/>
    <n v="187970"/>
    <n v="1.5959993616010415E-4"/>
    <n v="12.166666666666666"/>
    <n v="188000"/>
    <n v="187969.9952120019"/>
    <n v="39.21"/>
    <m/>
    <m/>
    <s v=""/>
  </r>
  <r>
    <x v="8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s v=""/>
    <s v=""/>
    <n v="0"/>
    <e v="#VALUE!"/>
    <s v=""/>
    <n v="0"/>
    <n v="0"/>
    <n v="0"/>
    <m/>
    <m/>
    <m/>
    <s v=""/>
  </r>
  <r>
    <x v="9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9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0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0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1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2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3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4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5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6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7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8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19"/>
    <n v="2026"/>
    <n v="2025"/>
    <d v="2025-05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2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3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0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1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2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3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4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5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6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7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8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49"/>
    <n v="2026"/>
    <n v="2025"/>
    <d v="2025-06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5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6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1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2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3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4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5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6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7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8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79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0"/>
    <n v="2026"/>
    <n v="2025"/>
    <d v="2025-07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8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19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2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3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4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5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6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7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8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09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0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1"/>
    <n v="2026"/>
    <n v="2025"/>
    <d v="2025-08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1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2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2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3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4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5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6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7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8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39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0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1"/>
    <n v="2026"/>
    <n v="2025"/>
    <d v="2025-09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4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m/>
    <n v="0"/>
    <n v="0"/>
    <s v=""/>
    <n v="0"/>
    <n v="0"/>
    <n v="0"/>
    <n v="0"/>
    <s v=""/>
    <n v="0"/>
    <n v="0"/>
    <n v="0"/>
    <m/>
    <m/>
    <m/>
    <s v=""/>
  </r>
  <r>
    <x v="25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5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3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4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5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6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7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8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69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0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1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2"/>
    <n v="2026"/>
    <n v="2025"/>
    <d v="2025-10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7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8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3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4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5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6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7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8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299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0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1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2"/>
    <n v="2026"/>
    <n v="2025"/>
    <d v="2025-11-01T00:00:00"/>
    <n v="30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0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1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4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5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6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7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8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29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0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1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2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  <r>
    <x v="333"/>
    <n v="2026"/>
    <n v="2025"/>
    <d v="2025-12-01T00:00:00"/>
    <n v="31"/>
    <m/>
    <m/>
    <m/>
    <m/>
    <m/>
    <m/>
    <m/>
    <m/>
    <m/>
    <m/>
    <m/>
    <m/>
    <m/>
    <m/>
    <m/>
    <m/>
    <m/>
    <m/>
    <m/>
    <n v="0"/>
    <n v="0"/>
    <n v="0"/>
    <m/>
    <m/>
    <m/>
    <m/>
    <m/>
    <m/>
    <m/>
    <s v=""/>
    <n v="0"/>
    <n v="0"/>
    <s v=""/>
    <n v="0"/>
    <n v="0"/>
    <n v="0"/>
    <n v="0"/>
    <s v=""/>
    <n v="0"/>
    <n v="0"/>
    <n v="0"/>
    <m/>
    <m/>
    <m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4" firstHeaderRow="0" firstDataRow="1" firstDataCol="1"/>
  <pivotFields count="53">
    <pivotField axis="axisRow" numFmtId="172" showAll="0">
      <items count="1042">
        <item m="1" x="334"/>
        <item m="1" x="335"/>
        <item m="1" x="336"/>
        <item m="1" x="337"/>
        <item m="1" x="338"/>
        <item m="1" x="339"/>
        <item m="1" x="340"/>
        <item m="1" x="341"/>
        <item m="1" x="342"/>
        <item m="1" x="343"/>
        <item m="1" x="344"/>
        <item m="1" x="345"/>
        <item m="1" x="346"/>
        <item m="1" x="347"/>
        <item m="1" x="348"/>
        <item m="1" x="349"/>
        <item m="1" x="350"/>
        <item m="1" x="351"/>
        <item m="1" x="352"/>
        <item m="1" x="353"/>
        <item m="1" x="354"/>
        <item m="1" x="355"/>
        <item m="1" x="356"/>
        <item m="1" x="357"/>
        <item m="1" x="358"/>
        <item m="1" x="359"/>
        <item m="1" x="360"/>
        <item m="1" x="361"/>
        <item m="1" x="362"/>
        <item m="1" x="363"/>
        <item m="1" x="364"/>
        <item m="1" x="365"/>
        <item m="1" x="366"/>
        <item m="1" x="367"/>
        <item m="1" x="368"/>
        <item m="1" x="369"/>
        <item m="1" x="370"/>
        <item m="1" x="371"/>
        <item m="1" x="372"/>
        <item m="1" x="373"/>
        <item m="1" x="374"/>
        <item m="1" x="375"/>
        <item m="1" x="376"/>
        <item m="1" x="377"/>
        <item m="1" x="378"/>
        <item m="1" x="379"/>
        <item m="1" x="380"/>
        <item m="1" x="381"/>
        <item m="1" x="382"/>
        <item m="1" x="383"/>
        <item m="1" x="384"/>
        <item m="1" x="385"/>
        <item m="1" x="386"/>
        <item m="1" x="387"/>
        <item m="1" x="388"/>
        <item m="1" x="389"/>
        <item m="1" x="390"/>
        <item m="1" x="391"/>
        <item m="1" x="392"/>
        <item m="1" x="393"/>
        <item m="1" x="394"/>
        <item m="1" x="395"/>
        <item m="1" x="396"/>
        <item m="1" x="397"/>
        <item m="1" x="398"/>
        <item m="1" x="399"/>
        <item m="1" x="400"/>
        <item m="1" x="401"/>
        <item m="1" x="402"/>
        <item m="1" x="403"/>
        <item m="1" x="404"/>
        <item m="1" x="405"/>
        <item m="1" x="406"/>
        <item m="1" x="407"/>
        <item m="1" x="408"/>
        <item m="1" x="409"/>
        <item m="1" x="410"/>
        <item m="1" x="411"/>
        <item m="1" x="412"/>
        <item m="1" x="413"/>
        <item m="1" x="414"/>
        <item m="1" x="415"/>
        <item m="1" x="416"/>
        <item m="1" x="417"/>
        <item m="1" x="418"/>
        <item m="1" x="419"/>
        <item m="1" x="420"/>
        <item m="1" x="421"/>
        <item m="1" x="422"/>
        <item m="1" x="423"/>
        <item m="1" x="424"/>
        <item m="1" x="425"/>
        <item m="1" x="426"/>
        <item m="1" x="427"/>
        <item m="1" x="428"/>
        <item m="1" x="429"/>
        <item m="1" x="430"/>
        <item m="1" x="431"/>
        <item m="1" x="432"/>
        <item m="1" x="433"/>
        <item m="1" x="434"/>
        <item m="1" x="435"/>
        <item m="1" x="436"/>
        <item m="1" x="437"/>
        <item m="1" x="438"/>
        <item m="1" x="439"/>
        <item m="1" x="440"/>
        <item m="1" x="441"/>
        <item m="1" x="442"/>
        <item m="1" x="443"/>
        <item m="1" x="444"/>
        <item m="1" x="445"/>
        <item m="1" x="446"/>
        <item m="1" x="447"/>
        <item m="1" x="448"/>
        <item m="1" x="449"/>
        <item m="1" x="450"/>
        <item m="1" x="451"/>
        <item m="1" x="452"/>
        <item m="1" x="453"/>
        <item m="1" x="454"/>
        <item m="1" x="455"/>
        <item m="1" x="456"/>
        <item m="1" x="457"/>
        <item m="1" x="458"/>
        <item m="1" x="459"/>
        <item m="1" x="460"/>
        <item m="1" x="461"/>
        <item m="1" x="462"/>
        <item m="1" x="463"/>
        <item m="1" x="464"/>
        <item m="1" x="465"/>
        <item m="1" x="466"/>
        <item m="1" x="467"/>
        <item m="1" x="468"/>
        <item m="1" x="469"/>
        <item m="1" x="470"/>
        <item m="1" x="471"/>
        <item m="1" x="472"/>
        <item m="1" x="473"/>
        <item m="1" x="474"/>
        <item m="1" x="475"/>
        <item m="1" x="476"/>
        <item m="1" x="477"/>
        <item m="1" x="478"/>
        <item m="1" x="479"/>
        <item m="1" x="480"/>
        <item m="1" x="481"/>
        <item m="1" x="482"/>
        <item m="1" x="483"/>
        <item m="1" x="484"/>
        <item m="1" x="485"/>
        <item m="1" x="486"/>
        <item m="1" x="487"/>
        <item m="1" x="488"/>
        <item m="1" x="489"/>
        <item m="1" x="490"/>
        <item m="1" x="491"/>
        <item m="1" x="492"/>
        <item m="1" x="493"/>
        <item m="1" x="494"/>
        <item m="1" x="495"/>
        <item m="1" x="496"/>
        <item m="1" x="497"/>
        <item m="1" x="498"/>
        <item m="1" x="499"/>
        <item m="1" x="500"/>
        <item m="1" x="501"/>
        <item m="1" x="502"/>
        <item m="1" x="503"/>
        <item m="1" x="504"/>
        <item m="1" x="505"/>
        <item m="1" x="506"/>
        <item m="1" x="507"/>
        <item m="1" x="508"/>
        <item m="1" x="509"/>
        <item m="1" x="510"/>
        <item m="1" x="511"/>
        <item m="1" x="512"/>
        <item m="1" x="513"/>
        <item m="1" x="514"/>
        <item m="1" x="515"/>
        <item m="1" x="516"/>
        <item m="1" x="517"/>
        <item m="1" x="518"/>
        <item m="1" x="519"/>
        <item m="1" x="520"/>
        <item m="1" x="521"/>
        <item m="1" x="522"/>
        <item m="1" x="523"/>
        <item m="1" x="524"/>
        <item m="1" x="525"/>
        <item m="1" x="526"/>
        <item m="1" x="527"/>
        <item m="1" x="528"/>
        <item m="1" x="529"/>
        <item m="1" x="530"/>
        <item m="1" x="531"/>
        <item m="1" x="532"/>
        <item m="1" x="533"/>
        <item m="1" x="534"/>
        <item m="1" x="535"/>
        <item m="1" x="536"/>
        <item m="1" x="537"/>
        <item m="1" x="538"/>
        <item m="1" x="539"/>
        <item m="1" x="540"/>
        <item m="1" x="541"/>
        <item m="1" x="542"/>
        <item m="1" x="543"/>
        <item m="1" x="544"/>
        <item m="1" x="545"/>
        <item m="1" x="546"/>
        <item m="1" x="547"/>
        <item m="1" x="548"/>
        <item m="1" x="549"/>
        <item m="1" x="550"/>
        <item m="1" x="551"/>
        <item m="1" x="552"/>
        <item m="1" x="553"/>
        <item m="1" x="554"/>
        <item m="1" x="555"/>
        <item m="1" x="556"/>
        <item m="1" x="557"/>
        <item m="1" x="558"/>
        <item m="1" x="559"/>
        <item m="1" x="560"/>
        <item m="1" x="561"/>
        <item m="1" x="562"/>
        <item m="1" x="563"/>
        <item m="1" x="564"/>
        <item m="1" x="565"/>
        <item m="1" x="566"/>
        <item m="1" x="567"/>
        <item m="1" x="568"/>
        <item m="1" x="569"/>
        <item m="1" x="570"/>
        <item m="1" x="571"/>
        <item m="1" x="572"/>
        <item m="1" x="573"/>
        <item m="1" x="574"/>
        <item m="1" x="575"/>
        <item m="1" x="576"/>
        <item m="1" x="577"/>
        <item m="1" x="578"/>
        <item m="1" x="579"/>
        <item m="1" x="580"/>
        <item m="1" x="581"/>
        <item m="1" x="582"/>
        <item m="1" x="583"/>
        <item m="1" x="584"/>
        <item m="1" x="585"/>
        <item m="1" x="586"/>
        <item m="1" x="587"/>
        <item m="1" x="588"/>
        <item m="1" x="589"/>
        <item m="1" x="590"/>
        <item m="1" x="591"/>
        <item m="1" x="592"/>
        <item m="1" x="593"/>
        <item m="1" x="594"/>
        <item m="1" x="595"/>
        <item m="1" x="596"/>
        <item m="1" x="597"/>
        <item m="1" x="598"/>
        <item m="1" x="599"/>
        <item m="1" x="600"/>
        <item m="1" x="601"/>
        <item m="1" x="602"/>
        <item m="1" x="603"/>
        <item m="1" x="604"/>
        <item m="1" x="605"/>
        <item m="1" x="606"/>
        <item m="1" x="607"/>
        <item m="1" x="608"/>
        <item m="1" x="609"/>
        <item m="1" x="610"/>
        <item m="1" x="611"/>
        <item m="1" x="612"/>
        <item m="1" x="613"/>
        <item m="1" x="614"/>
        <item m="1" x="615"/>
        <item m="1" x="616"/>
        <item m="1" x="617"/>
        <item m="1" x="618"/>
        <item m="1" x="619"/>
        <item m="1" x="620"/>
        <item m="1" x="621"/>
        <item m="1" x="622"/>
        <item m="1" x="623"/>
        <item m="1" x="624"/>
        <item m="1" x="625"/>
        <item m="1" x="626"/>
        <item m="1" x="627"/>
        <item m="1" x="628"/>
        <item m="1" x="629"/>
        <item m="1" x="630"/>
        <item m="1" x="631"/>
        <item m="1" x="632"/>
        <item m="1" x="633"/>
        <item m="1" x="634"/>
        <item m="1" x="635"/>
        <item m="1" x="636"/>
        <item m="1" x="637"/>
        <item m="1" x="638"/>
        <item m="1" x="639"/>
        <item m="1" x="640"/>
        <item m="1" x="641"/>
        <item m="1" x="642"/>
        <item m="1" x="643"/>
        <item m="1" x="644"/>
        <item m="1" x="645"/>
        <item m="1" x="646"/>
        <item m="1" x="647"/>
        <item m="1" x="648"/>
        <item m="1" x="649"/>
        <item m="1" x="650"/>
        <item m="1" x="651"/>
        <item m="1" x="652"/>
        <item m="1" x="653"/>
        <item m="1" x="654"/>
        <item m="1" x="655"/>
        <item m="1" x="656"/>
        <item m="1" x="657"/>
        <item m="1" x="658"/>
        <item m="1" x="659"/>
        <item m="1" x="660"/>
        <item m="1" x="661"/>
        <item m="1" x="662"/>
        <item m="1" x="663"/>
        <item m="1" x="664"/>
        <item m="1" x="665"/>
        <item m="1" x="666"/>
        <item m="1" x="667"/>
        <item m="1" x="668"/>
        <item m="1" x="669"/>
        <item m="1" x="670"/>
        <item m="1" x="671"/>
        <item m="1" x="672"/>
        <item m="1" x="673"/>
        <item m="1" x="674"/>
        <item m="1" x="675"/>
        <item m="1" x="676"/>
        <item m="1" x="677"/>
        <item m="1" x="678"/>
        <item m="1" x="679"/>
        <item m="1" x="680"/>
        <item m="1" x="681"/>
        <item m="1" x="682"/>
        <item m="1" x="683"/>
        <item m="1" x="684"/>
        <item m="1" x="685"/>
        <item m="1" x="686"/>
        <item m="1" x="687"/>
        <item m="1" x="688"/>
        <item m="1" x="689"/>
        <item m="1" x="690"/>
        <item m="1" x="691"/>
        <item m="1" x="692"/>
        <item m="1" x="693"/>
        <item m="1" x="694"/>
        <item m="1" x="695"/>
        <item m="1" x="696"/>
        <item m="1" x="697"/>
        <item m="1" x="698"/>
        <item m="1" x="699"/>
        <item m="1" x="700"/>
        <item m="1" x="701"/>
        <item m="1" x="702"/>
        <item m="1" x="703"/>
        <item m="1" x="704"/>
        <item m="1" x="705"/>
        <item m="1" x="706"/>
        <item m="1" x="707"/>
        <item m="1" x="708"/>
        <item m="1" x="709"/>
        <item m="1" x="710"/>
        <item m="1" x="711"/>
        <item m="1" x="712"/>
        <item m="1" x="713"/>
        <item m="1" x="714"/>
        <item m="1" x="715"/>
        <item m="1" x="716"/>
        <item m="1" x="717"/>
        <item m="1" x="718"/>
        <item m="1" x="719"/>
        <item m="1" x="720"/>
        <item m="1" x="721"/>
        <item m="1" x="722"/>
        <item m="1" x="723"/>
        <item m="1" x="724"/>
        <item m="1" x="725"/>
        <item m="1" x="726"/>
        <item m="1" x="727"/>
        <item m="1" x="728"/>
        <item m="1" x="729"/>
        <item m="1" x="730"/>
        <item m="1" x="731"/>
        <item m="1" x="732"/>
        <item m="1" x="733"/>
        <item m="1" x="734"/>
        <item m="1" x="735"/>
        <item m="1" x="736"/>
        <item m="1" x="737"/>
        <item m="1" x="738"/>
        <item m="1" x="739"/>
        <item m="1" x="740"/>
        <item m="1" x="741"/>
        <item m="1" x="742"/>
        <item m="1" x="743"/>
        <item m="1" x="744"/>
        <item m="1" x="745"/>
        <item m="1" x="746"/>
        <item m="1" x="747"/>
        <item m="1" x="748"/>
        <item m="1" x="749"/>
        <item m="1" x="750"/>
        <item m="1" x="751"/>
        <item m="1" x="752"/>
        <item m="1" x="753"/>
        <item m="1" x="754"/>
        <item m="1" x="755"/>
        <item m="1" x="756"/>
        <item m="1" x="757"/>
        <item m="1" x="758"/>
        <item m="1" x="759"/>
        <item m="1" x="760"/>
        <item m="1" x="761"/>
        <item m="1" x="762"/>
        <item m="1" x="763"/>
        <item m="1" x="764"/>
        <item m="1" x="765"/>
        <item m="1" x="766"/>
        <item m="1" x="767"/>
        <item m="1" x="768"/>
        <item m="1" x="769"/>
        <item m="1" x="770"/>
        <item m="1" x="771"/>
        <item m="1" x="772"/>
        <item m="1" x="773"/>
        <item m="1" x="774"/>
        <item m="1" x="775"/>
        <item m="1" x="776"/>
        <item m="1" x="777"/>
        <item m="1" x="778"/>
        <item m="1" x="779"/>
        <item m="1" x="780"/>
        <item m="1" x="781"/>
        <item m="1" x="782"/>
        <item m="1" x="783"/>
        <item m="1" x="784"/>
        <item m="1" x="785"/>
        <item m="1" x="786"/>
        <item m="1" x="787"/>
        <item m="1" x="788"/>
        <item m="1" x="789"/>
        <item m="1" x="790"/>
        <item m="1" x="791"/>
        <item m="1" x="792"/>
        <item m="1" x="793"/>
        <item m="1" x="794"/>
        <item m="1" x="795"/>
        <item m="1" x="796"/>
        <item m="1" x="797"/>
        <item m="1" x="798"/>
        <item m="1" x="799"/>
        <item m="1" x="800"/>
        <item m="1" x="801"/>
        <item m="1" x="802"/>
        <item m="1" x="803"/>
        <item m="1" x="804"/>
        <item m="1" x="805"/>
        <item m="1" x="806"/>
        <item m="1" x="807"/>
        <item m="1" x="808"/>
        <item m="1" x="809"/>
        <item m="1" x="810"/>
        <item m="1" x="811"/>
        <item m="1" x="812"/>
        <item m="1" x="813"/>
        <item m="1" x="814"/>
        <item m="1" x="815"/>
        <item m="1" x="816"/>
        <item m="1" x="817"/>
        <item m="1" x="818"/>
        <item m="1" x="819"/>
        <item m="1" x="820"/>
        <item m="1" x="821"/>
        <item m="1" x="822"/>
        <item m="1" x="823"/>
        <item m="1" x="824"/>
        <item m="1" x="825"/>
        <item m="1" x="826"/>
        <item m="1" x="827"/>
        <item m="1" x="828"/>
        <item m="1" x="829"/>
        <item m="1" x="830"/>
        <item m="1" x="831"/>
        <item m="1" x="832"/>
        <item m="1" x="833"/>
        <item m="1" x="834"/>
        <item m="1" x="835"/>
        <item m="1" x="836"/>
        <item m="1" x="837"/>
        <item m="1" x="838"/>
        <item m="1" x="839"/>
        <item m="1" x="840"/>
        <item m="1" x="841"/>
        <item m="1" x="842"/>
        <item m="1" x="843"/>
        <item m="1" x="844"/>
        <item m="1" x="845"/>
        <item m="1" x="846"/>
        <item m="1" x="847"/>
        <item m="1" x="848"/>
        <item m="1" x="849"/>
        <item m="1" x="850"/>
        <item m="1" x="851"/>
        <item m="1" x="852"/>
        <item m="1" x="853"/>
        <item m="1" x="854"/>
        <item m="1" x="855"/>
        <item m="1" x="856"/>
        <item m="1" x="857"/>
        <item m="1" x="858"/>
        <item m="1" x="859"/>
        <item m="1" x="860"/>
        <item m="1" x="861"/>
        <item m="1" x="862"/>
        <item m="1" x="863"/>
        <item m="1" x="864"/>
        <item m="1" x="865"/>
        <item m="1" x="866"/>
        <item m="1" x="867"/>
        <item m="1" x="868"/>
        <item m="1" x="869"/>
        <item m="1" x="870"/>
        <item m="1" x="871"/>
        <item m="1" x="872"/>
        <item m="1" x="873"/>
        <item m="1" x="874"/>
        <item m="1" x="875"/>
        <item m="1" x="876"/>
        <item m="1" x="877"/>
        <item m="1" x="878"/>
        <item m="1" x="879"/>
        <item m="1" x="880"/>
        <item m="1" x="881"/>
        <item m="1" x="882"/>
        <item m="1" x="883"/>
        <item m="1" x="884"/>
        <item m="1" x="885"/>
        <item m="1" x="886"/>
        <item m="1" x="887"/>
        <item m="1" x="888"/>
        <item m="1" x="889"/>
        <item m="1" x="890"/>
        <item m="1" x="891"/>
        <item m="1" x="892"/>
        <item m="1" x="893"/>
        <item m="1" x="894"/>
        <item m="1" x="895"/>
        <item m="1" x="896"/>
        <item m="1" x="897"/>
        <item m="1" x="898"/>
        <item m="1" x="899"/>
        <item m="1" x="900"/>
        <item m="1" x="901"/>
        <item m="1" x="902"/>
        <item m="1" x="903"/>
        <item m="1" x="904"/>
        <item m="1" x="905"/>
        <item m="1" x="906"/>
        <item m="1" x="907"/>
        <item m="1" x="908"/>
        <item m="1" x="909"/>
        <item m="1" x="910"/>
        <item m="1" x="911"/>
        <item m="1" x="912"/>
        <item m="1" x="913"/>
        <item m="1" x="914"/>
        <item m="1" x="915"/>
        <item m="1" x="916"/>
        <item m="1" x="917"/>
        <item m="1" x="918"/>
        <item m="1" x="919"/>
        <item m="1" x="920"/>
        <item m="1" x="921"/>
        <item m="1" x="922"/>
        <item m="1" x="923"/>
        <item m="1" x="924"/>
        <item m="1" x="925"/>
        <item m="1" x="926"/>
        <item m="1" x="927"/>
        <item m="1" x="928"/>
        <item m="1" x="929"/>
        <item m="1" x="930"/>
        <item m="1" x="931"/>
        <item m="1" x="932"/>
        <item m="1" x="933"/>
        <item m="1" x="934"/>
        <item m="1" x="935"/>
        <item m="1" x="936"/>
        <item m="1" x="937"/>
        <item m="1" x="938"/>
        <item m="1" x="939"/>
        <item m="1" x="940"/>
        <item m="1" x="941"/>
        <item m="1" x="942"/>
        <item m="1" x="943"/>
        <item m="1" x="944"/>
        <item m="1" x="945"/>
        <item m="1" x="946"/>
        <item m="1" x="947"/>
        <item m="1" x="948"/>
        <item m="1" x="949"/>
        <item m="1" x="950"/>
        <item m="1" x="951"/>
        <item m="1" x="952"/>
        <item m="1" x="953"/>
        <item m="1" x="954"/>
        <item m="1" x="955"/>
        <item m="1" x="956"/>
        <item m="1" x="957"/>
        <item m="1" x="958"/>
        <item m="1" x="959"/>
        <item m="1" x="960"/>
        <item m="1" x="961"/>
        <item m="1" x="962"/>
        <item m="1" x="963"/>
        <item m="1" x="964"/>
        <item m="1" x="965"/>
        <item m="1" x="966"/>
        <item m="1" x="967"/>
        <item m="1" x="968"/>
        <item m="1" x="969"/>
        <item m="1" x="970"/>
        <item m="1" x="971"/>
        <item m="1" x="972"/>
        <item m="1" x="973"/>
        <item m="1" x="974"/>
        <item m="1" x="975"/>
        <item m="1" x="976"/>
        <item m="1" x="977"/>
        <item m="1" x="978"/>
        <item m="1" x="979"/>
        <item m="1" x="980"/>
        <item m="1" x="981"/>
        <item m="1" x="982"/>
        <item m="1" x="983"/>
        <item m="1" x="984"/>
        <item m="1" x="985"/>
        <item m="1" x="986"/>
        <item m="1" x="987"/>
        <item m="1" x="988"/>
        <item m="1" x="989"/>
        <item m="1" x="990"/>
        <item m="1" x="991"/>
        <item m="1" x="992"/>
        <item m="1" x="993"/>
        <item m="1" x="994"/>
        <item m="1" x="995"/>
        <item m="1" x="996"/>
        <item m="1" x="997"/>
        <item m="1" x="998"/>
        <item m="1" x="999"/>
        <item m="1" x="1000"/>
        <item m="1" x="1001"/>
        <item m="1" x="1002"/>
        <item m="1" x="1003"/>
        <item m="1" x="1004"/>
        <item m="1" x="1005"/>
        <item m="1" x="1006"/>
        <item m="1" x="1007"/>
        <item m="1" x="1008"/>
        <item m="1" x="1009"/>
        <item m="1" x="1010"/>
        <item m="1" x="1011"/>
        <item m="1" x="1012"/>
        <item m="1" x="1013"/>
        <item m="1" x="1014"/>
        <item m="1" x="1015"/>
        <item m="1" x="1016"/>
        <item m="1" x="1017"/>
        <item m="1" x="1018"/>
        <item m="1" x="1019"/>
        <item m="1" x="1020"/>
        <item m="1" x="1021"/>
        <item m="1" x="1022"/>
        <item m="1" x="1023"/>
        <item m="1" x="1024"/>
        <item m="1" x="1025"/>
        <item m="1" x="1026"/>
        <item m="1" x="1027"/>
        <item m="1" x="1028"/>
        <item m="1" x="1029"/>
        <item m="1" x="1030"/>
        <item m="1" x="1031"/>
        <item m="1" x="1032"/>
        <item m="1" x="1033"/>
        <item m="1" x="1034"/>
        <item m="1" x="1035"/>
        <item m="1" x="1036"/>
        <item m="1" x="1037"/>
        <item m="1" x="1038"/>
        <item m="1" x="1039"/>
        <item m="1" x="104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showAll="0"/>
    <pivotField showAll="0"/>
    <pivotField numFmtId="17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7" showAll="0"/>
    <pivotField dataField="1"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x="1"/>
        <item sd="0" x="2"/>
        <item sd="0" x="3"/>
        <item sd="0" x="4"/>
        <item x="0"/>
        <item x="5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</pivotFields>
  <rowFields count="3">
    <field x="52"/>
    <field x="50"/>
    <field x="0"/>
  </rowFields>
  <rowItems count="13">
    <i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2RE7" fld="24" baseField="0" baseItem="0" numFmtId="167"/>
    <dataField name="Sum of O2RE27" fld="25" baseField="0" baseItem="0" numFmtId="167"/>
  </dataFields>
  <formats count="1">
    <format dxfId="4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A87901B-FF6A-430F-A288-21A81A36F801}" name="Daily_KPI" displayName="Daily_KPI" ref="A1:AS369" totalsRowShown="0" headerRowDxfId="449" totalsRowDxfId="446" headerRowBorderDxfId="448" tableBorderDxfId="447" totalsRowBorderDxfId="445">
  <autoFilter ref="A1:AS369" xr:uid="{3B203726-2095-49D8-A694-A659B4A14C0A}"/>
  <tableColumns count="45">
    <tableColumn id="1" xr3:uid="{D8F43D09-E9EF-492A-8B18-9C6B1B51FE7E}" name="Date" dataDxfId="444" totalsRowDxfId="443" dataCellStyle="Normal 53"/>
    <tableColumn id="2" xr3:uid="{17FC98E2-BDD5-4486-BD76-3D5D87865F92}" name="Financial Year" dataDxfId="442" totalsRowDxfId="441" dataCellStyle="Normal 53">
      <calculatedColumnFormula>YEAR(Daily_KPI[[#This Row],[Date]])+IF(MONTH(Daily_KPI[[#This Row],[Date]])&gt;=4,1,0)</calculatedColumnFormula>
    </tableColumn>
    <tableColumn id="3" xr3:uid="{45D7C7EB-F8FB-4333-9251-A0CE729543EA}" name="Calendar Year" dataDxfId="440" totalsRowDxfId="439" dataCellStyle="Normal 53">
      <calculatedColumnFormula>YEAR(Daily_KPI[[#This Row],[Date]])</calculatedColumnFormula>
    </tableColumn>
    <tableColumn id="4" xr3:uid="{2B289273-3195-4091-9C3B-7DC79BD968F6}" name="Month Year" dataDxfId="438" totalsRowDxfId="437" dataCellStyle="Normal 53">
      <calculatedColumnFormula>Daily_KPI[[#This Row],[Date]]-DAY(Daily_KPI[[#This Row],[Date]])+1</calculatedColumnFormula>
    </tableColumn>
    <tableColumn id="5" xr3:uid="{2E8F6039-834D-4861-95D1-2773BF17DB35}" name="Days" dataDxfId="436" totalsRowDxfId="435" dataCellStyle="Normal 53">
      <calculatedColumnFormula>DAY(EOMONTH(A2,0))</calculatedColumnFormula>
    </tableColumn>
    <tableColumn id="6" xr3:uid="{2B2E1685-F7D2-488E-8999-3968E84156D4}" name="Operating Hours" dataDxfId="434" dataCellStyle="Percent 43">
      <calculatedColumnFormula>IFERROR(_xlfn.XLOOKUP($A2,Input_Raw!$A:$A,Input_Raw!$BM:$BM),"")</calculatedColumnFormula>
    </tableColumn>
    <tableColumn id="7" xr3:uid="{BB172904-0855-403C-9785-E2E72275913F}" name="GHI-UP (KWh/m2)" dataDxfId="433" totalsRowDxfId="432" dataCellStyle="Percent 43">
      <calculatedColumnFormula>IFERROR(_xlfn.XLOOKUP($A2,Input_Raw!$A:$A,Input_Raw!$AN:$AN),"")</calculatedColumnFormula>
    </tableColumn>
    <tableColumn id="8" xr3:uid="{1D298A56-ACFA-4B3A-9AF0-2791ED986CA9}" name="GHI-Down(KWh/m2)" dataDxfId="431" dataCellStyle="Percent 43"/>
    <tableColumn id="9" xr3:uid="{4B1A15FE-C4D7-4557-A738-808A73058227}" name="POA-UP(KWh/m2)" dataDxfId="430" dataCellStyle="Percent 43">
      <calculatedColumnFormula>IFERROR(_xlfn.XLOOKUP($A2,Input_Raw!$A:$A,Input_Raw!$AM:$AM),"")</calculatedColumnFormula>
    </tableColumn>
    <tableColumn id="10" xr3:uid="{42BC900C-A2A4-4428-BF92-9B23950FB86F}" name="POA-Down(KWh/m2)" dataDxfId="429" dataCellStyle="Percent 43"/>
    <tableColumn id="11" xr3:uid="{EF96AFDB-2CD2-4E15-A8BC-B1157332BA8B}" name="Amb_Temp(°C)" dataDxfId="428" totalsRowDxfId="427" dataCellStyle="Percent 43">
      <calculatedColumnFormula>IFERROR(_xlfn.XLOOKUP($A2,Input_Raw!$A:$A,Input_Raw!AO:AO),"")</calculatedColumnFormula>
    </tableColumn>
    <tableColumn id="12" xr3:uid="{5EA4A231-A5DB-44EE-976F-59154562FF32}" name="Mod_Temp(°C)" dataDxfId="426" totalsRowDxfId="425" dataCellStyle="Percent 43">
      <calculatedColumnFormula>IFERROR(_xlfn.XLOOKUP($A2,Input_Raw!$A:$A,Input_Raw!AP:AP),"")</calculatedColumnFormula>
    </tableColumn>
    <tableColumn id="13" xr3:uid="{E56A5D16-2FE8-48C7-8C59-3BE99F8CA22E}" name="WS_Avg(m/s)" dataDxfId="424" totalsRowDxfId="423" dataCellStyle="Percent 43">
      <calculatedColumnFormula>IFERROR(_xlfn.XLOOKUP($A2,Input_Raw!$A:$A,Input_Raw!AS:AS),"")</calculatedColumnFormula>
    </tableColumn>
    <tableColumn id="14" xr3:uid="{1DD13536-3979-4DD1-8C35-B5B151179AB8}" name="WS_Max(m/s)" dataDxfId="422" totalsRowDxfId="421" dataCellStyle="Percent 43">
      <calculatedColumnFormula>IFERROR(_xlfn.XLOOKUP($A2,Input_Raw!$A:$A,Input_Raw!AT:AT),"")</calculatedColumnFormula>
    </tableColumn>
    <tableColumn id="15" xr3:uid="{43E0263C-1183-41AE-8413-D19F0955271B}" name="PA(%)" dataDxfId="420" dataCellStyle="Percent 43">
      <calculatedColumnFormula>IFERROR(1-(SUMIF(Plant_BD!$B:$B,$A2,Plant_BD!$AL:$AL)/($AA2+SUMIF(Plant_BD!$B:$B,$A2,Plant_BD!$AL:$AL))),"")</calculatedColumnFormula>
    </tableColumn>
    <tableColumn id="16" xr3:uid="{42499D62-A70C-4D11-ABCE-8AA02483FFAE}" name="MA (%)" dataDxfId="419" dataCellStyle="Percent 43"/>
    <tableColumn id="17" xr3:uid="{F877BA75-B99B-4EBE-B99C-48AAA8F1F7BF}" name="IGA (%)" dataDxfId="418" dataCellStyle="Percent 43"/>
    <tableColumn id="18" xr3:uid="{B694AB7F-0F5F-4FE8-B38A-9779B5428942}" name="EGA(%)" dataDxfId="417" dataCellStyle="Percent 43">
      <calculatedColumnFormula>IFERROR(1-(SUMIF(Grid_BD!$B:$B,$A2,Grid_BD!$V:$V)/($AA2+SUMIF(Grid_BD!$B:$B,$A2,Grid_BD!$V:$V))),"")</calculatedColumnFormula>
    </tableColumn>
    <tableColumn id="19" xr3:uid="{86714C46-8BA6-433A-AC7F-DDA50EF2C490}" name="EMA (%)" dataDxfId="416" totalsRowDxfId="415" dataCellStyle="Normal 53"/>
    <tableColumn id="20" xr3:uid="{1C269C4E-6A8A-4DB3-A00A-ED411454B262}" name="TA (%)" dataDxfId="414" dataCellStyle="Percent 43"/>
    <tableColumn id="21" xr3:uid="{DCC3850E-4204-4E68-8D6F-645780C9D339}" name="PR(%)" dataDxfId="413" totalsRowDxfId="412" dataCellStyle="Percent 43">
      <calculatedColumnFormula>IFERROR(AA2/I2/AB2/1000,"")</calculatedColumnFormula>
    </tableColumn>
    <tableColumn id="22" xr3:uid="{7079FA34-F3FA-4CD8-AE69-4E7A8CF786F0}" name="WPR(%)" dataDxfId="411" totalsRowDxfId="410" dataCellStyle="Percent 43">
      <calculatedColumnFormula>IFERROR(_xlfn.XLOOKUP($A2,Input_Raw!$A:$A,Input_Raw!$BS:$BS),"")</calculatedColumnFormula>
    </tableColumn>
    <tableColumn id="23" xr3:uid="{CBA846E4-4CAD-46D1-A973-A2211A9AF6A9}" name="CUF(%)" dataDxfId="409" totalsRowDxfId="408" dataCellStyle="Percent 43">
      <calculatedColumnFormula>IFERROR(AA2/(24*AR2*1000),"")</calculatedColumnFormula>
    </tableColumn>
    <tableColumn id="24" xr3:uid="{339615D8-1F63-42DD-8F61-80222A13D46C}" name="Gen_Exp (kWh)" dataDxfId="407" totalsRowDxfId="406" dataCellStyle="Normal 53">
      <calculatedColumnFormula>IFERROR(_xlfn.XLOOKUP($A2,Input_Raw!$A:$A,Input_Raw!$AW:$AW),"")</calculatedColumnFormula>
    </tableColumn>
    <tableColumn id="25" xr3:uid="{DEC8AEDD-876D-460F-8E7E-8E3EA4D3234A}" name="Mtr_Export (kWh)" dataDxfId="405" totalsRowDxfId="404" dataCellStyle="Normal 53">
      <calculatedColumnFormula>IFERROR(_xlfn.XLOOKUP($A2,Input_Raw!$A:$A,Input_Raw!$BN:$BN),"")</calculatedColumnFormula>
    </tableColumn>
    <tableColumn id="26" xr3:uid="{233D1E74-2639-49B3-AD3F-3ADCB13C2646}" name="Mtr_Import (kWh)" dataDxfId="403" totalsRowDxfId="402" dataCellStyle="Normal 53"/>
    <tableColumn id="27" xr3:uid="{3E7D8E07-78D2-4CAB-9A27-CF9B233BB249}" name="Mtr_Net_Exp (KWh)" dataDxfId="401" dataCellStyle="Normal 53">
      <calculatedColumnFormula>IFERROR(_xlfn.XLOOKUP($A2,Input_Raw!$A:$A,Input_Raw!$BO:$BO),"")</calculatedColumnFormula>
    </tableColumn>
    <tableColumn id="28" xr3:uid="{D134DC45-3C09-48DE-A19A-159386CC380F}" name="Operational Capacity (MW)" dataDxfId="400" totalsRowDxfId="399" dataCellStyle="Normal 53">
      <calculatedColumnFormula>IFERROR(_xlfn.XLOOKUP($A2,Input_Raw!$A:$A,Input_Raw!$BP:$BP),"")</calculatedColumnFormula>
    </tableColumn>
    <tableColumn id="29" xr3:uid="{F9E936EF-EF1C-4383-B702-9D6B1145456A}" name="Bugt_Resource" dataDxfId="398" totalsRowDxfId="397" dataCellStyle="Normal 53">
      <calculatedColumnFormula>IFERROR(_xlfn.XLOOKUP($D2,'Modelling New'!$D:$D,'Modelling New'!P:P),"")</calculatedColumnFormula>
    </tableColumn>
    <tableColumn id="30" xr3:uid="{C7837002-3D5F-48DE-82BB-A3674DF4D459}" name="Bugt_Energy" dataDxfId="396" totalsRowDxfId="395" dataCellStyle="Normal 53">
      <calculatedColumnFormula>IFERROR(_xlfn.XLOOKUP($D2,'Modelling New'!$D:$D,'Modelling New'!T:T)*1000,"")</calculatedColumnFormula>
    </tableColumn>
    <tableColumn id="43" xr3:uid="{013E60A2-DBD3-4DF8-8B44-290A00017F66}" name="Bugt PR" dataDxfId="394" dataCellStyle="Percent 35">
      <calculatedColumnFormula>IFERROR(_xlfn.XLOOKUP($D2,'Modelling New'!$D:$D,'Modelling New'!$O:$O),"")</calculatedColumnFormula>
    </tableColumn>
    <tableColumn id="42" xr3:uid="{653115AF-6B3D-4FDC-9B45-EBBBC6AC00A3}" name="Bugt CUF" dataDxfId="393" totalsRowDxfId="392" dataCellStyle="Percent 35">
      <calculatedColumnFormula>IFERROR(_xlfn.XLOOKUP($D2,'Modelling New'!$D:$D,'Modelling New'!$W:$W),"")</calculatedColumnFormula>
    </tableColumn>
    <tableColumn id="31" xr3:uid="{63A259CE-FA89-445C-89AD-E71E63EBFFDF}" name="Bugt_PA" dataDxfId="391" totalsRowDxfId="390" dataCellStyle="Percent 35">
      <calculatedColumnFormula>IFERROR(_xlfn.XLOOKUP($D2,'Modelling New'!$D:$D,'Modelling New'!$AE:$AE),"")</calculatedColumnFormula>
    </tableColumn>
    <tableColumn id="32" xr3:uid="{B93A4EAC-925D-4D14-982F-AADC74987575}" name="Bugt_EGA" dataDxfId="389" totalsRowDxfId="388" dataCellStyle="Percent 35">
      <calculatedColumnFormula>IFERROR(_xlfn.XLOOKUP($D2,'Modelling New'!$D:$D,'Modelling New'!$AF:$AF),"")</calculatedColumnFormula>
    </tableColumn>
    <tableColumn id="33" xr3:uid="{8D788DBE-A0A8-4629-AEE9-3BD1F325835F}" name="Expected Energy" dataDxfId="387" totalsRowDxfId="386" dataCellStyle="Normal 53"/>
    <tableColumn id="34" xr3:uid="{C1B98A55-20AF-41F5-A0DD-62F5917DFF6C}" name="Actual Energy WPR" dataDxfId="385" totalsRowDxfId="384" dataCellStyle="Normal 53"/>
    <tableColumn id="35" xr3:uid="{0F415FE2-3355-4A39-864D-10A3B9AD00B2}" name="RA (%)" dataDxfId="383" totalsRowDxfId="382" dataCellStyle="Normal 53"/>
    <tableColumn id="36" xr3:uid="{7F0215CE-D966-4BB9-A2F5-194B742D9668}" name="Mod Clean Dry (Num)" dataDxfId="381" totalsRowDxfId="380" dataCellStyle="Normal 53"/>
    <tableColumn id="37" xr3:uid="{622C5A19-6374-4807-8449-89760E2B7C31}" name="Mod Clean Wet (Num)" dataDxfId="379" totalsRowDxfId="378" dataCellStyle="Normal 53"/>
    <tableColumn id="38" xr3:uid="{D2AC8764-A512-4CD0-A35D-231510801658}" name="Line Loss(%)" dataDxfId="377" totalsRowDxfId="376" dataCellStyle="Percent 35"/>
    <tableColumn id="39" xr3:uid="{E7436573-76F7-48B3-81E1-F30EAF57FBDA}" name="Reactive Power (%)" dataDxfId="375" dataCellStyle="Percent 43"/>
    <tableColumn id="40" xr3:uid="{FF479CD8-0D5E-4BE6-A0E2-BB1E1B7164C4}" name="Bugt Line loss (%) (Wind)" dataDxfId="374" totalsRowDxfId="373" dataCellStyle="Percent 43"/>
    <tableColumn id="41" xr3:uid="{58D82606-FF12-460A-9A29-89E7B21AE63E}" name="Bugt Reactive Power (%) (Wind)" dataDxfId="372" totalsRowDxfId="371" dataCellStyle="Percent 43"/>
    <tableColumn id="45" xr3:uid="{15860610-292F-4778-A5C5-C1990BC7593F}" name="Bugt Capacity" dataDxfId="370" totalsRowDxfId="369" dataCellStyle="Normal 53">
      <calculatedColumnFormula>_xlfn.XLOOKUP($D2,'Modelling New'!$D:$D,'Modelling New'!$N:$N)</calculatedColumnFormula>
    </tableColumn>
    <tableColumn id="44" xr3:uid="{CC97D97F-F96A-4265-A37C-3718C9660706}" name="CC*Bugt" dataDxfId="368" totalsRowDxfId="367" dataCellStyle="Normal 53">
      <calculatedColumnFormula>IFERROR((AD2/AR2)*AB2,"")</calculatedColumnFormula>
    </tableColumn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MC" displayName="MC" ref="A2:Y381" totalsRowShown="0" headerRowDxfId="123" headerRowBorderDxfId="122" headerRowCellStyle="Normal 26">
  <tableColumns count="25">
    <tableColumn id="1" xr3:uid="{00000000-0010-0000-0500-000001000000}" name="Sr. No." dataDxfId="121"/>
    <tableColumn id="8" xr3:uid="{00000000-0010-0000-0500-000008000000}" name="Date" dataDxfId="120"/>
    <tableColumn id="2" xr3:uid="{00000000-0010-0000-0500-000002000000}" name="Finacial Year" dataDxfId="119">
      <calculatedColumnFormula>YEAR(MC[[#This Row],[Date]])+IF(MONTH(MC[[#This Row],[Date]])&gt;=4,1,0)</calculatedColumnFormula>
    </tableColumn>
    <tableColumn id="3" xr3:uid="{00000000-0010-0000-0500-000003000000}" name="Calendor Year" dataDxfId="118">
      <calculatedColumnFormula>YEAR(MC[[#This Row],[Date]])</calculatedColumnFormula>
    </tableColumn>
    <tableColumn id="4" xr3:uid="{00000000-0010-0000-0500-000004000000}" name="Contrcatual Year" dataDxfId="117"/>
    <tableColumn id="5" xr3:uid="{00000000-0010-0000-0500-000005000000}" name="Operating Year" dataDxfId="116"/>
    <tableColumn id="6" xr3:uid="{00000000-0010-0000-0500-000006000000}" name="Month Year" dataDxfId="115">
      <calculatedColumnFormula>TEXT(MC[[#This Row],[Date]],"mmm-yy")</calculatedColumnFormula>
    </tableColumn>
    <tableColumn id="7" xr3:uid="{00000000-0010-0000-0500-000007000000}" name="Days" dataDxfId="114">
      <calculatedColumnFormula>DAY(EOMONTH(MC[[#This Row],[Month Year]],0))</calculatedColumnFormula>
    </tableColumn>
    <tableColumn id="9" xr3:uid="{00000000-0010-0000-0500-000009000000}" name="Cycle Number" dataDxfId="113"/>
    <tableColumn id="10" xr3:uid="{00000000-0010-0000-0500-00000A000000}" name="Resources" dataDxfId="112"/>
    <tableColumn id="11" xr3:uid="{00000000-0010-0000-0500-00000B000000}" name="ICR1" dataDxfId="111"/>
    <tableColumn id="12" xr3:uid="{00000000-0010-0000-0500-00000C000000}" name="ICR2" dataDxfId="110"/>
    <tableColumn id="13" xr3:uid="{00000000-0010-0000-0500-00000D000000}" name="ICR3" dataDxfId="109"/>
    <tableColumn id="14" xr3:uid="{00000000-0010-0000-0500-00000E000000}" name="ICR4" dataDxfId="108"/>
    <tableColumn id="15" xr3:uid="{00000000-0010-0000-0500-00000F000000}" name="ICR10" dataDxfId="107"/>
    <tableColumn id="16" xr3:uid="{4021143C-D39E-4F72-8CB6-782FC223D289}" name="ICR11" dataDxfId="106"/>
    <tableColumn id="26" xr3:uid="{CB5CE68D-6046-4575-ABEC-40AC38686780}" name="ICR12" dataDxfId="105"/>
    <tableColumn id="17" xr3:uid="{00000000-0010-0000-0500-000011000000}" name="Total NO. Module cleaned" dataDxfId="104">
      <calculatedColumnFormula>SUM(MC[[#This Row],[ICR1]:[ICR12]])</calculatedColumnFormula>
    </tableColumn>
    <tableColumn id="18" xr3:uid="{00000000-0010-0000-0500-000012000000}" name="Morning Start Time" dataDxfId="103"/>
    <tableColumn id="19" xr3:uid="{00000000-0010-0000-0500-000013000000}" name="Morning End Time" dataDxfId="102"/>
    <tableColumn id="20" xr3:uid="{00000000-0010-0000-0500-000014000000}" name="Evening Start Time" dataDxfId="101"/>
    <tableColumn id="21" xr3:uid="{00000000-0010-0000-0500-000015000000}" name="Evening End time" dataDxfId="100"/>
    <tableColumn id="22" xr3:uid="{00000000-0010-0000-0500-000016000000}" name="Brush/MOP Replcemnet" dataDxfId="99"/>
    <tableColumn id="24" xr3:uid="{00000000-0010-0000-0500-000018000000}" name="Water Test Report" dataDxfId="98"/>
    <tableColumn id="23" xr3:uid="{00000000-0010-0000-0500-000017000000}" name="Remarks for the day" dataDxfId="97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MC_2" displayName="MC_2" ref="A2:Z390" totalsRowShown="0" headerRowDxfId="96" headerRowBorderDxfId="95" headerRowCellStyle="Normal 26">
  <tableColumns count="26">
    <tableColumn id="1" xr3:uid="{00000000-0010-0000-0600-000001000000}" name="Sr. No." dataDxfId="94"/>
    <tableColumn id="8" xr3:uid="{00000000-0010-0000-0600-000008000000}" name="Date" dataDxfId="93"/>
    <tableColumn id="2" xr3:uid="{00000000-0010-0000-0600-000002000000}" name="Finacial Year" dataDxfId="92">
      <calculatedColumnFormula>YEAR(MC_2[[#This Row],[Date]])+IF(MONTH(MC_2[[#This Row],[Date]])&gt;=4,1,0)</calculatedColumnFormula>
    </tableColumn>
    <tableColumn id="3" xr3:uid="{00000000-0010-0000-0600-000003000000}" name="Calendor Year" dataDxfId="91">
      <calculatedColumnFormula>YEAR(MC_2[[#This Row],[Date]])</calculatedColumnFormula>
    </tableColumn>
    <tableColumn id="4" xr3:uid="{00000000-0010-0000-0600-000004000000}" name="Contrcatual Year" dataDxfId="90"/>
    <tableColumn id="5" xr3:uid="{00000000-0010-0000-0600-000005000000}" name="Operating Year" dataDxfId="89"/>
    <tableColumn id="6" xr3:uid="{00000000-0010-0000-0600-000006000000}" name="Month Year" dataDxfId="88">
      <calculatedColumnFormula>TEXT(MC_2[[#This Row],[Date]],"mmm-yy")</calculatedColumnFormula>
    </tableColumn>
    <tableColumn id="7" xr3:uid="{00000000-0010-0000-0600-000007000000}" name="Days" dataDxfId="87">
      <calculatedColumnFormula>DAY(EOMONTH(MC_2[[#This Row],[Month Year]],0))</calculatedColumnFormula>
    </tableColumn>
    <tableColumn id="9" xr3:uid="{00000000-0010-0000-0600-000009000000}" name="Cycle Number" dataDxfId="86"/>
    <tableColumn id="10" xr3:uid="{00000000-0010-0000-0600-00000A000000}" name="Resources" dataDxfId="85"/>
    <tableColumn id="11" xr3:uid="{00000000-0010-0000-0600-00000B000000}" name="ICR1" dataDxfId="84"/>
    <tableColumn id="12" xr3:uid="{00000000-0010-0000-0600-00000C000000}" name="ICR2" dataDxfId="83"/>
    <tableColumn id="13" xr3:uid="{00000000-0010-0000-0600-00000D000000}" name="ICR3" dataDxfId="82"/>
    <tableColumn id="14" xr3:uid="{00000000-0010-0000-0600-00000E000000}" name="ICR4" dataDxfId="81"/>
    <tableColumn id="15" xr3:uid="{00000000-0010-0000-0600-00000F000000}" name="ICR5" dataDxfId="80"/>
    <tableColumn id="16" xr3:uid="{2D6953D3-BB6C-4D36-A61E-868021B6539D}" name="ICR6" dataDxfId="79"/>
    <tableColumn id="25" xr3:uid="{D1A83804-E120-4A5D-A700-90AB115FEE55}" name="ICR7" dataDxfId="78"/>
    <tableColumn id="26" xr3:uid="{B41AFD7E-499F-4FBF-AA50-C0900D6A3209}" name="ICR8" dataDxfId="77"/>
    <tableColumn id="17" xr3:uid="{00000000-0010-0000-0600-000011000000}" name="Total NO. Module cleaned" dataDxfId="76">
      <calculatedColumnFormula>SUM(MC_2[[#This Row],[ICR1]:[ICR5]])</calculatedColumnFormula>
    </tableColumn>
    <tableColumn id="18" xr3:uid="{00000000-0010-0000-0600-000012000000}" name="Morning Start Time" dataDxfId="75"/>
    <tableColumn id="19" xr3:uid="{00000000-0010-0000-0600-000013000000}" name="Morning End Time" dataDxfId="74"/>
    <tableColumn id="20" xr3:uid="{00000000-0010-0000-0600-000014000000}" name="Evening Start Time" dataDxfId="73"/>
    <tableColumn id="21" xr3:uid="{00000000-0010-0000-0600-000015000000}" name="Evening End time" dataDxfId="72"/>
    <tableColumn id="22" xr3:uid="{00000000-0010-0000-0600-000016000000}" name="Brush/MOP Replcemnet" dataDxfId="71"/>
    <tableColumn id="24" xr3:uid="{00000000-0010-0000-0600-000018000000}" name="Water Test Report" dataDxfId="70"/>
    <tableColumn id="23" xr3:uid="{00000000-0010-0000-0600-000017000000}" name="Remarks for the day" dataDxfId="6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GC" displayName="GC" ref="A2:AA321" totalsRowShown="0" headerRowDxfId="68" headerRowBorderDxfId="67" headerRowCellStyle="Normal 26">
  <tableColumns count="27">
    <tableColumn id="1" xr3:uid="{00000000-0010-0000-0900-000001000000}" name="Sr. No." dataDxfId="66"/>
    <tableColumn id="8" xr3:uid="{00000000-0010-0000-0900-000008000000}" name="Date" dataDxfId="65"/>
    <tableColumn id="2" xr3:uid="{00000000-0010-0000-0900-000002000000}" name="Finacial Year" dataDxfId="64">
      <calculatedColumnFormula>YEAR(GC[[#This Row],[Date]])+IF(MONTH(GC[[#This Row],[Date]])&gt;=4,1,0)</calculatedColumnFormula>
    </tableColumn>
    <tableColumn id="3" xr3:uid="{00000000-0010-0000-0900-000003000000}" name="Calendor Year" dataDxfId="63">
      <calculatedColumnFormula>YEAR(GC[[#This Row],[Date]])</calculatedColumnFormula>
    </tableColumn>
    <tableColumn id="4" xr3:uid="{00000000-0010-0000-0900-000004000000}" name="Contrcatual Year" dataDxfId="62"/>
    <tableColumn id="5" xr3:uid="{00000000-0010-0000-0900-000005000000}" name="Operating Year" dataDxfId="61"/>
    <tableColumn id="6" xr3:uid="{00000000-0010-0000-0900-000006000000}" name="Month Year" dataDxfId="60">
      <calculatedColumnFormula>TEXT(GC[[#This Row],[Date]],"mmm-yy")</calculatedColumnFormula>
    </tableColumn>
    <tableColumn id="7" xr3:uid="{00000000-0010-0000-0900-000007000000}" name="Days" dataDxfId="59">
      <calculatedColumnFormula>DAY(EOMONTH(GC[[#This Row],[Month Year]],0))</calculatedColumnFormula>
    </tableColumn>
    <tableColumn id="9" xr3:uid="{00000000-0010-0000-0900-000009000000}" name="Cycle Number" dataDxfId="58"/>
    <tableColumn id="10" xr3:uid="{00000000-0010-0000-0900-00000A000000}" name="Resources" dataDxfId="57"/>
    <tableColumn id="11" xr3:uid="{00000000-0010-0000-0900-00000B000000}" name="ICR1" dataDxfId="56"/>
    <tableColumn id="12" xr3:uid="{00000000-0010-0000-0900-00000C000000}" name="ICR2" dataDxfId="55"/>
    <tableColumn id="13" xr3:uid="{00000000-0010-0000-0900-00000D000000}" name="ICR3" dataDxfId="54"/>
    <tableColumn id="14" xr3:uid="{00000000-0010-0000-0900-00000E000000}" name="ICR4" dataDxfId="53"/>
    <tableColumn id="15" xr3:uid="{00000000-0010-0000-0900-00000F000000}" name="ICR5" dataDxfId="52"/>
    <tableColumn id="16" xr3:uid="{00000000-0010-0000-0900-000010000000}" name="ICR6" dataDxfId="51"/>
    <tableColumn id="18" xr3:uid="{00000000-0010-0000-0900-000012000000}" name="ICR7" dataDxfId="50"/>
    <tableColumn id="20" xr3:uid="{00000000-0010-0000-0900-000014000000}" name="ICR8" dataDxfId="49"/>
    <tableColumn id="19" xr3:uid="{9788EF4E-2636-49EC-9578-5E3EFFD69B6A}" name="ICR9" dataDxfId="48"/>
    <tableColumn id="21" xr3:uid="{ACEA6D1F-5BF6-4752-88E0-3DB40A179B41}" name="ICR10" dataDxfId="47"/>
    <tableColumn id="22" xr3:uid="{D04BB6C9-118E-477B-9DCC-763DAF91CC32}" name="ICR11" dataDxfId="46"/>
    <tableColumn id="25" xr3:uid="{D43518B5-2FA6-4D06-B322-DB313929E0B2}" name="ICR12" dataDxfId="45"/>
    <tableColumn id="26" xr3:uid="{2654D269-7B0B-495B-9734-98C77DF287F8}" name="ICR13" dataDxfId="44"/>
    <tableColumn id="27" xr3:uid="{131BFD66-C866-4C9D-9549-7131A3D8077E}" name="ICR14" dataDxfId="43"/>
    <tableColumn id="17" xr3:uid="{00000000-0010-0000-0900-000011000000}" name="Total No.Table GC done" dataDxfId="42">
      <calculatedColumnFormula>SUM(GC[[#This Row],[ICR1]:[ICR14]])</calculatedColumnFormula>
    </tableColumn>
    <tableColumn id="24" xr3:uid="{00000000-0010-0000-0900-000018000000}" name="Mrthod of Cutting" dataDxfId="41"/>
    <tableColumn id="23" xr3:uid="{00000000-0010-0000-0900-000017000000}" name="Remarks for the day" dataDxfId="4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RD" displayName="RD" ref="A4:BS282" totalsRowShown="0">
  <tableColumns count="71">
    <tableColumn id="5" xr3:uid="{00000000-0010-0000-0100-000005000000}" name="Date" dataDxfId="366" dataCellStyle="Normal 27">
      <calculatedColumnFormula>A4+1</calculatedColumnFormula>
    </tableColumn>
    <tableColumn id="1" xr3:uid="{00000000-0010-0000-0100-000001000000}" name="Finacial Year" dataDxfId="365">
      <calculatedColumnFormula>YEAR(RD[[#This Row],[Date]])+IF(MONTH(RD[[#This Row],[Date]])&gt;=4,1,0)</calculatedColumnFormula>
    </tableColumn>
    <tableColumn id="2" xr3:uid="{00000000-0010-0000-0100-000002000000}" name="Calendor Year" dataDxfId="364">
      <calculatedColumnFormula>YEAR(RD[[#This Row],[Date]])</calculatedColumnFormula>
    </tableColumn>
    <tableColumn id="3" xr3:uid="{00000000-0010-0000-0100-000003000000}" name="Month Year" dataDxfId="363">
      <calculatedColumnFormula>A5-DAY(A5)+1</calculatedColumnFormula>
    </tableColumn>
    <tableColumn id="4" xr3:uid="{00000000-0010-0000-0100-000004000000}" name="Days" dataDxfId="362">
      <calculatedColumnFormula>DAY(EOMONTH(RD[[#This Row],[Date]],0))</calculatedColumnFormula>
    </tableColumn>
    <tableColumn id="149" xr3:uid="{00000000-0010-0000-0100-000095000000}" name="Sunrise Time (POA&gt;20 W/m2)" dataDxfId="361"/>
    <tableColumn id="148" xr3:uid="{00000000-0010-0000-0100-000094000000}" name="Sunset Time (POA&lt;20 W/m2)" dataDxfId="360"/>
    <tableColumn id="125" xr3:uid="{00000000-0010-0000-0100-00007D000000}" name="IS2Inv1M1" dataDxfId="359"/>
    <tableColumn id="129" xr3:uid="{00000000-0010-0000-0100-000081000000}" name="IS2Inv1M2" dataDxfId="358"/>
    <tableColumn id="130" xr3:uid="{00000000-0010-0000-0100-000082000000}" name="IS2Inv1M3" dataDxfId="357"/>
    <tableColumn id="17" xr3:uid="{7FC32EC2-CE37-4D15-9D41-C4E6EBB7E2E1}" name="IS2Inv2M1" dataDxfId="356" dataCellStyle="Percent 2"/>
    <tableColumn id="18" xr3:uid="{7EE8E32F-48A2-4E42-B3F9-30C3BCFF6498}" name="IS2Inv2M2" dataDxfId="355" dataCellStyle="Percent 2"/>
    <tableColumn id="19" xr3:uid="{BDC0D046-91F6-4D70-9DB1-BFF12BA92AE7}" name="IS2Inv2M3" dataDxfId="354" dataCellStyle="Percent 2"/>
    <tableColumn id="13" xr3:uid="{8FE3464E-232E-4768-A544-E33A55F70B45}" name="IS3Inv1M1" dataDxfId="353" dataCellStyle="Percent 2"/>
    <tableColumn id="14" xr3:uid="{995C8B77-568E-4172-9AFA-10E441009105}" name="IS3Inv1M2" dataDxfId="352" dataCellStyle="Percent 2"/>
    <tableColumn id="15" xr3:uid="{DA5DE568-A137-4A85-9484-CA13D8C948E3}" name="IS3Inv1M3" dataDxfId="351" dataCellStyle="Percent 2"/>
    <tableColumn id="16" xr3:uid="{E34BEF43-A2EA-4C8F-A512-89D8BA9187DE}" name="IS3Inv1M4" dataDxfId="350" dataCellStyle="Percent 2"/>
    <tableColumn id="26" xr3:uid="{ED6C8E40-8A19-4874-916F-D028A680D4F1}" name="IS3Inv2M1" dataDxfId="349" dataCellStyle="Percent 2"/>
    <tableColumn id="27" xr3:uid="{F74F9CC6-B5A5-49FC-B342-3708A3DF8881}" name="IS3Inv2M2" dataDxfId="348" dataCellStyle="Percent 2"/>
    <tableColumn id="28" xr3:uid="{2B1B29F6-F95D-47C1-A604-C8ECE94436DD}" name="IS3Inv2M3" dataDxfId="347" dataCellStyle="Percent 2"/>
    <tableColumn id="29" xr3:uid="{0E8D144A-6578-4276-A5EC-14D0C67702F7}" name="IS3Inv2M4" dataDxfId="346" dataCellStyle="Percent 2"/>
    <tableColumn id="22" xr3:uid="{4C592844-4099-4ECA-B46E-C91465C33836}" name="IS4Inv1M1" dataDxfId="345" dataCellStyle="Percent 2"/>
    <tableColumn id="23" xr3:uid="{485A7A48-5162-4010-B9A4-56B21F141FF4}" name="IS4Inv1M2" dataDxfId="344" dataCellStyle="Percent 2"/>
    <tableColumn id="24" xr3:uid="{9A5E2B1B-15F8-4435-BC9D-3AAFB682A8A8}" name="IS4Inv1M3" dataDxfId="343" dataCellStyle="Percent 2"/>
    <tableColumn id="25" xr3:uid="{B13D43A8-4187-4F5C-A7F1-9BA46771FCD9}" name="IS5Inv1M1" dataDxfId="342" dataCellStyle="Percent 2"/>
    <tableColumn id="12" xr3:uid="{E3562C34-5EFA-4F6F-A34E-45153CA5007E}" name="IS5Inv1M2" dataDxfId="341" dataCellStyle="Percent 2"/>
    <tableColumn id="116" xr3:uid="{00000000-0010-0000-0100-000074000000}" name="IS5Inv1M3" dataDxfId="340"/>
    <tableColumn id="21" xr3:uid="{00000000-0010-0000-0100-000015000000}" name="IS5Inv2M1" dataDxfId="339"/>
    <tableColumn id="32" xr3:uid="{84CD3F00-26EF-43F0-87CF-418D740E1A6D}" name="IS5Inv2M2" dataDxfId="338" dataCellStyle="Percent 2"/>
    <tableColumn id="31" xr3:uid="{E5DCBBD9-9CFA-4A55-BC07-1AC843451E6C}" name="IS5Inv2M3" dataDxfId="337" dataCellStyle="Percent 2"/>
    <tableColumn id="42" xr3:uid="{B5AA5AD3-1118-4B29-A492-F3A758F5A3C2}" name="ISInv1" dataDxfId="336" dataCellStyle="Percent 2"/>
    <tableColumn id="43" xr3:uid="{706ED0DF-6CA3-4A7F-9910-3CE0B0B2CE8F}" name="ISInv2" dataDxfId="335" dataCellStyle="Percent 2"/>
    <tableColumn id="44" xr3:uid="{38A94285-3A8B-444B-B9D1-67C83F36521E}" name="ISInv3" dataDxfId="334" dataCellStyle="Percent 2"/>
    <tableColumn id="45" xr3:uid="{22B93470-3D51-4FA1-B73A-C2355D3B9987}" name="ISInv4" dataDxfId="333" dataCellStyle="Percent 2"/>
    <tableColumn id="41" xr3:uid="{FFAFCE7D-B980-442F-9AFA-DF8D6ADEE1D6}" name="ISInv5" dataDxfId="332" dataCellStyle="Percent 2"/>
    <tableColumn id="40" xr3:uid="{F6AC1B2F-4B28-439A-BDAB-CC942940323A}" name="ISInv6" dataDxfId="331" dataCellStyle="Percent 2"/>
    <tableColumn id="39" xr3:uid="{EF1B7AB9-2AC5-4818-B45E-BCC338CECBE5}" name="ISInv7" dataDxfId="330" dataCellStyle="Percent 2"/>
    <tableColumn id="38" xr3:uid="{C042C26E-D719-4542-B98C-BDD2403FB6D5}" name="ISInv8" dataDxfId="329" dataCellStyle="Percent 2"/>
    <tableColumn id="134" xr3:uid="{00000000-0010-0000-0100-000086000000}" name="POA_UP_IS2 (KWh/m2)" dataDxfId="328"/>
    <tableColumn id="135" xr3:uid="{00000000-0010-0000-0100-000087000000}" name="GHI_UP_IS2 (KWh/m2)" dataDxfId="327"/>
    <tableColumn id="137" xr3:uid="{00000000-0010-0000-0100-000089000000}" name="AT_IS2 (°C)" dataDxfId="326"/>
    <tableColumn id="138" xr3:uid="{00000000-0010-0000-0100-00008A000000}" name="MT_IS2 (°C)" dataDxfId="325"/>
    <tableColumn id="139" xr3:uid="{00000000-0010-0000-0100-00008B000000}" name="RH_IS2 (%)" dataDxfId="324" dataCellStyle="Percent 2"/>
    <tableColumn id="140" xr3:uid="{00000000-0010-0000-0100-00008C000000}" name="Rain_IS2 (mm)" dataDxfId="323"/>
    <tableColumn id="141" xr3:uid="{00000000-0010-0000-0100-00008D000000}" name="WS_Avg_IS2 (m/s)" dataDxfId="322"/>
    <tableColumn id="142" xr3:uid="{00000000-0010-0000-0100-00008E000000}" name="WS_Max_IS2 (m/s)" dataDxfId="321"/>
    <tableColumn id="143" xr3:uid="{00000000-0010-0000-0100-00008F000000}" name="O2RE9" dataDxfId="320">
      <calculatedColumnFormula>SUM(RD[[#This Row],[IS2Inv1M1]:[IS4Inv1M3]])</calculatedColumnFormula>
    </tableColumn>
    <tableColumn id="144" xr3:uid="{00000000-0010-0000-0100-000090000000}" name="O2RE192" dataDxfId="319">
      <calculatedColumnFormula>SUM(RD[[#This Row],[IS5Inv1M1]:[IS5Inv2M3]])</calculatedColumnFormula>
    </tableColumn>
    <tableColumn id="147" xr3:uid="{00000000-0010-0000-0100-000093000000}" name="Inv Total Gneration (MWh)" dataDxfId="318">
      <calculatedColumnFormula>SUM(RD[[#This Row],[O2RE9]:[O2RE192]])</calculatedColumnFormula>
    </tableColumn>
    <tableColumn id="56" xr3:uid="{00000000-0010-0000-0100-000038000000}" name="33 kV_F1_Ex (O2RE9)" dataDxfId="317"/>
    <tableColumn id="60" xr3:uid="{00000000-0010-0000-0100-00003C000000}" name="33kV_OG1_Ex (O2RE9)" dataDxfId="316"/>
    <tableColumn id="64" xr3:uid="{00000000-0010-0000-0100-000040000000}" name="33kV_Aux1_Im (O2RE9)" dataDxfId="315"/>
    <tableColumn id="37" xr3:uid="{D2D76BB4-DDFC-4231-B7A2-BA0E400158CF}" name="33 kV_F2_Ex (O2RE19)" dataDxfId="314"/>
    <tableColumn id="36" xr3:uid="{CB0C55B8-5FEA-47F3-B25A-D3E6493F6D99}" name="33kV_OG2_Ex (O2RE19)" dataDxfId="313"/>
    <tableColumn id="35" xr3:uid="{8A8CDE15-162A-450E-8064-7D83395D09B2}" name="33kV_Aux2_Im (O2RE19)" dataDxfId="312"/>
    <tableColumn id="90" xr3:uid="{00000000-0010-0000-0100-00005A000000}" name="33 kV_Solar_F1_O2RE9_Energy (kWh)" dataDxfId="311">
      <calculatedColumnFormula>IF((RD[[#This Row],[33 kV_F1_Ex (O2RE9)]]-AX4)*225000&lt;=0,"",(RD[[#This Row],[33 kV_F1_Ex (O2RE9)]]-AX4)*225000)</calculatedColumnFormula>
    </tableColumn>
    <tableColumn id="94" xr3:uid="{00000000-0010-0000-0100-00005E000000}" name="33kV_OG1_O2RE9_Energy (KWh)" dataDxfId="310">
      <calculatedColumnFormula>IF((RD[[#This Row],[33kV_OG1_Ex (O2RE9)]]-AY4)*1000&lt;=0,0,(RD[[#This Row],[33kV_OG1_Ex (O2RE9)]]-AY4)*1000)</calculatedColumnFormula>
    </tableColumn>
    <tableColumn id="46" xr3:uid="{96C042C5-4857-4DE5-A4FC-F8D5F6E54E7A}" name="33kV_Aux1_O2RE9_Im(KWh)" dataDxfId="309" dataCellStyle="Percent 2"/>
    <tableColumn id="98" xr3:uid="{00000000-0010-0000-0100-000062000000}" name="33 kV_Solar_F2_O2RE19_Energy (kWh)" dataDxfId="308">
      <calculatedColumnFormula>IF((#REF!-#REF!)*1600000&lt;=0,0,(#REF!-#REF!)*1600000)</calculatedColumnFormula>
    </tableColumn>
    <tableColumn id="99" xr3:uid="{00000000-0010-0000-0100-000063000000}" name="33kV_OG2_O2RE19_Energy (KWh)" dataDxfId="307">
      <calculatedColumnFormula>IF((#REF!-#REF!)*1600000&lt;=0,"",(#REF!-#REF!)*1600000)</calculatedColumnFormula>
    </tableColumn>
    <tableColumn id="11" xr3:uid="{2352EFB2-27EA-4680-990E-BD398C12C11E}" name="33kV_Aux2_O2RE19_Im(KWh)" dataDxfId="306" dataCellStyle="Percent 2"/>
    <tableColumn id="101" xr3:uid="{00000000-0010-0000-0100-000065000000}" name="33kV_Aux1_O2RE9_Im(KWh)2" dataDxfId="305"/>
    <tableColumn id="103" xr3:uid="{00000000-0010-0000-0100-000067000000}" name="33 kV Total Export (KWH)" dataDxfId="304">
      <calculatedColumnFormula>SUM(RD[[#This Row],[33kV_OG1_O2RE9_Energy (KWh)]],RD[[#This Row],[33kV_OG2_O2RE19_Energy (KWh)]])</calculatedColumnFormula>
    </tableColumn>
    <tableColumn id="105" xr3:uid="{00000000-0010-0000-0100-000069000000}" name="33 kV Line Loss (%)" dataDxfId="303">
      <calculatedColumnFormula>IFERROR(RD[[#This Row],[33 kV Total Export (KWH)]]/RD[[#This Row],[Inv Total Gneration (MWh)]]-1,"")</calculatedColumnFormula>
    </tableColumn>
    <tableColumn id="80" xr3:uid="{00000000-0010-0000-0100-000050000000}" name="Operating Hours" dataDxfId="302">
      <calculatedColumnFormula>IFERROR((RD[[#This Row],[Sunset Time (POA&lt;20 W/m2)]]-RD[[#This Row],[Sunrise Time (POA&gt;20 W/m2)]])*24,0)</calculatedColumnFormula>
    </tableColumn>
    <tableColumn id="81" xr3:uid="{00000000-0010-0000-0100-000051000000}" name=" Export (33 kV)" dataDxfId="301">
      <calculatedColumnFormula>SUM(RD[[#This Row],[33kV_OG1_O2RE9_Energy (KWh)]],RD[[#This Row],[33kV_OG2_O2RE19_Energy (KWh)]])</calculatedColumnFormula>
    </tableColumn>
    <tableColumn id="6" xr3:uid="{00000000-0010-0000-0100-000006000000}" name=" Net Export" dataDxfId="300" dataCellStyle="Comma">
      <calculatedColumnFormula>IFERROR(RD[[#This Row],[ Export (33 kV)]]*(1-RD[[#This Row],[33 kV Line Loss (%)]]),RD[[#This Row],[ Export (33 kV)]])</calculatedColumnFormula>
    </tableColumn>
    <tableColumn id="82" xr3:uid="{00000000-0010-0000-0100-000052000000}" name="Connected DC Capcity (MWp)" dataDxfId="299"/>
    <tableColumn id="8" xr3:uid="{00000000-0010-0000-0100-000008000000}" name="E_AC (WPR)" dataDxfId="298"/>
    <tableColumn id="9" xr3:uid="{00000000-0010-0000-0100-000009000000}" name="E_DC (WPR)" dataDxfId="297"/>
    <tableColumn id="10" xr3:uid="{00000000-0010-0000-0100-00000A000000}" name="WPR (%)" dataDxfId="296">
      <calculatedColumnFormula>IFERROR(RD[[#This Row],[E_AC (WPR)]]/RD[[#This Row],[E_DC (WPR)]],"")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5FBA9DE-A867-4810-B08C-668DACDD12A4}" name="Mod" displayName="Mod" ref="A1:AN13" totalsRowShown="0" headerRowDxfId="295" dataDxfId="293" headerRowBorderDxfId="294" tableBorderDxfId="292" totalsRowBorderDxfId="291">
  <tableColumns count="40">
    <tableColumn id="1" xr3:uid="{2B028A55-9E65-494B-87A0-C9EA4570CC03}" name="Sr. No." dataDxfId="290" dataCellStyle="Comma 42"/>
    <tableColumn id="2" xr3:uid="{885B4D4F-EF9E-4E79-8D4B-C2C91282083A}" name="Month Name" dataDxfId="289" dataCellStyle="Comma 42"/>
    <tableColumn id="3" xr3:uid="{27779E53-7884-4F0F-AE97-2F75899BE35B}" name="Month Number" dataDxfId="288" dataCellStyle="Comma 42"/>
    <tableColumn id="4" xr3:uid="{1C134B8B-7554-4308-9E49-0A30B7EDF443}" name="Month" dataDxfId="287" dataCellStyle="Comma 42"/>
    <tableColumn id="5" xr3:uid="{4186AC57-5D53-4F7B-9062-78A7250C8883}" name="CY" dataDxfId="286">
      <calculatedColumnFormula>YEAR(D2)</calculatedColumnFormula>
    </tableColumn>
    <tableColumn id="6" xr3:uid="{AC8F376E-F6E7-435F-AD5E-1500A77B2FAF}" name="FY" dataDxfId="285"/>
    <tableColumn id="7" xr3:uid="{C472F879-9483-4003-8690-C8405A9F0ACA}" name="No. of Days in Month" dataDxfId="284">
      <calculatedColumnFormula>DAY(EOMONTH(D2,0))</calculatedColumnFormula>
    </tableColumn>
    <tableColumn id="8" xr3:uid="{9682D996-8A10-4AAE-A8D1-813A5946FB5C}" name="GHI" dataDxfId="283"/>
    <tableColumn id="9" xr3:uid="{5646A1EC-C4E3-43A1-ABAF-821A197AE99B}" name="POA" dataDxfId="282"/>
    <tableColumn id="10" xr3:uid="{4D067AA3-A6DB-49F7-BA64-142D01FA8AE4}" name="WS" dataDxfId="281"/>
    <tableColumn id="11" xr3:uid="{CB4E2B6C-C557-4264-AAD0-4439A3852E80}" name="Tamb" dataDxfId="280"/>
    <tableColumn id="12" xr3:uid="{F8F5552B-9566-45E4-A58C-28C52C25E84B}" name="Tmod" dataDxfId="279"/>
    <tableColumn id="13" xr3:uid="{6D8D2D98-2B56-4A31-A0B5-4D820ADC8A00}" name="Egrid (MWh)" dataDxfId="278"/>
    <tableColumn id="14" xr3:uid="{C646FE2E-463A-4762-996F-81346AA9B591}" name="Bugt_Capacity" dataDxfId="277"/>
    <tableColumn id="15" xr3:uid="{96EE6B22-FB30-4C05-8AE2-4F08AFCD5986}" name="PR" dataDxfId="276">
      <calculatedColumnFormula>IFERROR(M2/I2/N2,"")</calculatedColumnFormula>
    </tableColumn>
    <tableColumn id="16" xr3:uid="{11299A8A-1CAD-43E4-B679-9ACDCCA9DEC0}" name="Daily POA" dataDxfId="275">
      <calculatedColumnFormula>IFERROR(I2/G2,"")</calculatedColumnFormula>
    </tableColumn>
    <tableColumn id="17" xr3:uid="{7D2E5E3F-B60D-4261-AFBF-3EFC6EDD08EE}" name="Days Operated" dataDxfId="274">
      <calculatedColumnFormula>COUNTIFS('Daily KPI'!$D:$D,D2,'Daily KPI'!$K:$K,"&gt;0")</calculatedColumnFormula>
    </tableColumn>
    <tableColumn id="18" xr3:uid="{0513CF3A-2E6E-489C-9E9B-AD1C15869A9B}" name="MTD POA" dataDxfId="273">
      <calculatedColumnFormula>I2/G2*Q2</calculatedColumnFormula>
    </tableColumn>
    <tableColumn id="27" xr3:uid="{1DB0DE6F-BADB-4FE3-AC43-02CC94FD389D}" name="YTD POA" dataDxfId="272">
      <calculatedColumnFormula>SUMIF($F$2:F2,F2,$R$2:R2)</calculatedColumnFormula>
    </tableColumn>
    <tableColumn id="19" xr3:uid="{2048DE8F-3F59-40E5-B3E7-775FEE0EF5A8}" name="Daily Energy (MWh)" dataDxfId="271">
      <calculatedColumnFormula>M2/G2</calculatedColumnFormula>
    </tableColumn>
    <tableColumn id="20" xr3:uid="{D9C26E09-8381-4970-B3FC-E5636F4125D7}" name="MTD Energy (MWh)" dataDxfId="270">
      <calculatedColumnFormula>M2/G2*Q2</calculatedColumnFormula>
    </tableColumn>
    <tableColumn id="28" xr3:uid="{3B148171-C6B8-488E-B9D6-C2255FB09412}" name="YTD Energy (MWh)" dataDxfId="269">
      <calculatedColumnFormula>SUMIF($F$2:F2,F2,$U$2:U2)</calculatedColumnFormula>
    </tableColumn>
    <tableColumn id="38" xr3:uid="{C04583F2-B812-4A2A-8E85-EC2EC6F32F3E}" name="Bugt CUF (%)" dataDxfId="268">
      <calculatedColumnFormula>IFERROR(T2/(24*N2),"")</calculatedColumnFormula>
    </tableColumn>
    <tableColumn id="37" xr3:uid="{BDA65464-EFEB-414F-8FEF-266ECCD70579}" name="Bugt CUF (%) MTD" dataDxfId="267">
      <calculatedColumnFormula>IFERROR(U2/(24*N2*Q2),"")</calculatedColumnFormula>
    </tableColumn>
    <tableColumn id="36" xr3:uid="{5577041E-DA30-4F44-A838-DE9144E1E7B1}" name="Bugt CUF (%)YTD" dataDxfId="266">
      <calculatedColumnFormula>IFERROR(V2/(24*N2*SUMIFS($Q:$Q,$F:$F,$F2,$D:$D,"&lt;="&amp;D2)),"")</calculatedColumnFormula>
    </tableColumn>
    <tableColumn id="21" xr3:uid="{1BC3D9C9-BAD2-4FE9-A175-091B0D28F518}" name="Ave. Cap MTD" dataDxfId="265">
      <calculatedColumnFormula>IFERROR(AVERAGEIF('Daily KPI'!D:D,Mod[[#This Row],[Month]],'Daily KPI'!AB:AB),"")</calculatedColumnFormula>
    </tableColumn>
    <tableColumn id="29" xr3:uid="{FC4A1E4C-4CB8-4605-BDB5-E5B61FBEED4F}" name="Ave. Cap YTD" dataDxfId="264">
      <calculatedColumnFormula>IFERROR(AVERAGEIF($F$2:F2,F2,$Z$2:Z2),"")</calculatedColumnFormula>
    </tableColumn>
    <tableColumn id="22" xr3:uid="{702281B7-0432-44C0-9EBC-665ACCF6B2A8}" name="CC Energy MTD" dataDxfId="263"/>
    <tableColumn id="31" xr3:uid="{D1430AA8-8932-4CDD-B656-27D1F9A431CE}" name="WS MTD" dataDxfId="262"/>
    <tableColumn id="23" xr3:uid="{E6B4DBCD-73DA-4FBC-9A67-DE992A84B93B}" name="WS YTD" dataDxfId="261"/>
    <tableColumn id="24" xr3:uid="{A57F4E06-B0B6-4B31-9043-B0307659E8F7}" name="Bugt PA" dataDxfId="260" dataCellStyle="Percent 43"/>
    <tableColumn id="25" xr3:uid="{CA4CDA86-18B4-4A4D-9319-1CF40E14868D}" name="Bugt EGA" dataDxfId="259" dataCellStyle="Percent 43"/>
    <tableColumn id="35" xr3:uid="{0B7DDF74-F33D-4D8F-B649-44793FC2EF4F}" name="Bugt TA" dataDxfId="258"/>
    <tableColumn id="26" xr3:uid="{1E94AF8C-9EF9-4EFF-9C55-00C0A4CF9F2E}" name="Bugt MA" dataDxfId="257"/>
    <tableColumn id="30" xr3:uid="{4C6A41F1-7D0A-4C52-B0C9-DFE7713DF4BC}" name="Bugt IGA" dataDxfId="256"/>
    <tableColumn id="32" xr3:uid="{B8796E77-66B9-4E7A-9057-6AEB5C90CFB0}" name="Corelation" dataDxfId="255"/>
    <tableColumn id="33" xr3:uid="{D8ABDEB8-4C5A-4689-83C9-5E704D05BC58}" name="Bugt Line loss" dataDxfId="254"/>
    <tableColumn id="34" xr3:uid="{550FEFC8-DC1D-47FD-B05A-36EDCA221025}" name="Bugt Reactive Power" dataDxfId="253"/>
    <tableColumn id="40" xr3:uid="{A70F5369-5099-487D-BDD9-DA538B34FD1B}" name="CC*Bugt (MTD)" dataDxfId="252">
      <calculatedColumnFormula>SUMIF('Daily KPI'!$D:$D,$D2,'Daily KPI'!$AS:$AS)</calculatedColumnFormula>
    </tableColumn>
    <tableColumn id="41" xr3:uid="{F3A75964-3DFB-4BEA-A00D-B41F5C9D67C6}" name="CC*Bugt (YTD)" dataDxfId="251">
      <calculatedColumnFormula>SUMIF($F$2:F2,F2,$AM$2:AM2)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PA" displayName="PA" ref="A1:AP468" totalsRowShown="0">
  <tableColumns count="42">
    <tableColumn id="1" xr3:uid="{00000000-0010-0000-0300-000001000000}" name="Sr. No." dataDxfId="250"/>
    <tableColumn id="2" xr3:uid="{00000000-0010-0000-0300-000002000000}" name="Date" dataDxfId="249"/>
    <tableColumn id="3" xr3:uid="{00000000-0010-0000-0300-000003000000}" name="Financial Year" dataDxfId="248">
      <calculatedColumnFormula>YEAR(PA[[#This Row],[Date]])+IF(MONTH(PA[[#This Row],[Date]])&gt;=4,1,0)</calculatedColumnFormula>
    </tableColumn>
    <tableColumn id="4" xr3:uid="{00000000-0010-0000-0300-000004000000}" name="Calendar Year" dataDxfId="247">
      <calculatedColumnFormula>YEAR(PA[[#This Row],[Date]])</calculatedColumnFormula>
    </tableColumn>
    <tableColumn id="5" xr3:uid="{00000000-0010-0000-0300-000005000000}" name="Contractual Year" dataDxfId="246"/>
    <tableColumn id="6" xr3:uid="{00000000-0010-0000-0300-000006000000}" name="Operating Year" dataDxfId="245"/>
    <tableColumn id="7" xr3:uid="{00000000-0010-0000-0300-000007000000}" name="Month Year" dataDxfId="244"/>
    <tableColumn id="8" xr3:uid="{00000000-0010-0000-0300-000008000000}" name="Days" dataDxfId="243">
      <calculatedColumnFormula>DAY(EOMONTH(PA[[#This Row],[Month Year]],0))</calculatedColumnFormula>
    </tableColumn>
    <tableColumn id="9" xr3:uid="{00000000-0010-0000-0300-000009000000}" name="Sunrise Time (POA&gt;20 W/m2)" dataDxfId="242"/>
    <tableColumn id="10" xr3:uid="{00000000-0010-0000-0300-00000A000000}" name="Sunset Time (POA&lt;20 W/m2)" dataDxfId="241"/>
    <tableColumn id="11" xr3:uid="{00000000-0010-0000-0300-00000B000000}" name="Total Generation Time" dataDxfId="240"/>
    <tableColumn id="12" xr3:uid="{00000000-0010-0000-0300-00000C000000}" name="Inverter  Station Number (if Bd in filed)" dataDxfId="239"/>
    <tableColumn id="13" xr3:uid="{00000000-0010-0000-0300-00000D000000}" name="Inverter number (If Inv, SCb or Str BD)" dataDxfId="238"/>
    <tableColumn id="14" xr3:uid="{00000000-0010-0000-0300-00000E000000}" name="Inverter Module Number (If Inv, SCb or Str BD)" dataDxfId="237"/>
    <tableColumn id="15" xr3:uid="{00000000-0010-0000-0300-00000F000000}" name="SCB Number (If SCB or Str BD)" dataDxfId="236"/>
    <tableColumn id="16" xr3:uid="{00000000-0010-0000-0300-000010000000}" name="String Type(If String BD)" dataDxfId="235"/>
    <tableColumn id="17" xr3:uid="{00000000-0010-0000-0300-000011000000}" name="Equipment (If any BD other than PV  array and inv)" dataDxfId="234"/>
    <tableColumn id="18" xr3:uid="{00000000-0010-0000-0300-000012000000}" name="C1" dataDxfId="233">
      <calculatedColumnFormula>IF((PA[[#This Row],[String Type(If String BD)]]&amp;PA[[#This Row],[Equipment (If any BD other than PV  array and inv)]])="",1,0)</calculatedColumnFormula>
    </tableColumn>
    <tableColumn id="19" xr3:uid="{00000000-0010-0000-0300-000013000000}" name="C2" dataDxfId="232">
      <calculatedColumnFormula>IF(PA[[#This Row],[String Type(If String BD)]]="",1,0)</calculatedColumnFormula>
    </tableColumn>
    <tableColumn id="20" xr3:uid="{00000000-0010-0000-0300-000014000000}" name="Affected Equipment " dataDxfId="231">
      <calculatedColumnFormula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calculatedColumnFormula>
    </tableColumn>
    <tableColumn id="21" xr3:uid="{00000000-0010-0000-0300-000015000000}" name="DC Capacity Affected (kW)" dataDxfId="230">
      <calculatedColumnFormula>IFERROR(_xlfn.XLOOKUP(PA[[#This Row],[Affected Equipment ]],'Basic Data'!N:N,'Basic Data'!Q:Q),"")</calculatedColumnFormula>
    </tableColumn>
    <tableColumn id="22" xr3:uid="{00000000-0010-0000-0300-000016000000}" name="Plant Equivalent Weightage" dataDxfId="229">
      <calculatedColumnFormula>IFERROR(_xlfn.XLOOKUP(PA[[#This Row],[Affected Equipment ]],'Basic Data'!N:N,'Basic Data'!R:R),"")</calculatedColumnFormula>
    </tableColumn>
    <tableColumn id="23" xr3:uid="{00000000-0010-0000-0300-000017000000}" name="Fault Category" dataDxfId="228"/>
    <tableColumn id="24" xr3:uid="{00000000-0010-0000-0300-000018000000}" name="Fault Code (As per HMI)" dataDxfId="227"/>
    <tableColumn id="25" xr3:uid="{00000000-0010-0000-0300-000019000000}" name="Breakdown Description" dataDxfId="226"/>
    <tableColumn id="26" xr3:uid="{00000000-0010-0000-0300-00001A000000}" name="Fault Time" dataDxfId="225"/>
    <tableColumn id="27" xr3:uid="{00000000-0010-0000-0300-00001B000000}" name="Acknowledgement Time " dataDxfId="224"/>
    <tableColumn id="28" xr3:uid="{00000000-0010-0000-0300-00001C000000}" name="Work Start time on Fault" dataDxfId="223"/>
    <tableColumn id="29" xr3:uid="{00000000-0010-0000-0300-00001D000000}" name="Work Completion time on fault" dataDxfId="222"/>
    <tableColumn id="30" xr3:uid="{00000000-0010-0000-0300-00001E000000}" name="Acknow. time " dataDxfId="221">
      <calculatedColumnFormula>IF(PA[[#This Row],[Acknowledgement Time ]]="NA","",(PA[[#This Row],[Acknowledgement Time ]]-PA[[#This Row],[Fault Time]])*24)</calculatedColumnFormula>
    </tableColumn>
    <tableColumn id="31" xr3:uid="{00000000-0010-0000-0300-00001F000000}" name="Response Time" dataDxfId="220">
      <calculatedColumnFormula>IF(PA[[#This Row],[Work Start time on Fault]]="NA","",(PA[[#This Row],[Work Start time on Fault]]-PA[[#This Row],[Fault Time]])*24)</calculatedColumnFormula>
    </tableColumn>
    <tableColumn id="32" xr3:uid="{00000000-0010-0000-0300-000020000000}" name="Resolution Time" dataDxfId="219">
      <calculatedColumnFormula>IF(PA[[#This Row],[Status]]="Open","",(PA[[#This Row],[Work Completion time on fault]]-PA[[#This Row],[Fault Time]])*24)</calculatedColumnFormula>
    </tableColumn>
    <tableColumn id="33" xr3:uid="{00000000-0010-0000-0300-000021000000}" name="Breakdown Time" dataDxfId="218">
      <calculatedColumnFormula>IFERROR((PA[[#This Row],[Work Completion time on fault]]-PA[[#This Row],[Fault Time]])*24,"")</calculatedColumnFormula>
    </tableColumn>
    <tableColumn id="34" xr3:uid="{00000000-0010-0000-0300-000022000000}" name="Action taken" dataDxfId="217"/>
    <tableColumn id="35" xr3:uid="{00000000-0010-0000-0300-000023000000}" name="Status" dataDxfId="216"/>
    <tableColumn id="36" xr3:uid="{00000000-0010-0000-0300-000024000000}" name="Plant Equivalent breakdown" dataDxfId="215">
      <calculatedColumnFormula>IFERROR(PA[[#This Row],[Breakdown Time]]*PA[[#This Row],[Plant Equivalent Weightage]],"")</calculatedColumnFormula>
    </tableColumn>
    <tableColumn id="37" xr3:uid="{00000000-0010-0000-0300-000025000000}" name="Lost PoA(kWh/m2)" dataDxfId="214"/>
    <tableColumn id="38" xr3:uid="{00000000-0010-0000-0300-000026000000}" name="Approximate Energy Loss (KWh)" dataDxfId="213">
      <calculatedColumnFormula>IFERROR((_xlfn.XLOOKUP($G2,'Modelling New'!D:D,'Modelling New'!$O:$O)*PA[[#This Row],[Lost PoA(kWh/m2)]]*PA[[#This Row],[DC Capacity Affected (kW)]]),"")</calculatedColumnFormula>
    </tableColumn>
    <tableColumn id="39" xr3:uid="{E563826D-2642-4BA4-9C92-BCCC1F3E637F}" name="Bugt Capacity" dataDxfId="212"/>
    <tableColumn id="40" xr3:uid="{2C1E81EA-E3B6-4BE4-9691-422652FC4B6C}" name="CC*Bugt" dataDxfId="211"/>
    <tableColumn id="41" xr3:uid="{9869DACC-BD93-4B19-BF74-CE6D9B4639F6}" name="PTW No." dataDxfId="210"/>
    <tableColumn id="42" xr3:uid="{DFA57D34-182A-47A5-A5F0-580C252D51B4}" name="Job Card No." dataDxfId="209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Grid_BD" displayName="Grid_BD" ref="A1:Z33" totalsRowShown="0">
  <autoFilter ref="A1:Z33" xr:uid="{00000000-0009-0000-0100-000006000000}"/>
  <tableColumns count="26">
    <tableColumn id="1" xr3:uid="{00000000-0010-0000-0400-000001000000}" name="Sr. No." dataDxfId="208">
      <calculatedColumnFormula>A1+1</calculatedColumnFormula>
    </tableColumn>
    <tableColumn id="6" xr3:uid="{00000000-0010-0000-0400-000006000000}" name="Date" dataDxfId="207"/>
    <tableColumn id="2" xr3:uid="{00000000-0010-0000-0400-000002000000}" name="Finacial Year" dataDxfId="206">
      <calculatedColumnFormula>YEAR(Grid_BD[[#This Row],[Date]])+IF(MONTH(Grid_BD[[#This Row],[Date]])&gt;=4,1,0)</calculatedColumnFormula>
    </tableColumn>
    <tableColumn id="3" xr3:uid="{00000000-0010-0000-0400-000003000000}" name="Calendor Year" dataDxfId="205">
      <calculatedColumnFormula>YEAR(Grid_BD[[#This Row],[Date]])</calculatedColumnFormula>
    </tableColumn>
    <tableColumn id="5" xr3:uid="{00000000-0010-0000-0400-000005000000}" name="Operating Year" dataDxfId="204"/>
    <tableColumn id="7" xr3:uid="{00000000-0010-0000-0400-000007000000}" name="Affected Feeder " dataDxfId="203"/>
    <tableColumn id="21" xr3:uid="{00000000-0010-0000-0400-000015000000}" name="Op. Hours" dataDxfId="202">
      <calculatedColumnFormula>IFERROR(_xlfn.XLOOKUP(Grid_BD[[#This Row],[Date]],RD[Date],RD[Operating Hours]),"")</calculatedColumnFormula>
    </tableColumn>
    <tableColumn id="10" xr3:uid="{00000000-0010-0000-0400-00000A000000}" name="Concumaer" dataDxfId="201">
      <calculatedColumnFormula>IFERROR(VLOOKUP(Grid_BD[[#This Row],[Affected Feeder ]],'Basic Data'!$AM$2:$AQ$42,3,0),"")</calculatedColumnFormula>
    </tableColumn>
    <tableColumn id="4" xr3:uid="{00000000-0010-0000-0400-000004000000}" name="Plant Equivalent Weightage" dataDxfId="200">
      <calculatedColumnFormula>IFERROR(VLOOKUP(Grid_BD[[#This Row],[Affected Feeder ]],'Basic Data'!$AM$2:$AQ$42,5,0),"")</calculatedColumnFormula>
    </tableColumn>
    <tableColumn id="11" xr3:uid="{00000000-0010-0000-0400-00000B000000}" name="Breakdown Description" dataDxfId="199"/>
    <tableColumn id="8" xr3:uid="{00000000-0010-0000-0400-000008000000}" name="Breakdown Type"/>
    <tableColumn id="12" xr3:uid="{00000000-0010-0000-0400-00000C000000}" name="Fault Start TimeStamp"/>
    <tableColumn id="13" xr3:uid="{00000000-0010-0000-0400-00000D000000}" name="Work Start TimeStamp"/>
    <tableColumn id="14" xr3:uid="{00000000-0010-0000-0400-00000E000000}" name="Fault Clearance time"/>
    <tableColumn id="15" xr3:uid="{00000000-0010-0000-0400-00000F000000}" name="Response Time" dataDxfId="198">
      <calculatedColumnFormula>(Grid_BD[[#This Row],[Work Start TimeStamp]]-Grid_BD[[#This Row],[Fault Start TimeStamp]])*24</calculatedColumnFormula>
    </tableColumn>
    <tableColumn id="16" xr3:uid="{00000000-0010-0000-0400-000010000000}" name="Resolution Time" dataDxfId="197">
      <calculatedColumnFormula>(Grid_BD[[#This Row],[Fault Clearance time]]-Grid_BD[[#This Row],[Work Start TimeStamp]])*24</calculatedColumnFormula>
    </tableColumn>
    <tableColumn id="17" xr3:uid="{00000000-0010-0000-0400-000011000000}" name="Breakdown Time" dataDxfId="196">
      <calculatedColumnFormula>(Grid_BD[[#This Row],[Fault Clearance time]]-Grid_BD[[#This Row],[Fault Start TimeStamp]])*24</calculatedColumnFormula>
    </tableColumn>
    <tableColumn id="18" xr3:uid="{00000000-0010-0000-0400-000012000000}" name="Action taken"/>
    <tableColumn id="19" xr3:uid="{00000000-0010-0000-0400-000013000000}" name="Status" dataDxfId="195"/>
    <tableColumn id="22" xr3:uid="{00000000-0010-0000-0400-000016000000}" name="Plant Equivalent breakdown" dataDxfId="194">
      <calculatedColumnFormula>IFERROR(Grid_BD[[#This Row],[Breakdown Time]]*Grid_BD[[#This Row],[Plant Equivalent Weightage]],"")</calculatedColumnFormula>
    </tableColumn>
    <tableColumn id="24" xr3:uid="{00000000-0010-0000-0400-000018000000}" name="POA Lost (kWh/m2)" dataDxfId="193" dataCellStyle="Comma"/>
    <tableColumn id="9" xr3:uid="{00000000-0010-0000-0400-000009000000}" name="Estimated Energy Loss (kWh)" dataDxfId="192">
      <calculatedColumnFormula>IFERROR(Grid_BD[[#This Row],[POA Lost (kWh/m2)]]*_xlfn.XLOOKUP(Grid_BD[[#This Row],[Date]],'Daily KPI'!$A:$A,'Daily KPI'!$AE:$AE)*_xlfn.XLOOKUP(Grid_BD[[#This Row],[Date]],RD[Date],RD[Connected DC Capcity (MWp)])*1000,"")</calculatedColumnFormula>
    </tableColumn>
    <tableColumn id="20" xr3:uid="{00000000-0010-0000-0400-000014000000}" name="Curtailment Order imit."/>
    <tableColumn id="23" xr3:uid="{00000000-0010-0000-0400-000017000000}" name="EGA_Including_CurtailmentOrder" dataDxfId="191">
      <calculatedColumnFormula>IF(K2="Curtailment Order",(((100%*(Grid_BD[[#This Row],[Op. Hours]]-T2))+(((W2)/'Basic Data'!$AC$4)*T2))/Grid_BD[[#This Row],[Op. Hours]]),1)</calculatedColumnFormula>
    </tableColumn>
    <tableColumn id="25" xr3:uid="{955E4C52-564F-4492-A9AA-833CCA86B3B2}" name="PTW No." dataDxfId="190"/>
    <tableColumn id="26" xr3:uid="{6329C7A1-F236-4685-B14C-DD763D88A26A}" name="Job Card No." dataDxfId="189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7780D5-10EF-442C-ACC2-73816E1C8BB2}" name="Table7" displayName="Table7" ref="A1:U6" totalsRowShown="0" headerRowDxfId="188" dataDxfId="186" headerRowBorderDxfId="187" tableBorderDxfId="185" totalsRowBorderDxfId="184">
  <autoFilter ref="A1:U6" xr:uid="{4F984E08-5C70-4CFD-957B-782F0EE953DF}"/>
  <tableColumns count="21">
    <tableColumn id="1" xr3:uid="{2352D990-65F3-49F8-90F1-41DBCC908DB1}" name="Sr. No" dataDxfId="183"/>
    <tableColumn id="2" xr3:uid="{848DB6DF-F2E8-4492-B659-53EB52B594A9}" name="Month" dataDxfId="182">
      <calculatedColumnFormula>Table7[[#This Row],[Date]]-DAY(Table7[[#This Row],[Date]])+1</calculatedColumnFormula>
    </tableColumn>
    <tableColumn id="3" xr3:uid="{ECB9DFC2-3825-4CD2-BF58-AB0082DF4025}" name="Date" dataDxfId="181"/>
    <tableColumn id="4" xr3:uid="{EA748705-9966-4923-9436-96391EC2F782}" name="Plant Name" dataDxfId="180"/>
    <tableColumn id="5" xr3:uid="{B3EC62D1-BBF1-48F5-9557-89ED95209076}" name="Categoty" dataDxfId="179"/>
    <tableColumn id="6" xr3:uid="{76A7D69A-8ED9-4D3F-83D1-CBD8E2782993}" name="Equipment Name" dataDxfId="178"/>
    <tableColumn id="7" xr3:uid="{B4D75C1F-B732-4DE1-9266-1ADA025A58E0}" name="Inverter No." dataDxfId="177"/>
    <tableColumn id="8" xr3:uid="{4B5B4246-085E-4FFF-8115-BF96E1C81789}" name="From" dataDxfId="176"/>
    <tableColumn id="9" xr3:uid="{A50E0AEF-27CE-472C-A431-5FC0F414AEC5}" name="To" dataDxfId="175"/>
    <tableColumn id="10" xr3:uid="{0D67F2E2-F243-4E3D-BF5F-096108B4CE8B}" name="Duration in MIN" dataDxfId="174">
      <calculatedColumnFormula>I2-H2</calculatedColumnFormula>
    </tableColumn>
    <tableColumn id="11" xr3:uid="{2BE2BE98-28FE-4947-A8B0-45DC1B18BFE1}" name="Total Breakdown Hrs." dataDxfId="173">
      <calculatedColumnFormula>(J2/0.041677)</calculatedColumnFormula>
    </tableColumn>
    <tableColumn id="12" xr3:uid="{8301665C-365A-4CA7-B498-0F46F5C419C6}" name="Avg POA During BD time" dataDxfId="172"/>
    <tableColumn id="13" xr3:uid="{7133944D-C9F7-4699-A49F-07DA0248E876}" name="Lost POA" dataDxfId="171"/>
    <tableColumn id="14" xr3:uid="{4C084CDF-5124-47D7-9E7D-C468C03B38B1}" name="Total POA " dataDxfId="170"/>
    <tableColumn id="15" xr3:uid="{26D26F24-275F-4B1F-B2B3-3F5647F53881}" name="Net POA" dataDxfId="169">
      <calculatedColumnFormula>(N2-M2)</calculatedColumnFormula>
    </tableColumn>
    <tableColumn id="16" xr3:uid="{693BA623-8151-42B3-9A34-3AF3B304E5CC}" name="Loss of Capacity in KWp" dataDxfId="168"/>
    <tableColumn id="17" xr3:uid="{B3A5481E-A50A-45ED-A5B5-4D11F7BBE7D8}" name="Estimated PR % (Pvsyst)" dataDxfId="167">
      <calculatedColumnFormula>IFERROR(_xlfn.XLOOKUP(Table7[[#This Row],[Month]],'Modelling New'!$D:$D,'Modelling New'!$O:$O),"")</calculatedColumnFormula>
    </tableColumn>
    <tableColumn id="18" xr3:uid="{65520A00-6E86-4AAC-9AC7-E433D0483A0C}" name="Loss of Generation kWh" dataDxfId="166" dataCellStyle="Comma">
      <calculatedColumnFormula>IFERROR(Table7[[#This Row],[Loss of Capacity in KWp]]*Table7[[#This Row],[Lost POA]]*Table7[[#This Row],[Estimated PR % (Pvsyst)]],"")</calculatedColumnFormula>
    </tableColumn>
    <tableColumn id="19" xr3:uid="{135F2DE3-D8B0-4021-ABCB-777FAA63343A}" name="Remark" dataDxfId="165"/>
    <tableColumn id="20" xr3:uid="{FDD9EEFF-1006-4B0F-A493-D57D72AC4CF4}" name="Current Load befor Load Sheeding (AC MW)" dataDxfId="164"/>
    <tableColumn id="21" xr3:uid="{C94B790A-87A6-4B12-9E50-D20E58368A09}" name="Load to be maintain (AC Mw)" dataDxfId="163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7000000}" name="Inv_SY_B" displayName="Inv_SY_B" ref="B3:Z64" totalsRowShown="0" headerRowDxfId="162" dataDxfId="160" headerRowBorderDxfId="161" tableBorderDxfId="159" totalsRowBorderDxfId="158" headerRowCellStyle="Normal 26">
  <autoFilter ref="B3:Z64" xr:uid="{00000000-0009-0000-0100-000003000000}"/>
  <tableColumns count="25">
    <tableColumn id="1" xr3:uid="{00000000-0010-0000-0700-000001000000}" name="Date" dataDxfId="157">
      <calculatedColumnFormula>TODAY()-60</calculatedColumnFormula>
    </tableColumn>
    <tableColumn id="2" xr3:uid="{00000000-0010-0000-0700-000002000000}" name="IS2Inv1M1" dataDxfId="156">
      <calculatedColumnFormula>IFERROR(VLOOKUP($B4,RD[[#All],[Date]:[ISInv8]],C$2,0)/C$1,"")</calculatedColumnFormula>
    </tableColumn>
    <tableColumn id="3" xr3:uid="{00000000-0010-0000-0700-000003000000}" name="IS2Inv1M2" dataDxfId="155">
      <calculatedColumnFormula>IFERROR(VLOOKUP($B4,RD[[#All],[Date]:[ISInv8]],D$2,0)/D$1,"")</calculatedColumnFormula>
    </tableColumn>
    <tableColumn id="4" xr3:uid="{00000000-0010-0000-0700-000004000000}" name="IS2Inv1M3" dataDxfId="154">
      <calculatedColumnFormula>IFERROR(VLOOKUP($B4,RD[[#All],[Date]:[ISInv8]],E$2,0)/E$1,"")</calculatedColumnFormula>
    </tableColumn>
    <tableColumn id="5" xr3:uid="{00000000-0010-0000-0700-000005000000}" name="IS2Inv2M1" dataDxfId="153">
      <calculatedColumnFormula>IFERROR(VLOOKUP($B4,RD[[#All],[Date]:[ISInv8]],F$2,0)/F$1,"")</calculatedColumnFormula>
    </tableColumn>
    <tableColumn id="6" xr3:uid="{00000000-0010-0000-0700-000006000000}" name="IS2Inv2M2" dataDxfId="152">
      <calculatedColumnFormula>IFERROR(VLOOKUP($B4,RD[[#All],[Date]:[ISInv8]],G$2,0)/G$1,"")</calculatedColumnFormula>
    </tableColumn>
    <tableColumn id="7" xr3:uid="{00000000-0010-0000-0700-000007000000}" name="IS2Inv2M3" dataDxfId="151">
      <calculatedColumnFormula>IFERROR(VLOOKUP($B4,RD[[#All],[Date]:[ISInv8]],H$2,0)/H$1,"")</calculatedColumnFormula>
    </tableColumn>
    <tableColumn id="8" xr3:uid="{00000000-0010-0000-0700-000008000000}" name="IS3Inv1M1" dataDxfId="150">
      <calculatedColumnFormula>IFERROR(VLOOKUP($B4,RD[[#All],[Date]:[ISInv8]],I$2,0)/I$1,"")</calculatedColumnFormula>
    </tableColumn>
    <tableColumn id="26" xr3:uid="{AF50DB54-5B4D-4521-85EE-E2737D4296B2}" name="IS3Inv1M2" dataDxfId="149">
      <calculatedColumnFormula>IFERROR(VLOOKUP($B4,RD[[#All],[Date]:[ISInv8]],J$2,0)/J$1,"")</calculatedColumnFormula>
    </tableColumn>
    <tableColumn id="9" xr3:uid="{F3ED495B-C83F-45C1-AA2C-DCAC14C1584D}" name="IS3Inv1M3" dataDxfId="32">
      <calculatedColumnFormula>IFERROR(VLOOKUP($B4,RD[[#All],[Date]:[ISInv8]],K$2,0)/K$1,"")</calculatedColumnFormula>
    </tableColumn>
    <tableColumn id="10" xr3:uid="{D90D0503-D756-4042-B601-1A9C04AA8280}" name="IS3Inv1M4" dataDxfId="31">
      <calculatedColumnFormula>IFERROR(VLOOKUP($B4,RD[[#All],[Date]:[ISInv8]],L$2,0)/L$1,"")</calculatedColumnFormula>
    </tableColumn>
    <tableColumn id="11" xr3:uid="{83A792A2-139B-4E45-B30D-0007E95ECD3C}" name="IS3Inv2M1" dataDxfId="30">
      <calculatedColumnFormula>IFERROR(VLOOKUP($B4,RD[[#All],[Date]:[ISInv8]],M$2,0)/M$1,"")</calculatedColumnFormula>
    </tableColumn>
    <tableColumn id="12" xr3:uid="{96B2ED1A-8490-49CC-861A-DB444AEC0468}" name="IS3Inv2M2" dataDxfId="29">
      <calculatedColumnFormula>IFERROR(VLOOKUP($B4,RD[[#All],[Date]:[ISInv8]],N$2,0)/N$1,"")</calculatedColumnFormula>
    </tableColumn>
    <tableColumn id="13" xr3:uid="{2EC97A7D-79DE-4270-8F1D-915602658BB2}" name="IS3Inv2M3" dataDxfId="28">
      <calculatedColumnFormula>IFERROR(VLOOKUP($B4,RD[[#All],[Date]:[ISInv8]],O$2,0)/O$1,"")</calculatedColumnFormula>
    </tableColumn>
    <tableColumn id="14" xr3:uid="{2B7D745A-987B-4D64-9B57-C5AAEDA6F4FD}" name="IS3Inv2M4" dataDxfId="27">
      <calculatedColumnFormula>IFERROR(VLOOKUP($B4,RD[[#All],[Date]:[ISInv8]],P$2,0)/P$1,"")</calculatedColumnFormula>
    </tableColumn>
    <tableColumn id="15" xr3:uid="{DD26201E-3BAA-4B03-AC79-97271D88A5C5}" name="IS4Inv1M1" dataDxfId="26">
      <calculatedColumnFormula>IFERROR(VLOOKUP($B4,RD[[#All],[Date]:[ISInv8]],Q$2,0)/Q$1,"")</calculatedColumnFormula>
    </tableColumn>
    <tableColumn id="16" xr3:uid="{689542F5-8C00-455A-9B70-5B4100B059B0}" name="IS4Inv1M2" dataDxfId="25">
      <calculatedColumnFormula>IFERROR(VLOOKUP($B4,RD[[#All],[Date]:[ISInv8]],R$2,0)/R$1,"")</calculatedColumnFormula>
    </tableColumn>
    <tableColumn id="17" xr3:uid="{93A58828-2F0D-4824-8478-39200BB0FAE8}" name="IS4Inv1M3" dataDxfId="24">
      <calculatedColumnFormula>IFERROR(VLOOKUP($B4,RD[[#All],[Date]:[ISInv8]],S$2,0)/S$1,"")</calculatedColumnFormula>
    </tableColumn>
    <tableColumn id="18" xr3:uid="{65449DCB-1A14-4F68-BA5E-95936DC6B0F1}" name="IS5Inv1M1" dataDxfId="23">
      <calculatedColumnFormula>IFERROR(VLOOKUP($B4,RD[[#All],[Date]:[ISInv8]],T$2,0)/T$1,"")</calculatedColumnFormula>
    </tableColumn>
    <tableColumn id="19" xr3:uid="{838E8C12-0BA8-4759-9E46-018BF20A66C9}" name="IS5Inv1M2" dataDxfId="22">
      <calculatedColumnFormula>IFERROR(VLOOKUP($B4,RD[[#All],[Date]:[ISInv8]],U$2,0)/U$1,"")</calculatedColumnFormula>
    </tableColumn>
    <tableColumn id="20" xr3:uid="{C127A29B-0612-4CD7-B042-098C93F972A5}" name="IS5Inv1M3" dataDxfId="21">
      <calculatedColumnFormula>IFERROR(VLOOKUP($B4,RD[[#All],[Date]:[ISInv8]],V$2,0)/V$1,"")</calculatedColumnFormula>
    </tableColumn>
    <tableColumn id="21" xr3:uid="{F905F118-7611-472F-9475-1406F31DA592}" name="IS5Inv2M1" dataDxfId="20">
      <calculatedColumnFormula>IFERROR(VLOOKUP($B4,RD[[#All],[Date]:[ISInv8]],W$2,0)/W$1,"")</calculatedColumnFormula>
    </tableColumn>
    <tableColumn id="22" xr3:uid="{451CAD1E-963B-46D4-9733-14A595D60393}" name="IS5Inv2M2" dataDxfId="19">
      <calculatedColumnFormula>IFERROR(VLOOKUP($B4,RD[[#All],[Date]:[ISInv8]],X$2,0)/X$1,"")</calculatedColumnFormula>
    </tableColumn>
    <tableColumn id="23" xr3:uid="{26FBDF0F-2BA1-4E13-8B75-744D07B6FE63}" name="IS5Inv2M3" dataDxfId="18">
      <calculatedColumnFormula>IFERROR(VLOOKUP($B4,RD[[#All],[Date]:[ISInv8]],Y$2,0)/Y$1,"")</calculatedColumnFormula>
    </tableColumn>
    <tableColumn id="24" xr3:uid="{1F0D2422-7090-469C-A618-38DC18312213}" name="Avg SY" dataDxfId="17">
      <calculatedColumnFormula>IFERROR(AVERAGEIF(Inv_SY_B[[#This Row],[IS2Inv1M1]:[IS5Inv2M3]],"&lt;&gt;0",Inv_SY_B[[#This Row],[IS2Inv1M1]:[IS5Inv2M3]]),"")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Inv_SY" displayName="Inv_SY" ref="B2:Y63" totalsRowShown="0" headerRowDxfId="148" dataDxfId="146" headerRowBorderDxfId="147" tableBorderDxfId="145" totalsRowBorderDxfId="144" headerRowCellStyle="Normal 26">
  <autoFilter ref="B2:Y63" xr:uid="{00000000-0009-0000-0100-000008000000}"/>
  <tableColumns count="24">
    <tableColumn id="1" xr3:uid="{00000000-0010-0000-0800-000001000000}" name="Date" dataDxfId="143">
      <calculatedColumnFormula>TODAY()-60</calculatedColumnFormula>
    </tableColumn>
    <tableColumn id="2" xr3:uid="{00000000-0010-0000-0800-000002000000}" name="IS2Inv1M1" dataDxfId="0">
      <calculatedColumnFormula>IFERROR((Inv_SY_B!C4/Inv_SY_B!$Z4)-1,"")</calculatedColumnFormula>
    </tableColumn>
    <tableColumn id="3" xr3:uid="{00000000-0010-0000-0800-000003000000}" name="IS2Inv1M2" dataDxfId="142">
      <calculatedColumnFormula>IFERROR((Inv_SY_B!D4/Inv_SY_B!$Z4)-1,"")</calculatedColumnFormula>
    </tableColumn>
    <tableColumn id="4" xr3:uid="{00000000-0010-0000-0800-000004000000}" name="IS2Inv1M3" dataDxfId="141">
      <calculatedColumnFormula>IFERROR((Inv_SY_B!E4/Inv_SY_B!$Z4)-1,"")</calculatedColumnFormula>
    </tableColumn>
    <tableColumn id="5" xr3:uid="{00000000-0010-0000-0800-000005000000}" name="IS2Inv2M1" dataDxfId="140">
      <calculatedColumnFormula>IFERROR((Inv_SY_B!F4/Inv_SY_B!$Z4)-1,"")</calculatedColumnFormula>
    </tableColumn>
    <tableColumn id="6" xr3:uid="{00000000-0010-0000-0800-000006000000}" name="IS2Inv2M2" dataDxfId="139">
      <calculatedColumnFormula>IFERROR((Inv_SY_B!G4/Inv_SY_B!$Z4)-1,"")</calculatedColumnFormula>
    </tableColumn>
    <tableColumn id="7" xr3:uid="{00000000-0010-0000-0800-000007000000}" name="IS2Inv2M3" dataDxfId="138">
      <calculatedColumnFormula>IFERROR((Inv_SY_B!H4/Inv_SY_B!$Z4)-1,"")</calculatedColumnFormula>
    </tableColumn>
    <tableColumn id="8" xr3:uid="{00000000-0010-0000-0800-000008000000}" name="IS3Inv1M1" dataDxfId="137">
      <calculatedColumnFormula>IFERROR((Inv_SY_B!I4/Inv_SY_B!$Z4)-1,"")</calculatedColumnFormula>
    </tableColumn>
    <tableColumn id="9" xr3:uid="{5639861A-AC63-4F4C-AA4C-F537F48EF20B}" name="IS3Inv1M2" dataDxfId="16">
      <calculatedColumnFormula>IFERROR((Inv_SY_B!J4/Inv_SY_B!$Z4)-1,"")</calculatedColumnFormula>
    </tableColumn>
    <tableColumn id="10" xr3:uid="{C18A727D-BA72-4DF9-89F8-20BFA697B999}" name="IS3Inv1M3" dataDxfId="15">
      <calculatedColumnFormula>IFERROR((Inv_SY_B!K4/Inv_SY_B!$Z4)-1,"")</calculatedColumnFormula>
    </tableColumn>
    <tableColumn id="11" xr3:uid="{0752231F-E49F-4D3C-A4C6-2E426D5CCB4F}" name="IS3Inv1M4" dataDxfId="14">
      <calculatedColumnFormula>IFERROR((Inv_SY_B!L4/Inv_SY_B!$Z4)-1,"")</calculatedColumnFormula>
    </tableColumn>
    <tableColumn id="12" xr3:uid="{743E7C10-D030-41F5-BCEF-BBB7A94054D5}" name="IS3Inv2M1" dataDxfId="13">
      <calculatedColumnFormula>IFERROR((Inv_SY_B!M4/Inv_SY_B!$Z4)-1,"")</calculatedColumnFormula>
    </tableColumn>
    <tableColumn id="13" xr3:uid="{A580125A-3F9A-46A5-8617-A55B6C50FA51}" name="IS3Inv2M2" dataDxfId="12">
      <calculatedColumnFormula>IFERROR((Inv_SY_B!N4/Inv_SY_B!$Z4)-1,"")</calculatedColumnFormula>
    </tableColumn>
    <tableColumn id="14" xr3:uid="{42188436-575D-4BED-8F81-EC34044BD8B5}" name="IS3Inv2M3" dataDxfId="11">
      <calculatedColumnFormula>IFERROR((Inv_SY_B!O4/Inv_SY_B!$Z4)-1,"")</calculatedColumnFormula>
    </tableColumn>
    <tableColumn id="15" xr3:uid="{294AB0A2-9AEF-4DF2-B8EC-6CBEE9CC446E}" name="IS3Inv2M4" dataDxfId="10">
      <calculatedColumnFormula>IFERROR((Inv_SY_B!P4/Inv_SY_B!$Z4)-1,"")</calculatedColumnFormula>
    </tableColumn>
    <tableColumn id="16" xr3:uid="{F8A285E7-83B7-4096-A6BC-E958400A6726}" name="IS4Inv1M1" dataDxfId="9">
      <calculatedColumnFormula>IFERROR((Inv_SY_B!Q4/Inv_SY_B!$Z4)-1,"")</calculatedColumnFormula>
    </tableColumn>
    <tableColumn id="17" xr3:uid="{3F9A02D5-3DF9-453F-8D6C-D977D2E7A59D}" name="IS4Inv1M2" dataDxfId="8">
      <calculatedColumnFormula>IFERROR((Inv_SY_B!R4/Inv_SY_B!$Z4)-1,"")</calculatedColumnFormula>
    </tableColumn>
    <tableColumn id="18" xr3:uid="{A72DEC89-81AB-497A-9BB8-3B06EDF73D04}" name="IS4Inv1M3" dataDxfId="7">
      <calculatedColumnFormula>IFERROR((Inv_SY_B!S4/Inv_SY_B!$Z4)-1,"")</calculatedColumnFormula>
    </tableColumn>
    <tableColumn id="19" xr3:uid="{17968DB9-2D62-4222-9D27-9644A3D21541}" name="IS5Inv1M1" dataDxfId="6">
      <calculatedColumnFormula>IFERROR((Inv_SY_B!T4/Inv_SY_B!$Z4)-1,"")</calculatedColumnFormula>
    </tableColumn>
    <tableColumn id="20" xr3:uid="{06A2B711-D0F0-42D6-A772-6E19F367BF1A}" name="IS5Inv1M2" dataDxfId="5">
      <calculatedColumnFormula>IFERROR((Inv_SY_B!U4/Inv_SY_B!$Z4)-1,"")</calculatedColumnFormula>
    </tableColumn>
    <tableColumn id="21" xr3:uid="{1689E5A1-A6DD-418C-8281-29F89255E49C}" name="IS5Inv1M3" dataDxfId="4">
      <calculatedColumnFormula>IFERROR((Inv_SY_B!V4/Inv_SY_B!$Z4)-1,"")</calculatedColumnFormula>
    </tableColumn>
    <tableColumn id="22" xr3:uid="{7C98828D-8FFB-425C-8F48-EECD71380638}" name="IS5Inv2M1" dataDxfId="3">
      <calculatedColumnFormula>IFERROR((Inv_SY_B!W4/Inv_SY_B!$Z4)-1,"")</calculatedColumnFormula>
    </tableColumn>
    <tableColumn id="23" xr3:uid="{DF263DDB-F342-47A6-8265-B65C0BCA39A8}" name="IS5Inv2M2" dataDxfId="2">
      <calculatedColumnFormula>IFERROR((Inv_SY_B!X4/Inv_SY_B!$Z4)-1,"")</calculatedColumnFormula>
    </tableColumn>
    <tableColumn id="24" xr3:uid="{8CE16472-429C-456E-92D6-61869D4A058D}" name="IS5Inv2M3" dataDxfId="1">
      <calculatedColumnFormula>IFERROR((Inv_SY_B!Y4/Inv_SY_B!$Z4)-1,"")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A9775B3-8FF9-4394-BF4C-470441C34500}" name="Inv_SY_B12" displayName="Inv_SY_B12" ref="B3:I64" totalsRowShown="0" headerRowDxfId="136" dataDxfId="134" headerRowBorderDxfId="135" tableBorderDxfId="133" totalsRowBorderDxfId="132" headerRowCellStyle="Normal 26">
  <autoFilter ref="B3:I64" xr:uid="{2A9775B3-8FF9-4394-BF4C-470441C34500}"/>
  <tableColumns count="8">
    <tableColumn id="1" xr3:uid="{BE25E1FB-6408-420A-8AF0-C9499414ADF7}" name="Date" dataDxfId="131">
      <calculatedColumnFormula>TODAY()-60</calculatedColumnFormula>
    </tableColumn>
    <tableColumn id="2" xr3:uid="{030CBA5C-FBEE-403E-BA65-A7C322713824}" name="IS1Inv1" dataDxfId="130">
      <calculatedColumnFormula>IFERROR(VLOOKUP($B4,#REF!,C$2,0)/C$1/_xlfn.XLOOKUP(Inv_SY_B12[[#This Row],[Date]],Daily_KPI[Date],Daily_KPI[POA-UP(KWh/m2)]),"")</calculatedColumnFormula>
    </tableColumn>
    <tableColumn id="3" xr3:uid="{AEE38CF7-2E0C-4BF2-ABE0-5BD9ED67658C}" name="IS1Inv2" dataDxfId="129">
      <calculatedColumnFormula>IFERROR(VLOOKUP($B4,#REF!,D$2,0)/D$1/_xlfn.XLOOKUP(Inv_SY_B12[[#This Row],[Date]],Daily_KPI[Date],Daily_KPI[POA-UP(KWh/m2)]),"")</calculatedColumnFormula>
    </tableColumn>
    <tableColumn id="4" xr3:uid="{C7EC9E30-CFB2-4768-BD3B-F1CF470543F8}" name="IS2Inv1" dataDxfId="128">
      <calculatedColumnFormula>IFERROR(VLOOKUP($B4,#REF!,E$2,0)/E$1/_xlfn.XLOOKUP(Inv_SY_B12[[#This Row],[Date]],Daily_KPI[Date],Daily_KPI[POA-UP(KWh/m2)]),"")</calculatedColumnFormula>
    </tableColumn>
    <tableColumn id="5" xr3:uid="{14958D1E-6528-486C-B279-8C640DA52E49}" name="IS2Inv2" dataDxfId="127">
      <calculatedColumnFormula>IFERROR(VLOOKUP($B4,#REF!,F$2,0)/F$1/_xlfn.XLOOKUP(Inv_SY_B12[[#This Row],[Date]],Daily_KPI[Date],Daily_KPI[POA-UP(KWh/m2)]),"")</calculatedColumnFormula>
    </tableColumn>
    <tableColumn id="6" xr3:uid="{54CB01F9-79A6-46D2-94C6-E0F5CFB48B01}" name="IS3Inv1" dataDxfId="126">
      <calculatedColumnFormula>IFERROR(VLOOKUP($B4,#REF!,G$2,0)/G$1/_xlfn.XLOOKUP(Inv_SY_B12[[#This Row],[Date]],Daily_KPI[Date],Daily_KPI[POA-UP(KWh/m2)]),"")</calculatedColumnFormula>
    </tableColumn>
    <tableColumn id="7" xr3:uid="{80D953D3-B13F-4FD6-AED7-4D99012C2C38}" name="IS4Inv1" dataDxfId="125">
      <calculatedColumnFormula>IFERROR(VLOOKUP($B4,#REF!,H$2,0)/H$1/_xlfn.XLOOKUP(Inv_SY_B12[[#This Row],[Date]],Daily_KPI[Date],Daily_KPI[POA-UP(KWh/m2)]),"")</calculatedColumnFormula>
    </tableColumn>
    <tableColumn id="8" xr3:uid="{9371CA6E-3D2B-43BA-9CBC-D8A59B399D9D}" name="IS4Inv2" dataDxfId="124">
      <calculatedColumnFormula>IFERROR(VLOOKUP($B4,#REF!,I$2,0)/I$1/_xlfn.XLOOKUP(Inv_SY_B12[[#This Row],[Date]],Daily_KPI[Date],Daily_KPI[POA-UP(KWh/m2)]),"")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2" workbookViewId="0">
      <selection activeCell="B17" sqref="B17"/>
    </sheetView>
  </sheetViews>
  <sheetFormatPr defaultColWidth="9" defaultRowHeight="14.5"/>
  <cols>
    <col min="1" max="1" width="17" style="144" customWidth="1"/>
    <col min="2" max="2" width="19.1796875" style="145" bestFit="1" customWidth="1"/>
    <col min="3" max="3" width="13.453125" style="145" customWidth="1"/>
    <col min="4" max="4" width="12.453125" style="146" customWidth="1"/>
    <col min="5" max="5" width="13" style="144" customWidth="1"/>
    <col min="6" max="6" width="32.453125" style="145" customWidth="1"/>
    <col min="7" max="7" width="18" style="145" hidden="1" customWidth="1"/>
    <col min="8" max="8" width="15.81640625" style="145" hidden="1" customWidth="1"/>
    <col min="9" max="9" width="18" style="145" hidden="1" customWidth="1"/>
    <col min="10" max="16384" width="9" style="145"/>
  </cols>
  <sheetData>
    <row r="1" spans="1:9" ht="4" hidden="1" customHeight="1"/>
    <row r="2" spans="1:9" ht="15" thickBot="1"/>
    <row r="3" spans="1:9" ht="15.5">
      <c r="A3" s="310" t="s">
        <v>604</v>
      </c>
      <c r="B3" s="311"/>
      <c r="C3" s="311"/>
      <c r="D3" s="311"/>
      <c r="E3" s="311"/>
      <c r="F3" s="312"/>
    </row>
    <row r="4" spans="1:9">
      <c r="A4" s="89" t="s">
        <v>0</v>
      </c>
      <c r="B4" s="266">
        <v>45839</v>
      </c>
      <c r="C4" s="91"/>
      <c r="D4" s="91"/>
      <c r="E4" s="91"/>
      <c r="F4" s="92"/>
    </row>
    <row r="5" spans="1:9">
      <c r="A5" s="89" t="s">
        <v>1</v>
      </c>
      <c r="B5" s="267">
        <v>45851</v>
      </c>
      <c r="C5" s="91"/>
      <c r="D5" s="91"/>
      <c r="E5" s="91"/>
      <c r="F5" s="92"/>
    </row>
    <row r="6" spans="1:9">
      <c r="A6" s="89" t="s">
        <v>2</v>
      </c>
      <c r="B6" s="141">
        <f>YEAR(B5)+IF(MONTH(B5)&gt;=4,1,0)</f>
        <v>2026</v>
      </c>
      <c r="C6" s="91"/>
      <c r="D6" s="91"/>
      <c r="E6" s="91"/>
      <c r="F6" s="92"/>
    </row>
    <row r="7" spans="1:9">
      <c r="A7" s="89" t="s">
        <v>3</v>
      </c>
      <c r="B7" s="93">
        <v>45748</v>
      </c>
      <c r="C7" s="91"/>
      <c r="D7" s="91"/>
      <c r="E7" s="91"/>
      <c r="F7" s="92"/>
    </row>
    <row r="8" spans="1:9" ht="15" thickBot="1">
      <c r="A8" s="94" t="s">
        <v>4</v>
      </c>
      <c r="B8" s="95">
        <v>46112</v>
      </c>
      <c r="C8" s="96"/>
      <c r="D8" s="96"/>
      <c r="E8" s="96"/>
      <c r="F8" s="97"/>
    </row>
    <row r="9" spans="1:9" ht="4" customHeight="1" thickBot="1">
      <c r="A9" s="98"/>
      <c r="B9" s="99"/>
      <c r="C9" s="99"/>
      <c r="D9" s="99"/>
      <c r="E9" s="99"/>
      <c r="F9" s="99"/>
    </row>
    <row r="10" spans="1:9" ht="15" thickBot="1">
      <c r="A10" s="100" t="s">
        <v>5</v>
      </c>
      <c r="B10" s="101" t="s">
        <v>6</v>
      </c>
      <c r="C10" s="101" t="s">
        <v>7</v>
      </c>
      <c r="D10" s="101" t="s">
        <v>8</v>
      </c>
      <c r="E10" s="102" t="s">
        <v>9</v>
      </c>
      <c r="F10" s="102" t="s">
        <v>10</v>
      </c>
      <c r="G10" s="224" t="s">
        <v>11</v>
      </c>
      <c r="H10" s="224" t="s">
        <v>12</v>
      </c>
      <c r="I10" s="225" t="s">
        <v>13</v>
      </c>
    </row>
    <row r="11" spans="1:9">
      <c r="A11" s="313">
        <v>1</v>
      </c>
      <c r="B11" s="103" t="s">
        <v>14</v>
      </c>
      <c r="C11" s="104">
        <f>_xlfn.XLOOKUP($B$5,'Daily KPI'!$A:$A,'Daily KPI'!$AD:$AD)/1000</f>
        <v>199.16256403298777</v>
      </c>
      <c r="D11" s="104">
        <f>_xlfn.XLOOKUP($B$5,'Daily KPI'!$A:$A,'Daily KPI'!$Y:$Y)/1000</f>
        <v>0</v>
      </c>
      <c r="E11" s="105">
        <f>D11/C11-1</f>
        <v>-1</v>
      </c>
      <c r="F11" s="268"/>
      <c r="G11" s="226">
        <f>_xlfn.XLOOKUP($B$5,'Daily KPI'!$A:$A,'Daily KPI'!$AS:$AS)/1000</f>
        <v>69.502744441580262</v>
      </c>
      <c r="H11" s="226">
        <f>_xlfn.XLOOKUP($B$4,'Modelling New'!$D:$D,'Modelling New'!$AM:$AM)/1000</f>
        <v>139.00548888316052</v>
      </c>
      <c r="I11" s="226">
        <f>_xlfn.XLOOKUP($B$4,'Modelling New'!$D:$D,'Modelling New'!$AN:$AN)/1000</f>
        <v>139.00548888316052</v>
      </c>
    </row>
    <row r="12" spans="1:9">
      <c r="A12" s="314"/>
      <c r="B12" s="106" t="s">
        <v>15</v>
      </c>
      <c r="C12" s="107">
        <f>MonthlyKPI!E4</f>
        <v>0</v>
      </c>
      <c r="D12" s="108">
        <f>MonthlyKPI!F4</f>
        <v>0</v>
      </c>
      <c r="E12" s="109" t="e">
        <f>D12/C12-1</f>
        <v>#DIV/0!</v>
      </c>
      <c r="F12" s="269"/>
    </row>
    <row r="13" spans="1:9" ht="15" thickBot="1">
      <c r="A13" s="315"/>
      <c r="B13" s="111" t="s">
        <v>16</v>
      </c>
      <c r="C13" s="112">
        <f>AnnualKPI!E4</f>
        <v>0</v>
      </c>
      <c r="D13" s="113">
        <f>AnnualKPI!F4</f>
        <v>0</v>
      </c>
      <c r="E13" s="114" t="e">
        <f>D13/C13-1</f>
        <v>#DIV/0!</v>
      </c>
      <c r="F13" s="270"/>
    </row>
    <row r="14" spans="1:9">
      <c r="A14" s="313">
        <v>2</v>
      </c>
      <c r="B14" s="103" t="s">
        <v>17</v>
      </c>
      <c r="C14" s="218">
        <f>_xlfn.XLOOKUP($B$5,'Daily KPI'!$A:$A,'Daily KPI'!$AC:$AC)</f>
        <v>3.7225806451612904</v>
      </c>
      <c r="D14" s="219">
        <f>_xlfn.XLOOKUP($B$5,'Daily KPI'!$A:$A,'Daily KPI'!$I:$I)</f>
        <v>0</v>
      </c>
      <c r="E14" s="105">
        <f t="shared" ref="E14:E25" si="0">(D14-C14)/(C14)</f>
        <v>-1</v>
      </c>
      <c r="F14" s="268"/>
    </row>
    <row r="15" spans="1:9">
      <c r="A15" s="314"/>
      <c r="B15" s="106" t="s">
        <v>18</v>
      </c>
      <c r="C15" s="220">
        <f>MonthlyKPI!C4</f>
        <v>0</v>
      </c>
      <c r="D15" s="221">
        <f>MonthlyKPI!D4</f>
        <v>0</v>
      </c>
      <c r="E15" s="109" t="e">
        <f t="shared" si="0"/>
        <v>#DIV/0!</v>
      </c>
      <c r="F15" s="269"/>
    </row>
    <row r="16" spans="1:9" ht="15" thickBot="1">
      <c r="A16" s="315"/>
      <c r="B16" s="111" t="s">
        <v>19</v>
      </c>
      <c r="C16" s="222">
        <f>AnnualKPI!C4</f>
        <v>0</v>
      </c>
      <c r="D16" s="223">
        <f>AnnualKPI!D4</f>
        <v>0</v>
      </c>
      <c r="E16" s="114" t="e">
        <f t="shared" si="0"/>
        <v>#DIV/0!</v>
      </c>
      <c r="F16" s="270"/>
    </row>
    <row r="17" spans="1:6">
      <c r="A17" s="313">
        <v>3</v>
      </c>
      <c r="B17" s="103" t="s">
        <v>20</v>
      </c>
      <c r="C17" s="115">
        <f>_xlfn.XLOOKUP($B$5,'Daily KPI'!$A:$A,'Daily KPI'!$AE:$AE)</f>
        <v>0.60935317436258363</v>
      </c>
      <c r="D17" s="116" t="str">
        <f>_xlfn.XLOOKUP($B$5,'Daily KPI'!$A:$A,'Daily KPI'!$U:$U)</f>
        <v/>
      </c>
      <c r="E17" s="105" t="e">
        <f t="shared" si="0"/>
        <v>#VALUE!</v>
      </c>
      <c r="F17" s="268"/>
    </row>
    <row r="18" spans="1:6">
      <c r="A18" s="314"/>
      <c r="B18" s="106" t="s">
        <v>21</v>
      </c>
      <c r="C18" s="117">
        <f>MonthlyKPI!M4</f>
        <v>0.60935317436258363</v>
      </c>
      <c r="D18" s="118" t="e">
        <f>MonthlyKPI!N4</f>
        <v>#DIV/0!</v>
      </c>
      <c r="E18" s="109" t="e">
        <f t="shared" si="0"/>
        <v>#DIV/0!</v>
      </c>
      <c r="F18" s="269"/>
    </row>
    <row r="19" spans="1:6" ht="15" thickBot="1">
      <c r="A19" s="315"/>
      <c r="B19" s="111" t="s">
        <v>22</v>
      </c>
      <c r="C19" s="119">
        <f>AnnualKPI!M4</f>
        <v>0.60935317436258363</v>
      </c>
      <c r="D19" s="120" t="e">
        <f>AnnualKPI!N4</f>
        <v>#DIV/0!</v>
      </c>
      <c r="E19" s="114" t="e">
        <f t="shared" si="0"/>
        <v>#DIV/0!</v>
      </c>
      <c r="F19" s="270"/>
    </row>
    <row r="20" spans="1:6">
      <c r="A20" s="313">
        <v>4</v>
      </c>
      <c r="B20" s="103" t="s">
        <v>23</v>
      </c>
      <c r="C20" s="115">
        <f>_xlfn.XLOOKUP($B$5,'Daily KPI'!$A:$A,'Daily KPI'!$AG:$AG)</f>
        <v>0.995</v>
      </c>
      <c r="D20" s="116" t="str">
        <f>_xlfn.XLOOKUP($B$5,'Daily KPI'!$A:$A,'Daily KPI'!$O:$O,0)</f>
        <v/>
      </c>
      <c r="E20" s="105" t="e">
        <f t="shared" si="0"/>
        <v>#VALUE!</v>
      </c>
      <c r="F20" s="268"/>
    </row>
    <row r="21" spans="1:6">
      <c r="A21" s="314"/>
      <c r="B21" s="106" t="s">
        <v>24</v>
      </c>
      <c r="C21" s="117">
        <f>_xlfn.XLOOKUP($B$4,'Modelling New'!$D:$D,'Modelling New'!$AE:$AE)</f>
        <v>0.995</v>
      </c>
      <c r="D21" s="118" t="e">
        <f>MonthlyKPI!L4</f>
        <v>#DIV/0!</v>
      </c>
      <c r="E21" s="109" t="e">
        <f t="shared" si="0"/>
        <v>#DIV/0!</v>
      </c>
      <c r="F21" s="269"/>
    </row>
    <row r="22" spans="1:6" ht="15" thickBot="1">
      <c r="A22" s="315"/>
      <c r="B22" s="111" t="s">
        <v>25</v>
      </c>
      <c r="C22" s="117">
        <f>_xlfn.XLOOKUP($B$4,'Modelling New'!$D:$D,'Modelling New'!$AE:$AE)</f>
        <v>0.995</v>
      </c>
      <c r="D22" s="120" t="e">
        <f>AnnualKPI!L4</f>
        <v>#DIV/0!</v>
      </c>
      <c r="E22" s="114" t="e">
        <f t="shared" si="0"/>
        <v>#DIV/0!</v>
      </c>
      <c r="F22" s="270"/>
    </row>
    <row r="23" spans="1:6">
      <c r="A23" s="313">
        <v>5</v>
      </c>
      <c r="B23" s="103" t="s">
        <v>26</v>
      </c>
      <c r="C23" s="115">
        <f>_xlfn.XLOOKUP($B$5,'Daily KPI'!$A:$A,'Daily KPI'!$AH:$AH)</f>
        <v>0.995</v>
      </c>
      <c r="D23" s="116" t="str">
        <f>_xlfn.XLOOKUP($B$5,'Daily KPI'!$A:$A,'Daily KPI'!$R:$R)</f>
        <v/>
      </c>
      <c r="E23" s="105" t="e">
        <f t="shared" si="0"/>
        <v>#VALUE!</v>
      </c>
      <c r="F23" s="268"/>
    </row>
    <row r="24" spans="1:6">
      <c r="A24" s="314"/>
      <c r="B24" s="106" t="s">
        <v>27</v>
      </c>
      <c r="C24" s="117">
        <f>_xlfn.XLOOKUP($B$4,'Modelling New'!$D:$D,'Modelling New'!$AF:$AF)</f>
        <v>0.995</v>
      </c>
      <c r="D24" s="118" t="e">
        <f>MonthlyKPI!J4</f>
        <v>#DIV/0!</v>
      </c>
      <c r="E24" s="109" t="e">
        <f t="shared" si="0"/>
        <v>#DIV/0!</v>
      </c>
      <c r="F24" s="269"/>
    </row>
    <row r="25" spans="1:6" ht="15" thickBot="1">
      <c r="A25" s="315"/>
      <c r="B25" s="111" t="s">
        <v>28</v>
      </c>
      <c r="C25" s="117">
        <f>_xlfn.XLOOKUP($B$4,'Modelling New'!$D:$D,'Modelling New'!$AF:$AF)</f>
        <v>0.995</v>
      </c>
      <c r="D25" s="120" t="e">
        <f>AnnualKPI!J4</f>
        <v>#DIV/0!</v>
      </c>
      <c r="E25" s="114" t="e">
        <f t="shared" si="0"/>
        <v>#DIV/0!</v>
      </c>
      <c r="F25" s="270"/>
    </row>
    <row r="26" spans="1:6">
      <c r="A26" s="313">
        <v>6</v>
      </c>
      <c r="B26" s="103" t="s">
        <v>29</v>
      </c>
      <c r="C26" s="116">
        <f>_xlfn.XLOOKUP($B$5,'Daily KPI'!$A:$A,'Daily KPI'!$AF:$AF)</f>
        <v>9.4515263872906125E-2</v>
      </c>
      <c r="D26" s="116">
        <f>D11/24/(_xlfn.XLOOKUP(B5,'Daily KPI'!$A:$A,'Daily KPI'!$AR:$AR))</f>
        <v>0</v>
      </c>
      <c r="E26" s="105">
        <f t="shared" ref="E26:E28" si="1">(D26-C26)/(C26)</f>
        <v>-1</v>
      </c>
      <c r="F26" s="268"/>
    </row>
    <row r="27" spans="1:6">
      <c r="A27" s="314"/>
      <c r="B27" s="106" t="s">
        <v>30</v>
      </c>
      <c r="C27" s="117">
        <f>MonthlyKPI!G4</f>
        <v>0</v>
      </c>
      <c r="D27" s="118">
        <f>MonthlyKPI!H4</f>
        <v>0</v>
      </c>
      <c r="E27" s="109" t="e">
        <f t="shared" si="1"/>
        <v>#DIV/0!</v>
      </c>
      <c r="F27" s="269"/>
    </row>
    <row r="28" spans="1:6" ht="15" thickBot="1">
      <c r="A28" s="315"/>
      <c r="B28" s="111" t="s">
        <v>31</v>
      </c>
      <c r="C28" s="119" t="str">
        <f>AnnualKPI!G4</f>
        <v/>
      </c>
      <c r="D28" s="120">
        <f>AnnualKPI!H4</f>
        <v>0</v>
      </c>
      <c r="E28" s="114" t="e">
        <f t="shared" si="1"/>
        <v>#VALUE!</v>
      </c>
      <c r="F28" s="270"/>
    </row>
    <row r="30" spans="1:6" ht="15" thickBot="1"/>
    <row r="31" spans="1:6" ht="15.5">
      <c r="A31" s="310" t="s">
        <v>32</v>
      </c>
      <c r="B31" s="311"/>
      <c r="C31" s="311"/>
      <c r="D31" s="311"/>
      <c r="E31" s="311"/>
      <c r="F31" s="312"/>
    </row>
    <row r="32" spans="1:6">
      <c r="A32" s="89" t="s">
        <v>0</v>
      </c>
      <c r="B32" s="90">
        <f>B4</f>
        <v>45839</v>
      </c>
      <c r="C32" s="91"/>
      <c r="D32" s="91"/>
      <c r="E32" s="91"/>
      <c r="F32" s="92"/>
    </row>
    <row r="33" spans="1:6">
      <c r="A33" s="89" t="s">
        <v>1</v>
      </c>
      <c r="B33" s="93">
        <f>B5</f>
        <v>45851</v>
      </c>
      <c r="C33" s="91"/>
      <c r="D33" s="91"/>
      <c r="E33" s="91"/>
      <c r="F33" s="92"/>
    </row>
    <row r="34" spans="1:6">
      <c r="A34" s="89" t="s">
        <v>2</v>
      </c>
      <c r="B34" s="141">
        <f>YEAR(B33)+IF(MONTH(B33)&gt;=4,1,0)</f>
        <v>2026</v>
      </c>
      <c r="C34" s="91"/>
      <c r="D34" s="91"/>
      <c r="E34" s="91"/>
      <c r="F34" s="92"/>
    </row>
    <row r="35" spans="1:6">
      <c r="A35" s="89" t="s">
        <v>3</v>
      </c>
      <c r="B35" s="93">
        <v>45689</v>
      </c>
      <c r="C35" s="91"/>
      <c r="D35" s="91"/>
      <c r="E35" s="91"/>
      <c r="F35" s="92"/>
    </row>
    <row r="36" spans="1:6" ht="15" thickBot="1">
      <c r="A36" s="94" t="s">
        <v>4</v>
      </c>
      <c r="B36" s="95">
        <v>45747</v>
      </c>
      <c r="C36" s="96"/>
      <c r="D36" s="96"/>
      <c r="E36" s="96"/>
      <c r="F36" s="97"/>
    </row>
    <row r="37" spans="1:6" ht="3" customHeight="1" thickBot="1"/>
    <row r="38" spans="1:6" ht="15" thickBot="1">
      <c r="A38" s="100" t="s">
        <v>33</v>
      </c>
      <c r="B38" s="101" t="s">
        <v>6</v>
      </c>
      <c r="C38" s="101" t="s">
        <v>7</v>
      </c>
      <c r="D38" s="101" t="s">
        <v>8</v>
      </c>
      <c r="E38" s="102" t="s">
        <v>9</v>
      </c>
      <c r="F38" s="102" t="s">
        <v>10</v>
      </c>
    </row>
    <row r="39" spans="1:6">
      <c r="A39" s="188" t="s">
        <v>34</v>
      </c>
      <c r="B39" s="106" t="s">
        <v>15</v>
      </c>
      <c r="C39" s="107" t="e">
        <f>_xlfn.XLOOKUP($B$32,Mod[Month],Mod[MTD Energy (MWh)])*(_xlfn.XLOOKUP($A39,'Basic Data'!$AE$2:$AE$11,'Basic Data'!$AI$2:$AI$11)/'Basic Data'!$AI$14)*1000</f>
        <v>#N/A</v>
      </c>
      <c r="D39" s="107">
        <f>SUMIFS(RD[O2RE9],RD[Month Year],$B$32)</f>
        <v>30993.9</v>
      </c>
      <c r="E39" s="109" t="e">
        <f>D39/C39-1</f>
        <v>#N/A</v>
      </c>
      <c r="F39" s="110"/>
    </row>
    <row r="40" spans="1:6">
      <c r="A40" s="188" t="s">
        <v>35</v>
      </c>
      <c r="B40" s="106" t="s">
        <v>15</v>
      </c>
      <c r="C40" s="107" t="e">
        <f>_xlfn.XLOOKUP($B$32,Mod[Month],Mod[MTD Energy (MWh)])*(_xlfn.XLOOKUP($A40,'Basic Data'!$AE$2:$AE$11,'Basic Data'!$AI$2:$AI$11)/'Basic Data'!$AI$14)*1000</f>
        <v>#N/A</v>
      </c>
      <c r="D40" s="107">
        <f>SUMIFS(RD[O2RE192],RD[Month Year],$B$32)</f>
        <v>3193.4999999999995</v>
      </c>
      <c r="E40" s="109" t="e">
        <f t="shared" ref="E40" si="2">D40/C40-1</f>
        <v>#N/A</v>
      </c>
      <c r="F40" s="110"/>
    </row>
  </sheetData>
  <protectedRanges>
    <protectedRange sqref="A22:B22" name="Range1_1"/>
    <protectedRange sqref="B19:B20" name="Range1_1_2"/>
  </protectedRanges>
  <mergeCells count="8">
    <mergeCell ref="A31:F31"/>
    <mergeCell ref="A3:F3"/>
    <mergeCell ref="A26:A28"/>
    <mergeCell ref="A11:A13"/>
    <mergeCell ref="A14:A16"/>
    <mergeCell ref="A17:A19"/>
    <mergeCell ref="A20:A22"/>
    <mergeCell ref="A23:A25"/>
  </mergeCells>
  <conditionalFormatting sqref="E3:E9 E31:E37 E41">
    <cfRule type="cellIs" dxfId="39" priority="23" operator="greaterThan">
      <formula>0.01</formula>
    </cfRule>
    <cfRule type="cellIs" dxfId="38" priority="24" operator="lessThan">
      <formula>-0.005</formula>
    </cfRule>
    <cfRule type="cellIs" dxfId="37" priority="25" operator="lessThan">
      <formula>-0.01</formula>
    </cfRule>
  </conditionalFormatting>
  <conditionalFormatting sqref="E11:E28">
    <cfRule type="iconSet" priority="7">
      <iconSet iconSet="3Arrows">
        <cfvo type="percent" val="0"/>
        <cfvo type="num" val="-5.0000000000000001E-3"/>
        <cfvo type="num" val="0"/>
      </iconSet>
    </cfRule>
    <cfRule type="dataBar" priority="10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{0F13039F-A242-4601-B7B7-2894110B0205}</x14:id>
        </ext>
      </extLst>
    </cfRule>
  </conditionalFormatting>
  <conditionalFormatting sqref="E39:E40">
    <cfRule type="iconSet" priority="37">
      <iconSet iconSet="3Arrows">
        <cfvo type="percent" val="0"/>
        <cfvo type="num" val="-5.0000000000000001E-3"/>
        <cfvo type="num" val="0"/>
      </iconSet>
    </cfRule>
    <cfRule type="dataBar" priority="38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{272E3396-D1B3-46FA-ACF5-3738B13378DD}</x14:id>
        </ext>
      </extLst>
    </cfRule>
  </conditionalFormatting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13039F-A242-4601-B7B7-2894110B0205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E11:E28</xm:sqref>
        </x14:conditionalFormatting>
        <x14:conditionalFormatting xmlns:xm="http://schemas.microsoft.com/office/excel/2006/main">
          <x14:cfRule type="dataBar" id="{272E3396-D1B3-46FA-ACF5-3738B13378DD}">
            <x14:dataBar minLength="0" maxLength="100" border="1" negativeBarBorderColorSameAsPositive="0">
              <x14:cfvo type="autoMin"/>
              <x14:cfvo type="autoMax"/>
              <x14:borderColor theme="4" tint="0.79998168889431442"/>
              <x14:negativeFillColor theme="5" tint="0.79998168889431442"/>
              <x14:negativeBorderColor theme="5" tint="0.79998168889431442"/>
              <x14:axisColor rgb="FF000000"/>
            </x14:dataBar>
          </x14:cfRule>
          <xm:sqref>E39:E40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E0CD-E4B0-4CED-904B-7935F45D6996}">
  <dimension ref="A1:U8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ColWidth="8.81640625" defaultRowHeight="14.5"/>
  <cols>
    <col min="1" max="2" width="8.81640625" style="4"/>
    <col min="3" max="3" width="10" style="4" bestFit="1" customWidth="1"/>
    <col min="4" max="4" width="12.453125" style="4" customWidth="1"/>
    <col min="5" max="5" width="14" style="4" customWidth="1"/>
    <col min="6" max="6" width="17.453125" style="4" customWidth="1"/>
    <col min="7" max="7" width="12.81640625" style="4" customWidth="1"/>
    <col min="8" max="9" width="8.81640625" style="4"/>
    <col min="10" max="10" width="16.453125" style="4" customWidth="1"/>
    <col min="11" max="11" width="20.81640625" style="4" customWidth="1"/>
    <col min="12" max="12" width="23" style="4" customWidth="1"/>
    <col min="13" max="13" width="10.453125" style="4" customWidth="1"/>
    <col min="14" max="14" width="11.453125" style="4" customWidth="1"/>
    <col min="15" max="15" width="9.81640625" style="4" customWidth="1"/>
    <col min="16" max="16" width="23.1796875" style="4" customWidth="1"/>
    <col min="17" max="18" width="22.81640625" style="4" customWidth="1"/>
    <col min="19" max="19" width="58.453125" style="4" bestFit="1" customWidth="1"/>
    <col min="20" max="20" width="39.1796875" style="4" customWidth="1"/>
    <col min="21" max="21" width="27.1796875" style="4" customWidth="1"/>
    <col min="22" max="16384" width="8.81640625" style="4"/>
  </cols>
  <sheetData>
    <row r="1" spans="1:21" ht="23.5" customHeight="1">
      <c r="A1" s="291" t="s">
        <v>575</v>
      </c>
      <c r="B1" s="292" t="s">
        <v>53</v>
      </c>
      <c r="C1" s="292" t="s">
        <v>77</v>
      </c>
      <c r="D1" s="292" t="s">
        <v>576</v>
      </c>
      <c r="E1" s="292" t="s">
        <v>577</v>
      </c>
      <c r="F1" s="292" t="s">
        <v>578</v>
      </c>
      <c r="G1" s="292" t="s">
        <v>579</v>
      </c>
      <c r="H1" s="292" t="s">
        <v>36</v>
      </c>
      <c r="I1" s="292" t="s">
        <v>37</v>
      </c>
      <c r="J1" s="292" t="s">
        <v>580</v>
      </c>
      <c r="K1" s="292" t="s">
        <v>581</v>
      </c>
      <c r="L1" s="292" t="s">
        <v>582</v>
      </c>
      <c r="M1" s="292" t="s">
        <v>583</v>
      </c>
      <c r="N1" s="292" t="s">
        <v>584</v>
      </c>
      <c r="O1" s="292" t="s">
        <v>585</v>
      </c>
      <c r="P1" s="292" t="s">
        <v>586</v>
      </c>
      <c r="Q1" s="292" t="s">
        <v>587</v>
      </c>
      <c r="R1" s="292" t="s">
        <v>588</v>
      </c>
      <c r="S1" s="292" t="s">
        <v>589</v>
      </c>
      <c r="T1" s="292" t="s">
        <v>590</v>
      </c>
      <c r="U1" s="293" t="s">
        <v>591</v>
      </c>
    </row>
    <row r="2" spans="1:21">
      <c r="A2" s="294">
        <v>1</v>
      </c>
      <c r="B2" s="295">
        <f>Table7[[#This Row],[Date]]-DAY(Table7[[#This Row],[Date]])+1</f>
        <v>45839</v>
      </c>
      <c r="C2" s="296">
        <v>45851</v>
      </c>
      <c r="D2" s="1" t="s">
        <v>616</v>
      </c>
      <c r="E2" s="1" t="s">
        <v>617</v>
      </c>
      <c r="F2" s="1" t="s">
        <v>619</v>
      </c>
      <c r="G2" s="1" t="s">
        <v>618</v>
      </c>
      <c r="H2" s="297">
        <v>0.44374999999999998</v>
      </c>
      <c r="I2" s="297">
        <v>0.76388888888888884</v>
      </c>
      <c r="J2" s="297">
        <f>I2-H2</f>
        <v>0.32013888888888886</v>
      </c>
      <c r="K2" s="297">
        <f>(J2/0.041677)</f>
        <v>7.6814283391052349</v>
      </c>
      <c r="L2" s="1" t="s">
        <v>620</v>
      </c>
      <c r="M2" s="1" t="s">
        <v>620</v>
      </c>
      <c r="N2" s="1" t="s">
        <v>620</v>
      </c>
      <c r="O2" s="298" t="e">
        <f t="shared" ref="O2:O6" si="0">(N2-M2)</f>
        <v>#VALUE!</v>
      </c>
      <c r="P2" s="298"/>
      <c r="Q2" s="1">
        <f>IFERROR(_xlfn.XLOOKUP(Table7[[#This Row],[Month]],'Modelling New'!$D:$D,'Modelling New'!$O:$O),"")</f>
        <v>0.60935317436258363</v>
      </c>
      <c r="R2" s="299" t="str">
        <f>IFERROR(Table7[[#This Row],[Loss of Capacity in KWp]]*Table7[[#This Row],[Lost POA]]*Table7[[#This Row],[Estimated PR % (Pvsyst)]],"")</f>
        <v/>
      </c>
      <c r="S2" s="1"/>
      <c r="T2" s="1">
        <v>7</v>
      </c>
      <c r="U2" s="300">
        <v>0</v>
      </c>
    </row>
    <row r="3" spans="1:21">
      <c r="A3" s="294">
        <v>2</v>
      </c>
      <c r="B3" s="295">
        <f>Table7[[#This Row],[Date]]-DAY(Table7[[#This Row],[Date]])+1</f>
        <v>1</v>
      </c>
      <c r="C3" s="296"/>
      <c r="D3" s="1"/>
      <c r="E3" s="1"/>
      <c r="F3" s="1"/>
      <c r="G3" s="1"/>
      <c r="H3" s="297"/>
      <c r="I3" s="297"/>
      <c r="J3" s="297">
        <f>I3-H3</f>
        <v>0</v>
      </c>
      <c r="K3" s="297">
        <f>(J3/0.041677)</f>
        <v>0</v>
      </c>
      <c r="L3" s="1"/>
      <c r="M3" s="1"/>
      <c r="N3" s="298"/>
      <c r="O3" s="298">
        <f t="shared" si="0"/>
        <v>0</v>
      </c>
      <c r="P3" s="298"/>
      <c r="Q3" s="1" t="str">
        <f>IFERROR(_xlfn.XLOOKUP(Table7[[#This Row],[Month]],'Modelling New'!$D:$D,'Modelling New'!$O:$O),"")</f>
        <v/>
      </c>
      <c r="R3" s="299" t="str">
        <f>IFERROR(Table7[[#This Row],[Loss of Capacity in KWp]]*Table7[[#This Row],[Lost POA]]*Table7[[#This Row],[Estimated PR % (Pvsyst)]],"")</f>
        <v/>
      </c>
      <c r="S3" s="1"/>
      <c r="T3" s="1"/>
      <c r="U3" s="300"/>
    </row>
    <row r="4" spans="1:21">
      <c r="A4" s="294">
        <v>3</v>
      </c>
      <c r="B4" s="295">
        <f>Table7[[#This Row],[Date]]-DAY(Table7[[#This Row],[Date]])+1</f>
        <v>1</v>
      </c>
      <c r="C4" s="296"/>
      <c r="D4" s="1"/>
      <c r="E4" s="1"/>
      <c r="F4" s="1"/>
      <c r="G4" s="1"/>
      <c r="H4" s="297"/>
      <c r="I4" s="297"/>
      <c r="J4" s="297">
        <f t="shared" ref="J4:J6" si="1">I4-H4</f>
        <v>0</v>
      </c>
      <c r="K4" s="297">
        <f t="shared" ref="K4:K6" si="2">(J4/0.041677)</f>
        <v>0</v>
      </c>
      <c r="L4" s="1"/>
      <c r="M4" s="1"/>
      <c r="N4" s="298"/>
      <c r="O4" s="298">
        <f t="shared" si="0"/>
        <v>0</v>
      </c>
      <c r="P4" s="298"/>
      <c r="Q4" s="1" t="str">
        <f>IFERROR(_xlfn.XLOOKUP(Table7[[#This Row],[Month]],'Modelling New'!$D:$D,'Modelling New'!$O:$O),"")</f>
        <v/>
      </c>
      <c r="R4" s="299" t="str">
        <f>IFERROR(Table7[[#This Row],[Loss of Capacity in KWp]]*Table7[[#This Row],[Lost POA]]*Table7[[#This Row],[Estimated PR % (Pvsyst)]],"")</f>
        <v/>
      </c>
      <c r="S4" s="1"/>
      <c r="T4" s="1"/>
      <c r="U4" s="300"/>
    </row>
    <row r="5" spans="1:21">
      <c r="A5" s="294">
        <v>4</v>
      </c>
      <c r="B5" s="295">
        <f>Table7[[#This Row],[Date]]-DAY(Table7[[#This Row],[Date]])+1</f>
        <v>1</v>
      </c>
      <c r="C5" s="296"/>
      <c r="D5" s="1"/>
      <c r="E5" s="1"/>
      <c r="F5" s="1"/>
      <c r="G5" s="1"/>
      <c r="H5" s="297"/>
      <c r="I5" s="297"/>
      <c r="J5" s="297">
        <f t="shared" si="1"/>
        <v>0</v>
      </c>
      <c r="K5" s="297">
        <f t="shared" si="2"/>
        <v>0</v>
      </c>
      <c r="L5" s="1"/>
      <c r="M5" s="1"/>
      <c r="N5" s="298"/>
      <c r="O5" s="298">
        <f t="shared" si="0"/>
        <v>0</v>
      </c>
      <c r="P5" s="298"/>
      <c r="Q5" s="1" t="str">
        <f>IFERROR(_xlfn.XLOOKUP(Table7[[#This Row],[Month]],'Modelling New'!$D:$D,'Modelling New'!$O:$O),"")</f>
        <v/>
      </c>
      <c r="R5" s="299" t="str">
        <f>IFERROR(Table7[[#This Row],[Loss of Capacity in KWp]]*Table7[[#This Row],[Lost POA]]*Table7[[#This Row],[Estimated PR % (Pvsyst)]],"")</f>
        <v/>
      </c>
      <c r="S5" s="1"/>
      <c r="T5" s="1"/>
      <c r="U5" s="300"/>
    </row>
    <row r="6" spans="1:21">
      <c r="A6" s="294">
        <v>5</v>
      </c>
      <c r="B6" s="295">
        <f>Table7[[#This Row],[Date]]-DAY(Table7[[#This Row],[Date]])+1</f>
        <v>1</v>
      </c>
      <c r="C6" s="296"/>
      <c r="D6" s="1"/>
      <c r="E6" s="1"/>
      <c r="F6" s="1"/>
      <c r="G6" s="1"/>
      <c r="H6" s="297"/>
      <c r="I6" s="297"/>
      <c r="J6" s="297">
        <f t="shared" si="1"/>
        <v>0</v>
      </c>
      <c r="K6" s="297">
        <f t="shared" si="2"/>
        <v>0</v>
      </c>
      <c r="L6" s="1"/>
      <c r="M6" s="1"/>
      <c r="N6" s="298"/>
      <c r="O6" s="298">
        <f t="shared" si="0"/>
        <v>0</v>
      </c>
      <c r="P6" s="298"/>
      <c r="Q6" s="1" t="str">
        <f>IFERROR(_xlfn.XLOOKUP(Table7[[#This Row],[Month]],'Modelling New'!$D:$D,'Modelling New'!$O:$O),"")</f>
        <v/>
      </c>
      <c r="R6" s="299" t="str">
        <f>IFERROR(Table7[[#This Row],[Loss of Capacity in KWp]]*Table7[[#This Row],[Lost POA]]*Table7[[#This Row],[Estimated PR % (Pvsyst)]],"")</f>
        <v/>
      </c>
      <c r="S6" s="1"/>
      <c r="T6" s="1"/>
      <c r="U6" s="300"/>
    </row>
    <row r="8" spans="1:21">
      <c r="R8" s="301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64"/>
  <sheetViews>
    <sheetView zoomScale="80" zoomScaleNormal="80" workbookViewId="0">
      <pane xSplit="2" ySplit="3" topLeftCell="F4" activePane="bottomRight" state="frozen"/>
      <selection pane="topRight" activeCell="G63" sqref="G63"/>
      <selection pane="bottomLeft" activeCell="G63" sqref="G63"/>
      <selection pane="bottomRight" activeCell="K12" sqref="K12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  <col min="10" max="10" width="9.81640625" customWidth="1"/>
  </cols>
  <sheetData>
    <row r="1" spans="2:26">
      <c r="B1" t="s">
        <v>330</v>
      </c>
      <c r="C1" s="4">
        <v>4650.1499999999996</v>
      </c>
      <c r="D1" s="4">
        <v>4662.4750000000004</v>
      </c>
      <c r="E1" s="4">
        <v>6555.45</v>
      </c>
      <c r="F1" s="4">
        <v>6571.4</v>
      </c>
      <c r="G1" s="4">
        <v>6571.4</v>
      </c>
      <c r="H1" s="4">
        <v>5097.91</v>
      </c>
      <c r="I1" s="4">
        <v>5104</v>
      </c>
    </row>
    <row r="2" spans="2:26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  <c r="J2">
        <f t="shared" ref="J2" si="1">I2+1</f>
        <v>15</v>
      </c>
    </row>
    <row r="3" spans="2:26" ht="21" customHeight="1">
      <c r="B3" s="198" t="s">
        <v>77</v>
      </c>
      <c r="C3" s="195" t="s">
        <v>469</v>
      </c>
      <c r="D3" s="195" t="s">
        <v>471</v>
      </c>
      <c r="E3" s="195" t="s">
        <v>473</v>
      </c>
      <c r="F3" s="195" t="s">
        <v>476</v>
      </c>
      <c r="G3" s="195" t="s">
        <v>478</v>
      </c>
      <c r="H3" s="195" t="s">
        <v>480</v>
      </c>
      <c r="I3" s="195" t="s">
        <v>482</v>
      </c>
      <c r="J3" s="195" t="s">
        <v>485</v>
      </c>
      <c r="K3" s="321" t="s">
        <v>487</v>
      </c>
      <c r="L3" s="321" t="s">
        <v>489</v>
      </c>
      <c r="M3" s="321" t="s">
        <v>607</v>
      </c>
      <c r="N3" s="321" t="s">
        <v>608</v>
      </c>
      <c r="O3" s="321" t="s">
        <v>609</v>
      </c>
      <c r="P3" s="321" t="s">
        <v>621</v>
      </c>
      <c r="Q3" s="321" t="s">
        <v>491</v>
      </c>
      <c r="R3" s="321" t="s">
        <v>493</v>
      </c>
      <c r="S3" s="321" t="s">
        <v>495</v>
      </c>
      <c r="T3" s="321" t="s">
        <v>610</v>
      </c>
      <c r="U3" s="321" t="s">
        <v>611</v>
      </c>
      <c r="V3" s="321" t="s">
        <v>612</v>
      </c>
      <c r="W3" s="321" t="s">
        <v>613</v>
      </c>
      <c r="X3" s="321" t="s">
        <v>614</v>
      </c>
      <c r="Y3" s="321" t="s">
        <v>615</v>
      </c>
      <c r="Z3" s="321" t="s">
        <v>716</v>
      </c>
    </row>
    <row r="4" spans="2:26">
      <c r="B4" s="199">
        <f t="shared" ref="B4" ca="1" si="2">TODAY()-60</f>
        <v>45792</v>
      </c>
      <c r="C4" s="200" t="str">
        <f ca="1">IFERROR(VLOOKUP($B4,RD[[#All],[Date]:[ISInv8]],C$2,0)/C$1,"")</f>
        <v/>
      </c>
      <c r="D4" s="200" t="str">
        <f ca="1">IFERROR(VLOOKUP($B4,RD[[#All],[Date]:[ISInv8]],D$2,0)/D$1,"")</f>
        <v/>
      </c>
      <c r="E4" s="200" t="str">
        <f ca="1">IFERROR(VLOOKUP($B4,RD[[#All],[Date]:[ISInv8]],E$2,0)/E$1,"")</f>
        <v/>
      </c>
      <c r="F4" s="200" t="str">
        <f ca="1">IFERROR(VLOOKUP($B4,RD[[#All],[Date]:[ISInv8]],F$2,0)/F$1,"")</f>
        <v/>
      </c>
      <c r="G4" s="200" t="str">
        <f ca="1">IFERROR(VLOOKUP($B4,RD[[#All],[Date]:[ISInv8]],G$2,0)/G$1,"")</f>
        <v/>
      </c>
      <c r="H4" s="200" t="str">
        <f ca="1">IFERROR(VLOOKUP($B4,RD[[#All],[Date]:[ISInv8]],H$2,0)/H$1,"")</f>
        <v/>
      </c>
      <c r="I4" s="200" t="str">
        <f ca="1">IFERROR(VLOOKUP($B4,RD[[#All],[Date]:[ISInv8]],I$2,0)/I$1,"")</f>
        <v/>
      </c>
      <c r="J4" s="200" t="str">
        <f ca="1">IFERROR(VLOOKUP($B4,RD[[#All],[Date]:[ISInv8]],J$2,0)/J$1,"")</f>
        <v/>
      </c>
      <c r="K4" s="200" t="str">
        <f ca="1">IFERROR(VLOOKUP($B4,RD[[#All],[Date]:[ISInv8]],K$2,0)/K$1,"")</f>
        <v/>
      </c>
      <c r="L4" s="200" t="str">
        <f ca="1">IFERROR(VLOOKUP($B4,RD[[#All],[Date]:[ISInv8]],L$2,0)/L$1,"")</f>
        <v/>
      </c>
      <c r="M4" s="200" t="str">
        <f ca="1">IFERROR(VLOOKUP($B4,RD[[#All],[Date]:[ISInv8]],M$2,0)/M$1,"")</f>
        <v/>
      </c>
      <c r="N4" s="200" t="str">
        <f ca="1">IFERROR(VLOOKUP($B4,RD[[#All],[Date]:[ISInv8]],N$2,0)/N$1,"")</f>
        <v/>
      </c>
      <c r="O4" s="200" t="str">
        <f ca="1">IFERROR(VLOOKUP($B4,RD[[#All],[Date]:[ISInv8]],O$2,0)/O$1,"")</f>
        <v/>
      </c>
      <c r="P4" s="200" t="str">
        <f ca="1">IFERROR(VLOOKUP($B4,RD[[#All],[Date]:[ISInv8]],P$2,0)/P$1,"")</f>
        <v/>
      </c>
      <c r="Q4" s="200" t="str">
        <f ca="1">IFERROR(VLOOKUP($B4,RD[[#All],[Date]:[ISInv8]],Q$2,0)/Q$1,"")</f>
        <v/>
      </c>
      <c r="R4" s="200" t="str">
        <f ca="1">IFERROR(VLOOKUP($B4,RD[[#All],[Date]:[ISInv8]],R$2,0)/R$1,"")</f>
        <v/>
      </c>
      <c r="S4" s="200" t="str">
        <f ca="1">IFERROR(VLOOKUP($B4,RD[[#All],[Date]:[ISInv8]],S$2,0)/S$1,"")</f>
        <v/>
      </c>
      <c r="T4" s="200" t="str">
        <f ca="1">IFERROR(VLOOKUP($B4,RD[[#All],[Date]:[ISInv8]],T$2,0)/T$1,"")</f>
        <v/>
      </c>
      <c r="U4" s="200" t="str">
        <f ca="1">IFERROR(VLOOKUP($B4,RD[[#All],[Date]:[ISInv8]],U$2,0)/U$1,"")</f>
        <v/>
      </c>
      <c r="V4" s="200" t="str">
        <f ca="1">IFERROR(VLOOKUP($B4,RD[[#All],[Date]:[ISInv8]],V$2,0)/V$1,"")</f>
        <v/>
      </c>
      <c r="W4" s="200" t="str">
        <f ca="1">IFERROR(VLOOKUP($B4,RD[[#All],[Date]:[ISInv8]],W$2,0)/W$1,"")</f>
        <v/>
      </c>
      <c r="X4" s="200" t="str">
        <f ca="1">IFERROR(VLOOKUP($B4,RD[[#All],[Date]:[ISInv8]],X$2,0)/X$1,"")</f>
        <v/>
      </c>
      <c r="Y4" s="200" t="str">
        <f ca="1">IFERROR(VLOOKUP($B4,RD[[#All],[Date]:[ISInv8]],Y$2,0)/Y$1,"")</f>
        <v/>
      </c>
      <c r="Z4" s="319" t="str">
        <f ca="1">IFERROR(AVERAGEIF(Inv_SY_B[[#This Row],[IS2Inv1M1]:[IS5Inv2M3]],"&lt;&gt;0",Inv_SY_B[[#This Row],[IS2Inv1M1]:[IS5Inv2M3]]),"")</f>
        <v/>
      </c>
    </row>
    <row r="5" spans="2:26">
      <c r="B5" s="199">
        <f ca="1">B4+1</f>
        <v>45793</v>
      </c>
      <c r="C5" s="200" t="str">
        <f ca="1">IFERROR(VLOOKUP($B5,RD[[#All],[Date]:[ISInv8]],C$2,0)/C$1,"")</f>
        <v/>
      </c>
      <c r="D5" s="200" t="str">
        <f ca="1">IFERROR(VLOOKUP($B5,RD[[#All],[Date]:[ISInv8]],D$2,0)/D$1,"")</f>
        <v/>
      </c>
      <c r="E5" s="200" t="str">
        <f ca="1">IFERROR(VLOOKUP($B5,RD[[#All],[Date]:[ISInv8]],E$2,0)/E$1,"")</f>
        <v/>
      </c>
      <c r="F5" s="200" t="str">
        <f ca="1">IFERROR(VLOOKUP($B5,RD[[#All],[Date]:[ISInv8]],F$2,0)/F$1,"")</f>
        <v/>
      </c>
      <c r="G5" s="200" t="str">
        <f ca="1">IFERROR(VLOOKUP($B5,RD[[#All],[Date]:[ISInv8]],G$2,0)/G$1,"")</f>
        <v/>
      </c>
      <c r="H5" s="200" t="str">
        <f ca="1">IFERROR(VLOOKUP($B5,RD[[#All],[Date]:[ISInv8]],H$2,0)/H$1,"")</f>
        <v/>
      </c>
      <c r="I5" s="200" t="str">
        <f ca="1">IFERROR(VLOOKUP($B5,RD[[#All],[Date]:[ISInv8]],I$2,0)/I$1,"")</f>
        <v/>
      </c>
      <c r="J5" s="200" t="str">
        <f ca="1">IFERROR(VLOOKUP($B5,RD[[#All],[Date]:[ISInv8]],J$2,0)/J$1,"")</f>
        <v/>
      </c>
      <c r="K5" s="200" t="str">
        <f ca="1">IFERROR(VLOOKUP($B5,RD[[#All],[Date]:[ISInv8]],K$2,0)/K$1,"")</f>
        <v/>
      </c>
      <c r="L5" s="200" t="str">
        <f ca="1">IFERROR(VLOOKUP($B5,RD[[#All],[Date]:[ISInv8]],L$2,0)/L$1,"")</f>
        <v/>
      </c>
      <c r="M5" s="200" t="str">
        <f ca="1">IFERROR(VLOOKUP($B5,RD[[#All],[Date]:[ISInv8]],M$2,0)/M$1,"")</f>
        <v/>
      </c>
      <c r="N5" s="200" t="str">
        <f ca="1">IFERROR(VLOOKUP($B5,RD[[#All],[Date]:[ISInv8]],N$2,0)/N$1,"")</f>
        <v/>
      </c>
      <c r="O5" s="200" t="str">
        <f ca="1">IFERROR(VLOOKUP($B5,RD[[#All],[Date]:[ISInv8]],O$2,0)/O$1,"")</f>
        <v/>
      </c>
      <c r="P5" s="200" t="str">
        <f ca="1">IFERROR(VLOOKUP($B5,RD[[#All],[Date]:[ISInv8]],P$2,0)/P$1,"")</f>
        <v/>
      </c>
      <c r="Q5" s="200" t="str">
        <f ca="1">IFERROR(VLOOKUP($B5,RD[[#All],[Date]:[ISInv8]],Q$2,0)/Q$1,"")</f>
        <v/>
      </c>
      <c r="R5" s="200" t="str">
        <f ca="1">IFERROR(VLOOKUP($B5,RD[[#All],[Date]:[ISInv8]],R$2,0)/R$1,"")</f>
        <v/>
      </c>
      <c r="S5" s="200" t="str">
        <f ca="1">IFERROR(VLOOKUP($B5,RD[[#All],[Date]:[ISInv8]],S$2,0)/S$1,"")</f>
        <v/>
      </c>
      <c r="T5" s="200" t="str">
        <f ca="1">IFERROR(VLOOKUP($B5,RD[[#All],[Date]:[ISInv8]],T$2,0)/T$1,"")</f>
        <v/>
      </c>
      <c r="U5" s="200" t="str">
        <f ca="1">IFERROR(VLOOKUP($B5,RD[[#All],[Date]:[ISInv8]],U$2,0)/U$1,"")</f>
        <v/>
      </c>
      <c r="V5" s="200" t="str">
        <f ca="1">IFERROR(VLOOKUP($B5,RD[[#All],[Date]:[ISInv8]],V$2,0)/V$1,"")</f>
        <v/>
      </c>
      <c r="W5" s="200" t="str">
        <f ca="1">IFERROR(VLOOKUP($B5,RD[[#All],[Date]:[ISInv8]],W$2,0)/W$1,"")</f>
        <v/>
      </c>
      <c r="X5" s="200" t="str">
        <f ca="1">IFERROR(VLOOKUP($B5,RD[[#All],[Date]:[ISInv8]],X$2,0)/X$1,"")</f>
        <v/>
      </c>
      <c r="Y5" s="200" t="str">
        <f ca="1">IFERROR(VLOOKUP($B5,RD[[#All],[Date]:[ISInv8]],Y$2,0)/Y$1,"")</f>
        <v/>
      </c>
      <c r="Z5" s="200" t="str">
        <f ca="1">IFERROR(AVERAGEIF(Inv_SY_B[[#This Row],[IS2Inv1M1]:[IS5Inv2M3]],"&lt;&gt;0",Inv_SY_B[[#This Row],[IS2Inv1M1]:[IS5Inv2M3]]),"")</f>
        <v/>
      </c>
    </row>
    <row r="6" spans="2:26">
      <c r="B6" s="199">
        <f t="shared" ref="B6:B64" ca="1" si="3">B5+1</f>
        <v>45794</v>
      </c>
      <c r="C6" s="200" t="str">
        <f ca="1">IFERROR(VLOOKUP($B6,RD[[#All],[Date]:[ISInv8]],C$2,0)/C$1,"")</f>
        <v/>
      </c>
      <c r="D6" s="200" t="str">
        <f ca="1">IFERROR(VLOOKUP($B6,RD[[#All],[Date]:[ISInv8]],D$2,0)/D$1,"")</f>
        <v/>
      </c>
      <c r="E6" s="200" t="str">
        <f ca="1">IFERROR(VLOOKUP($B6,RD[[#All],[Date]:[ISInv8]],E$2,0)/E$1,"")</f>
        <v/>
      </c>
      <c r="F6" s="200" t="str">
        <f ca="1">IFERROR(VLOOKUP($B6,RD[[#All],[Date]:[ISInv8]],F$2,0)/F$1,"")</f>
        <v/>
      </c>
      <c r="G6" s="200" t="str">
        <f ca="1">IFERROR(VLOOKUP($B6,RD[[#All],[Date]:[ISInv8]],G$2,0)/G$1,"")</f>
        <v/>
      </c>
      <c r="H6" s="200" t="str">
        <f ca="1">IFERROR(VLOOKUP($B6,RD[[#All],[Date]:[ISInv8]],H$2,0)/H$1,"")</f>
        <v/>
      </c>
      <c r="I6" s="200" t="str">
        <f ca="1">IFERROR(VLOOKUP($B6,RD[[#All],[Date]:[ISInv8]],I$2,0)/I$1,"")</f>
        <v/>
      </c>
      <c r="J6" s="200" t="str">
        <f ca="1">IFERROR(VLOOKUP($B6,RD[[#All],[Date]:[ISInv8]],J$2,0)/J$1,"")</f>
        <v/>
      </c>
      <c r="K6" s="200" t="str">
        <f ca="1">IFERROR(VLOOKUP($B6,RD[[#All],[Date]:[ISInv8]],K$2,0)/K$1,"")</f>
        <v/>
      </c>
      <c r="L6" s="200" t="str">
        <f ca="1">IFERROR(VLOOKUP($B6,RD[[#All],[Date]:[ISInv8]],L$2,0)/L$1,"")</f>
        <v/>
      </c>
      <c r="M6" s="200" t="str">
        <f ca="1">IFERROR(VLOOKUP($B6,RD[[#All],[Date]:[ISInv8]],M$2,0)/M$1,"")</f>
        <v/>
      </c>
      <c r="N6" s="200" t="str">
        <f ca="1">IFERROR(VLOOKUP($B6,RD[[#All],[Date]:[ISInv8]],N$2,0)/N$1,"")</f>
        <v/>
      </c>
      <c r="O6" s="200" t="str">
        <f ca="1">IFERROR(VLOOKUP($B6,RD[[#All],[Date]:[ISInv8]],O$2,0)/O$1,"")</f>
        <v/>
      </c>
      <c r="P6" s="200" t="str">
        <f ca="1">IFERROR(VLOOKUP($B6,RD[[#All],[Date]:[ISInv8]],P$2,0)/P$1,"")</f>
        <v/>
      </c>
      <c r="Q6" s="200" t="str">
        <f ca="1">IFERROR(VLOOKUP($B6,RD[[#All],[Date]:[ISInv8]],Q$2,0)/Q$1,"")</f>
        <v/>
      </c>
      <c r="R6" s="200" t="str">
        <f ca="1">IFERROR(VLOOKUP($B6,RD[[#All],[Date]:[ISInv8]],R$2,0)/R$1,"")</f>
        <v/>
      </c>
      <c r="S6" s="200" t="str">
        <f ca="1">IFERROR(VLOOKUP($B6,RD[[#All],[Date]:[ISInv8]],S$2,0)/S$1,"")</f>
        <v/>
      </c>
      <c r="T6" s="200" t="str">
        <f ca="1">IFERROR(VLOOKUP($B6,RD[[#All],[Date]:[ISInv8]],T$2,0)/T$1,"")</f>
        <v/>
      </c>
      <c r="U6" s="200" t="str">
        <f ca="1">IFERROR(VLOOKUP($B6,RD[[#All],[Date]:[ISInv8]],U$2,0)/U$1,"")</f>
        <v/>
      </c>
      <c r="V6" s="200" t="str">
        <f ca="1">IFERROR(VLOOKUP($B6,RD[[#All],[Date]:[ISInv8]],V$2,0)/V$1,"")</f>
        <v/>
      </c>
      <c r="W6" s="200" t="str">
        <f ca="1">IFERROR(VLOOKUP($B6,RD[[#All],[Date]:[ISInv8]],W$2,0)/W$1,"")</f>
        <v/>
      </c>
      <c r="X6" s="200" t="str">
        <f ca="1">IFERROR(VLOOKUP($B6,RD[[#All],[Date]:[ISInv8]],X$2,0)/X$1,"")</f>
        <v/>
      </c>
      <c r="Y6" s="200" t="str">
        <f ca="1">IFERROR(VLOOKUP($B6,RD[[#All],[Date]:[ISInv8]],Y$2,0)/Y$1,"")</f>
        <v/>
      </c>
      <c r="Z6" s="200" t="str">
        <f ca="1">IFERROR(AVERAGEIF(Inv_SY_B[[#This Row],[IS2Inv1M1]:[IS5Inv2M3]],"&lt;&gt;0",Inv_SY_B[[#This Row],[IS2Inv1M1]:[IS5Inv2M3]]),"")</f>
        <v/>
      </c>
    </row>
    <row r="7" spans="2:26">
      <c r="B7" s="199">
        <f t="shared" ca="1" si="3"/>
        <v>45795</v>
      </c>
      <c r="C7" s="200" t="str">
        <f ca="1">IFERROR(VLOOKUP($B7,RD[[#All],[Date]:[ISInv8]],C$2,0)/C$1,"")</f>
        <v/>
      </c>
      <c r="D7" s="200" t="str">
        <f ca="1">IFERROR(VLOOKUP($B7,RD[[#All],[Date]:[ISInv8]],D$2,0)/D$1,"")</f>
        <v/>
      </c>
      <c r="E7" s="200" t="str">
        <f ca="1">IFERROR(VLOOKUP($B7,RD[[#All],[Date]:[ISInv8]],E$2,0)/E$1,"")</f>
        <v/>
      </c>
      <c r="F7" s="200" t="str">
        <f ca="1">IFERROR(VLOOKUP($B7,RD[[#All],[Date]:[ISInv8]],F$2,0)/F$1,"")</f>
        <v/>
      </c>
      <c r="G7" s="200" t="str">
        <f ca="1">IFERROR(VLOOKUP($B7,RD[[#All],[Date]:[ISInv8]],G$2,0)/G$1,"")</f>
        <v/>
      </c>
      <c r="H7" s="200" t="str">
        <f ca="1">IFERROR(VLOOKUP($B7,RD[[#All],[Date]:[ISInv8]],H$2,0)/H$1,"")</f>
        <v/>
      </c>
      <c r="I7" s="200" t="str">
        <f ca="1">IFERROR(VLOOKUP($B7,RD[[#All],[Date]:[ISInv8]],I$2,0)/I$1,"")</f>
        <v/>
      </c>
      <c r="J7" s="200" t="str">
        <f ca="1">IFERROR(VLOOKUP($B7,RD[[#All],[Date]:[ISInv8]],J$2,0)/J$1,"")</f>
        <v/>
      </c>
      <c r="K7" s="200" t="str">
        <f ca="1">IFERROR(VLOOKUP($B7,RD[[#All],[Date]:[ISInv8]],K$2,0)/K$1,"")</f>
        <v/>
      </c>
      <c r="L7" s="200" t="str">
        <f ca="1">IFERROR(VLOOKUP($B7,RD[[#All],[Date]:[ISInv8]],L$2,0)/L$1,"")</f>
        <v/>
      </c>
      <c r="M7" s="200" t="str">
        <f ca="1">IFERROR(VLOOKUP($B7,RD[[#All],[Date]:[ISInv8]],M$2,0)/M$1,"")</f>
        <v/>
      </c>
      <c r="N7" s="200" t="str">
        <f ca="1">IFERROR(VLOOKUP($B7,RD[[#All],[Date]:[ISInv8]],N$2,0)/N$1,"")</f>
        <v/>
      </c>
      <c r="O7" s="200" t="str">
        <f ca="1">IFERROR(VLOOKUP($B7,RD[[#All],[Date]:[ISInv8]],O$2,0)/O$1,"")</f>
        <v/>
      </c>
      <c r="P7" s="200" t="str">
        <f ca="1">IFERROR(VLOOKUP($B7,RD[[#All],[Date]:[ISInv8]],P$2,0)/P$1,"")</f>
        <v/>
      </c>
      <c r="Q7" s="200" t="str">
        <f ca="1">IFERROR(VLOOKUP($B7,RD[[#All],[Date]:[ISInv8]],Q$2,0)/Q$1,"")</f>
        <v/>
      </c>
      <c r="R7" s="200" t="str">
        <f ca="1">IFERROR(VLOOKUP($B7,RD[[#All],[Date]:[ISInv8]],R$2,0)/R$1,"")</f>
        <v/>
      </c>
      <c r="S7" s="200" t="str">
        <f ca="1">IFERROR(VLOOKUP($B7,RD[[#All],[Date]:[ISInv8]],S$2,0)/S$1,"")</f>
        <v/>
      </c>
      <c r="T7" s="200" t="str">
        <f ca="1">IFERROR(VLOOKUP($B7,RD[[#All],[Date]:[ISInv8]],T$2,0)/T$1,"")</f>
        <v/>
      </c>
      <c r="U7" s="200" t="str">
        <f ca="1">IFERROR(VLOOKUP($B7,RD[[#All],[Date]:[ISInv8]],U$2,0)/U$1,"")</f>
        <v/>
      </c>
      <c r="V7" s="200" t="str">
        <f ca="1">IFERROR(VLOOKUP($B7,RD[[#All],[Date]:[ISInv8]],V$2,0)/V$1,"")</f>
        <v/>
      </c>
      <c r="W7" s="200" t="str">
        <f ca="1">IFERROR(VLOOKUP($B7,RD[[#All],[Date]:[ISInv8]],W$2,0)/W$1,"")</f>
        <v/>
      </c>
      <c r="X7" s="200" t="str">
        <f ca="1">IFERROR(VLOOKUP($B7,RD[[#All],[Date]:[ISInv8]],X$2,0)/X$1,"")</f>
        <v/>
      </c>
      <c r="Y7" s="200" t="str">
        <f ca="1">IFERROR(VLOOKUP($B7,RD[[#All],[Date]:[ISInv8]],Y$2,0)/Y$1,"")</f>
        <v/>
      </c>
      <c r="Z7" s="200" t="str">
        <f ca="1">IFERROR(AVERAGEIF(Inv_SY_B[[#This Row],[IS2Inv1M1]:[IS5Inv2M3]],"&lt;&gt;0",Inv_SY_B[[#This Row],[IS2Inv1M1]:[IS5Inv2M3]]),"")</f>
        <v/>
      </c>
    </row>
    <row r="8" spans="2:26">
      <c r="B8" s="199">
        <f t="shared" ca="1" si="3"/>
        <v>45796</v>
      </c>
      <c r="C8" s="200" t="str">
        <f ca="1">IFERROR(VLOOKUP($B8,RD[[#All],[Date]:[ISInv8]],C$2,0)/C$1,"")</f>
        <v/>
      </c>
      <c r="D8" s="200" t="str">
        <f ca="1">IFERROR(VLOOKUP($B8,RD[[#All],[Date]:[ISInv8]],D$2,0)/D$1,"")</f>
        <v/>
      </c>
      <c r="E8" s="200" t="str">
        <f ca="1">IFERROR(VLOOKUP($B8,RD[[#All],[Date]:[ISInv8]],E$2,0)/E$1,"")</f>
        <v/>
      </c>
      <c r="F8" s="200" t="str">
        <f ca="1">IFERROR(VLOOKUP($B8,RD[[#All],[Date]:[ISInv8]],F$2,0)/F$1,"")</f>
        <v/>
      </c>
      <c r="G8" s="200" t="str">
        <f ca="1">IFERROR(VLOOKUP($B8,RD[[#All],[Date]:[ISInv8]],G$2,0)/G$1,"")</f>
        <v/>
      </c>
      <c r="H8" s="200" t="str">
        <f ca="1">IFERROR(VLOOKUP($B8,RD[[#All],[Date]:[ISInv8]],H$2,0)/H$1,"")</f>
        <v/>
      </c>
      <c r="I8" s="200" t="str">
        <f ca="1">IFERROR(VLOOKUP($B8,RD[[#All],[Date]:[ISInv8]],I$2,0)/I$1,"")</f>
        <v/>
      </c>
      <c r="J8" s="200" t="str">
        <f ca="1">IFERROR(VLOOKUP($B8,RD[[#All],[Date]:[ISInv8]],J$2,0)/J$1,"")</f>
        <v/>
      </c>
      <c r="K8" s="200" t="str">
        <f ca="1">IFERROR(VLOOKUP($B8,RD[[#All],[Date]:[ISInv8]],K$2,0)/K$1,"")</f>
        <v/>
      </c>
      <c r="L8" s="200" t="str">
        <f ca="1">IFERROR(VLOOKUP($B8,RD[[#All],[Date]:[ISInv8]],L$2,0)/L$1,"")</f>
        <v/>
      </c>
      <c r="M8" s="200" t="str">
        <f ca="1">IFERROR(VLOOKUP($B8,RD[[#All],[Date]:[ISInv8]],M$2,0)/M$1,"")</f>
        <v/>
      </c>
      <c r="N8" s="200" t="str">
        <f ca="1">IFERROR(VLOOKUP($B8,RD[[#All],[Date]:[ISInv8]],N$2,0)/N$1,"")</f>
        <v/>
      </c>
      <c r="O8" s="200" t="str">
        <f ca="1">IFERROR(VLOOKUP($B8,RD[[#All],[Date]:[ISInv8]],O$2,0)/O$1,"")</f>
        <v/>
      </c>
      <c r="P8" s="200" t="str">
        <f ca="1">IFERROR(VLOOKUP($B8,RD[[#All],[Date]:[ISInv8]],P$2,0)/P$1,"")</f>
        <v/>
      </c>
      <c r="Q8" s="200" t="str">
        <f ca="1">IFERROR(VLOOKUP($B8,RD[[#All],[Date]:[ISInv8]],Q$2,0)/Q$1,"")</f>
        <v/>
      </c>
      <c r="R8" s="200" t="str">
        <f ca="1">IFERROR(VLOOKUP($B8,RD[[#All],[Date]:[ISInv8]],R$2,0)/R$1,"")</f>
        <v/>
      </c>
      <c r="S8" s="200" t="str">
        <f ca="1">IFERROR(VLOOKUP($B8,RD[[#All],[Date]:[ISInv8]],S$2,0)/S$1,"")</f>
        <v/>
      </c>
      <c r="T8" s="200" t="str">
        <f ca="1">IFERROR(VLOOKUP($B8,RD[[#All],[Date]:[ISInv8]],T$2,0)/T$1,"")</f>
        <v/>
      </c>
      <c r="U8" s="200" t="str">
        <f ca="1">IFERROR(VLOOKUP($B8,RD[[#All],[Date]:[ISInv8]],U$2,0)/U$1,"")</f>
        <v/>
      </c>
      <c r="V8" s="200" t="str">
        <f ca="1">IFERROR(VLOOKUP($B8,RD[[#All],[Date]:[ISInv8]],V$2,0)/V$1,"")</f>
        <v/>
      </c>
      <c r="W8" s="200" t="str">
        <f ca="1">IFERROR(VLOOKUP($B8,RD[[#All],[Date]:[ISInv8]],W$2,0)/W$1,"")</f>
        <v/>
      </c>
      <c r="X8" s="200" t="str">
        <f ca="1">IFERROR(VLOOKUP($B8,RD[[#All],[Date]:[ISInv8]],X$2,0)/X$1,"")</f>
        <v/>
      </c>
      <c r="Y8" s="200" t="str">
        <f ca="1">IFERROR(VLOOKUP($B8,RD[[#All],[Date]:[ISInv8]],Y$2,0)/Y$1,"")</f>
        <v/>
      </c>
      <c r="Z8" s="200" t="str">
        <f ca="1">IFERROR(AVERAGEIF(Inv_SY_B[[#This Row],[IS2Inv1M1]:[IS5Inv2M3]],"&lt;&gt;0",Inv_SY_B[[#This Row],[IS2Inv1M1]:[IS5Inv2M3]]),"")</f>
        <v/>
      </c>
    </row>
    <row r="9" spans="2:26">
      <c r="B9" s="199">
        <f t="shared" ca="1" si="3"/>
        <v>45797</v>
      </c>
      <c r="C9" s="200" t="str">
        <f ca="1">IFERROR(VLOOKUP($B9,RD[[#All],[Date]:[ISInv8]],C$2,0)/C$1,"")</f>
        <v/>
      </c>
      <c r="D9" s="200" t="str">
        <f ca="1">IFERROR(VLOOKUP($B9,RD[[#All],[Date]:[ISInv8]],D$2,0)/D$1,"")</f>
        <v/>
      </c>
      <c r="E9" s="200" t="str">
        <f ca="1">IFERROR(VLOOKUP($B9,RD[[#All],[Date]:[ISInv8]],E$2,0)/E$1,"")</f>
        <v/>
      </c>
      <c r="F9" s="200" t="str">
        <f ca="1">IFERROR(VLOOKUP($B9,RD[[#All],[Date]:[ISInv8]],F$2,0)/F$1,"")</f>
        <v/>
      </c>
      <c r="G9" s="200" t="str">
        <f ca="1">IFERROR(VLOOKUP($B9,RD[[#All],[Date]:[ISInv8]],G$2,0)/G$1,"")</f>
        <v/>
      </c>
      <c r="H9" s="200" t="str">
        <f ca="1">IFERROR(VLOOKUP($B9,RD[[#All],[Date]:[ISInv8]],H$2,0)/H$1,"")</f>
        <v/>
      </c>
      <c r="I9" s="200" t="str">
        <f ca="1">IFERROR(VLOOKUP($B9,RD[[#All],[Date]:[ISInv8]],I$2,0)/I$1,"")</f>
        <v/>
      </c>
      <c r="J9" s="200" t="str">
        <f ca="1">IFERROR(VLOOKUP($B9,RD[[#All],[Date]:[ISInv8]],J$2,0)/J$1,"")</f>
        <v/>
      </c>
      <c r="K9" s="200" t="str">
        <f ca="1">IFERROR(VLOOKUP($B9,RD[[#All],[Date]:[ISInv8]],K$2,0)/K$1,"")</f>
        <v/>
      </c>
      <c r="L9" s="200" t="str">
        <f ca="1">IFERROR(VLOOKUP($B9,RD[[#All],[Date]:[ISInv8]],L$2,0)/L$1,"")</f>
        <v/>
      </c>
      <c r="M9" s="200" t="str">
        <f ca="1">IFERROR(VLOOKUP($B9,RD[[#All],[Date]:[ISInv8]],M$2,0)/M$1,"")</f>
        <v/>
      </c>
      <c r="N9" s="200" t="str">
        <f ca="1">IFERROR(VLOOKUP($B9,RD[[#All],[Date]:[ISInv8]],N$2,0)/N$1,"")</f>
        <v/>
      </c>
      <c r="O9" s="200" t="str">
        <f ca="1">IFERROR(VLOOKUP($B9,RD[[#All],[Date]:[ISInv8]],O$2,0)/O$1,"")</f>
        <v/>
      </c>
      <c r="P9" s="200" t="str">
        <f ca="1">IFERROR(VLOOKUP($B9,RD[[#All],[Date]:[ISInv8]],P$2,0)/P$1,"")</f>
        <v/>
      </c>
      <c r="Q9" s="200" t="str">
        <f ca="1">IFERROR(VLOOKUP($B9,RD[[#All],[Date]:[ISInv8]],Q$2,0)/Q$1,"")</f>
        <v/>
      </c>
      <c r="R9" s="200" t="str">
        <f ca="1">IFERROR(VLOOKUP($B9,RD[[#All],[Date]:[ISInv8]],R$2,0)/R$1,"")</f>
        <v/>
      </c>
      <c r="S9" s="200" t="str">
        <f ca="1">IFERROR(VLOOKUP($B9,RD[[#All],[Date]:[ISInv8]],S$2,0)/S$1,"")</f>
        <v/>
      </c>
      <c r="T9" s="200" t="str">
        <f ca="1">IFERROR(VLOOKUP($B9,RD[[#All],[Date]:[ISInv8]],T$2,0)/T$1,"")</f>
        <v/>
      </c>
      <c r="U9" s="200" t="str">
        <f ca="1">IFERROR(VLOOKUP($B9,RD[[#All],[Date]:[ISInv8]],U$2,0)/U$1,"")</f>
        <v/>
      </c>
      <c r="V9" s="200" t="str">
        <f ca="1">IFERROR(VLOOKUP($B9,RD[[#All],[Date]:[ISInv8]],V$2,0)/V$1,"")</f>
        <v/>
      </c>
      <c r="W9" s="200" t="str">
        <f ca="1">IFERROR(VLOOKUP($B9,RD[[#All],[Date]:[ISInv8]],W$2,0)/W$1,"")</f>
        <v/>
      </c>
      <c r="X9" s="200" t="str">
        <f ca="1">IFERROR(VLOOKUP($B9,RD[[#All],[Date]:[ISInv8]],X$2,0)/X$1,"")</f>
        <v/>
      </c>
      <c r="Y9" s="200" t="str">
        <f ca="1">IFERROR(VLOOKUP($B9,RD[[#All],[Date]:[ISInv8]],Y$2,0)/Y$1,"")</f>
        <v/>
      </c>
      <c r="Z9" s="200" t="str">
        <f ca="1">IFERROR(AVERAGEIF(Inv_SY_B[[#This Row],[IS2Inv1M1]:[IS5Inv2M3]],"&lt;&gt;0",Inv_SY_B[[#This Row],[IS2Inv1M1]:[IS5Inv2M3]]),"")</f>
        <v/>
      </c>
    </row>
    <row r="10" spans="2:26">
      <c r="B10" s="199">
        <f t="shared" ca="1" si="3"/>
        <v>45798</v>
      </c>
      <c r="C10" s="200" t="str">
        <f ca="1">IFERROR(VLOOKUP($B10,RD[[#All],[Date]:[ISInv8]],C$2,0)/C$1,"")</f>
        <v/>
      </c>
      <c r="D10" s="200" t="str">
        <f ca="1">IFERROR(VLOOKUP($B10,RD[[#All],[Date]:[ISInv8]],D$2,0)/D$1,"")</f>
        <v/>
      </c>
      <c r="E10" s="200" t="str">
        <f ca="1">IFERROR(VLOOKUP($B10,RD[[#All],[Date]:[ISInv8]],E$2,0)/E$1,"")</f>
        <v/>
      </c>
      <c r="F10" s="200" t="str">
        <f ca="1">IFERROR(VLOOKUP($B10,RD[[#All],[Date]:[ISInv8]],F$2,0)/F$1,"")</f>
        <v/>
      </c>
      <c r="G10" s="200" t="str">
        <f ca="1">IFERROR(VLOOKUP($B10,RD[[#All],[Date]:[ISInv8]],G$2,0)/G$1,"")</f>
        <v/>
      </c>
      <c r="H10" s="200" t="str">
        <f ca="1">IFERROR(VLOOKUP($B10,RD[[#All],[Date]:[ISInv8]],H$2,0)/H$1,"")</f>
        <v/>
      </c>
      <c r="I10" s="200" t="str">
        <f ca="1">IFERROR(VLOOKUP($B10,RD[[#All],[Date]:[ISInv8]],I$2,0)/I$1,"")</f>
        <v/>
      </c>
      <c r="J10" s="200" t="str">
        <f ca="1">IFERROR(VLOOKUP($B10,RD[[#All],[Date]:[ISInv8]],J$2,0)/J$1,"")</f>
        <v/>
      </c>
      <c r="K10" s="200" t="str">
        <f ca="1">IFERROR(VLOOKUP($B10,RD[[#All],[Date]:[ISInv8]],K$2,0)/K$1,"")</f>
        <v/>
      </c>
      <c r="L10" s="200" t="str">
        <f ca="1">IFERROR(VLOOKUP($B10,RD[[#All],[Date]:[ISInv8]],L$2,0)/L$1,"")</f>
        <v/>
      </c>
      <c r="M10" s="200" t="str">
        <f ca="1">IFERROR(VLOOKUP($B10,RD[[#All],[Date]:[ISInv8]],M$2,0)/M$1,"")</f>
        <v/>
      </c>
      <c r="N10" s="200" t="str">
        <f ca="1">IFERROR(VLOOKUP($B10,RD[[#All],[Date]:[ISInv8]],N$2,0)/N$1,"")</f>
        <v/>
      </c>
      <c r="O10" s="200" t="str">
        <f ca="1">IFERROR(VLOOKUP($B10,RD[[#All],[Date]:[ISInv8]],O$2,0)/O$1,"")</f>
        <v/>
      </c>
      <c r="P10" s="200" t="str">
        <f ca="1">IFERROR(VLOOKUP($B10,RD[[#All],[Date]:[ISInv8]],P$2,0)/P$1,"")</f>
        <v/>
      </c>
      <c r="Q10" s="200" t="str">
        <f ca="1">IFERROR(VLOOKUP($B10,RD[[#All],[Date]:[ISInv8]],Q$2,0)/Q$1,"")</f>
        <v/>
      </c>
      <c r="R10" s="200" t="str">
        <f ca="1">IFERROR(VLOOKUP($B10,RD[[#All],[Date]:[ISInv8]],R$2,0)/R$1,"")</f>
        <v/>
      </c>
      <c r="S10" s="200" t="str">
        <f ca="1">IFERROR(VLOOKUP($B10,RD[[#All],[Date]:[ISInv8]],S$2,0)/S$1,"")</f>
        <v/>
      </c>
      <c r="T10" s="200" t="str">
        <f ca="1">IFERROR(VLOOKUP($B10,RD[[#All],[Date]:[ISInv8]],T$2,0)/T$1,"")</f>
        <v/>
      </c>
      <c r="U10" s="200" t="str">
        <f ca="1">IFERROR(VLOOKUP($B10,RD[[#All],[Date]:[ISInv8]],U$2,0)/U$1,"")</f>
        <v/>
      </c>
      <c r="V10" s="200" t="str">
        <f ca="1">IFERROR(VLOOKUP($B10,RD[[#All],[Date]:[ISInv8]],V$2,0)/V$1,"")</f>
        <v/>
      </c>
      <c r="W10" s="200" t="str">
        <f ca="1">IFERROR(VLOOKUP($B10,RD[[#All],[Date]:[ISInv8]],W$2,0)/W$1,"")</f>
        <v/>
      </c>
      <c r="X10" s="200" t="str">
        <f ca="1">IFERROR(VLOOKUP($B10,RD[[#All],[Date]:[ISInv8]],X$2,0)/X$1,"")</f>
        <v/>
      </c>
      <c r="Y10" s="200" t="str">
        <f ca="1">IFERROR(VLOOKUP($B10,RD[[#All],[Date]:[ISInv8]],Y$2,0)/Y$1,"")</f>
        <v/>
      </c>
      <c r="Z10" s="200" t="str">
        <f ca="1">IFERROR(AVERAGEIF(Inv_SY_B[[#This Row],[IS2Inv1M1]:[IS5Inv2M3]],"&lt;&gt;0",Inv_SY_B[[#This Row],[IS2Inv1M1]:[IS5Inv2M3]]),"")</f>
        <v/>
      </c>
    </row>
    <row r="11" spans="2:26">
      <c r="B11" s="199">
        <f t="shared" ca="1" si="3"/>
        <v>45799</v>
      </c>
      <c r="C11" s="200" t="str">
        <f ca="1">IFERROR(VLOOKUP($B11,RD[[#All],[Date]:[ISInv8]],C$2,0)/C$1,"")</f>
        <v/>
      </c>
      <c r="D11" s="200" t="str">
        <f ca="1">IFERROR(VLOOKUP($B11,RD[[#All],[Date]:[ISInv8]],D$2,0)/D$1,"")</f>
        <v/>
      </c>
      <c r="E11" s="200" t="str">
        <f ca="1">IFERROR(VLOOKUP($B11,RD[[#All],[Date]:[ISInv8]],E$2,0)/E$1,"")</f>
        <v/>
      </c>
      <c r="F11" s="200" t="str">
        <f ca="1">IFERROR(VLOOKUP($B11,RD[[#All],[Date]:[ISInv8]],F$2,0)/F$1,"")</f>
        <v/>
      </c>
      <c r="G11" s="200" t="str">
        <f ca="1">IFERROR(VLOOKUP($B11,RD[[#All],[Date]:[ISInv8]],G$2,0)/G$1,"")</f>
        <v/>
      </c>
      <c r="H11" s="200" t="str">
        <f ca="1">IFERROR(VLOOKUP($B11,RD[[#All],[Date]:[ISInv8]],H$2,0)/H$1,"")</f>
        <v/>
      </c>
      <c r="I11" s="200" t="str">
        <f ca="1">IFERROR(VLOOKUP($B11,RD[[#All],[Date]:[ISInv8]],I$2,0)/I$1,"")</f>
        <v/>
      </c>
      <c r="J11" s="200" t="str">
        <f ca="1">IFERROR(VLOOKUP($B11,RD[[#All],[Date]:[ISInv8]],J$2,0)/J$1,"")</f>
        <v/>
      </c>
      <c r="K11" s="200" t="str">
        <f ca="1">IFERROR(VLOOKUP($B11,RD[[#All],[Date]:[ISInv8]],K$2,0)/K$1,"")</f>
        <v/>
      </c>
      <c r="L11" s="200" t="str">
        <f ca="1">IFERROR(VLOOKUP($B11,RD[[#All],[Date]:[ISInv8]],L$2,0)/L$1,"")</f>
        <v/>
      </c>
      <c r="M11" s="200" t="str">
        <f ca="1">IFERROR(VLOOKUP($B11,RD[[#All],[Date]:[ISInv8]],M$2,0)/M$1,"")</f>
        <v/>
      </c>
      <c r="N11" s="200" t="str">
        <f ca="1">IFERROR(VLOOKUP($B11,RD[[#All],[Date]:[ISInv8]],N$2,0)/N$1,"")</f>
        <v/>
      </c>
      <c r="O11" s="200" t="str">
        <f ca="1">IFERROR(VLOOKUP($B11,RD[[#All],[Date]:[ISInv8]],O$2,0)/O$1,"")</f>
        <v/>
      </c>
      <c r="P11" s="200" t="str">
        <f ca="1">IFERROR(VLOOKUP($B11,RD[[#All],[Date]:[ISInv8]],P$2,0)/P$1,"")</f>
        <v/>
      </c>
      <c r="Q11" s="200" t="str">
        <f ca="1">IFERROR(VLOOKUP($B11,RD[[#All],[Date]:[ISInv8]],Q$2,0)/Q$1,"")</f>
        <v/>
      </c>
      <c r="R11" s="200" t="str">
        <f ca="1">IFERROR(VLOOKUP($B11,RD[[#All],[Date]:[ISInv8]],R$2,0)/R$1,"")</f>
        <v/>
      </c>
      <c r="S11" s="200" t="str">
        <f ca="1">IFERROR(VLOOKUP($B11,RD[[#All],[Date]:[ISInv8]],S$2,0)/S$1,"")</f>
        <v/>
      </c>
      <c r="T11" s="200" t="str">
        <f ca="1">IFERROR(VLOOKUP($B11,RD[[#All],[Date]:[ISInv8]],T$2,0)/T$1,"")</f>
        <v/>
      </c>
      <c r="U11" s="200" t="str">
        <f ca="1">IFERROR(VLOOKUP($B11,RD[[#All],[Date]:[ISInv8]],U$2,0)/U$1,"")</f>
        <v/>
      </c>
      <c r="V11" s="200" t="str">
        <f ca="1">IFERROR(VLOOKUP($B11,RD[[#All],[Date]:[ISInv8]],V$2,0)/V$1,"")</f>
        <v/>
      </c>
      <c r="W11" s="200" t="str">
        <f ca="1">IFERROR(VLOOKUP($B11,RD[[#All],[Date]:[ISInv8]],W$2,0)/W$1,"")</f>
        <v/>
      </c>
      <c r="X11" s="200" t="str">
        <f ca="1">IFERROR(VLOOKUP($B11,RD[[#All],[Date]:[ISInv8]],X$2,0)/X$1,"")</f>
        <v/>
      </c>
      <c r="Y11" s="200" t="str">
        <f ca="1">IFERROR(VLOOKUP($B11,RD[[#All],[Date]:[ISInv8]],Y$2,0)/Y$1,"")</f>
        <v/>
      </c>
      <c r="Z11" s="200" t="str">
        <f ca="1">IFERROR(AVERAGEIF(Inv_SY_B[[#This Row],[IS2Inv1M1]:[IS5Inv2M3]],"&lt;&gt;0",Inv_SY_B[[#This Row],[IS2Inv1M1]:[IS5Inv2M3]]),"")</f>
        <v/>
      </c>
    </row>
    <row r="12" spans="2:26">
      <c r="B12" s="199">
        <f t="shared" ca="1" si="3"/>
        <v>45800</v>
      </c>
      <c r="C12" s="200" t="str">
        <f ca="1">IFERROR(VLOOKUP($B12,RD[[#All],[Date]:[ISInv8]],C$2,0)/C$1,"")</f>
        <v/>
      </c>
      <c r="D12" s="200" t="str">
        <f ca="1">IFERROR(VLOOKUP($B12,RD[[#All],[Date]:[ISInv8]],D$2,0)/D$1,"")</f>
        <v/>
      </c>
      <c r="E12" s="200" t="str">
        <f ca="1">IFERROR(VLOOKUP($B12,RD[[#All],[Date]:[ISInv8]],E$2,0)/E$1,"")</f>
        <v/>
      </c>
      <c r="F12" s="200" t="str">
        <f ca="1">IFERROR(VLOOKUP($B12,RD[[#All],[Date]:[ISInv8]],F$2,0)/F$1,"")</f>
        <v/>
      </c>
      <c r="G12" s="200" t="str">
        <f ca="1">IFERROR(VLOOKUP($B12,RD[[#All],[Date]:[ISInv8]],G$2,0)/G$1,"")</f>
        <v/>
      </c>
      <c r="H12" s="200" t="str">
        <f ca="1">IFERROR(VLOOKUP($B12,RD[[#All],[Date]:[ISInv8]],H$2,0)/H$1,"")</f>
        <v/>
      </c>
      <c r="I12" s="200" t="str">
        <f ca="1">IFERROR(VLOOKUP($B12,RD[[#All],[Date]:[ISInv8]],I$2,0)/I$1,"")</f>
        <v/>
      </c>
      <c r="J12" s="200" t="str">
        <f ca="1">IFERROR(VLOOKUP($B12,RD[[#All],[Date]:[ISInv8]],J$2,0)/J$1,"")</f>
        <v/>
      </c>
      <c r="K12" s="200" t="str">
        <f ca="1">IFERROR(VLOOKUP($B12,RD[[#All],[Date]:[ISInv8]],K$2,0)/K$1,"")</f>
        <v/>
      </c>
      <c r="L12" s="200" t="str">
        <f ca="1">IFERROR(VLOOKUP($B12,RD[[#All],[Date]:[ISInv8]],L$2,0)/L$1,"")</f>
        <v/>
      </c>
      <c r="M12" s="200" t="str">
        <f ca="1">IFERROR(VLOOKUP($B12,RD[[#All],[Date]:[ISInv8]],M$2,0)/M$1,"")</f>
        <v/>
      </c>
      <c r="N12" s="200" t="str">
        <f ca="1">IFERROR(VLOOKUP($B12,RD[[#All],[Date]:[ISInv8]],N$2,0)/N$1,"")</f>
        <v/>
      </c>
      <c r="O12" s="200" t="str">
        <f ca="1">IFERROR(VLOOKUP($B12,RD[[#All],[Date]:[ISInv8]],O$2,0)/O$1,"")</f>
        <v/>
      </c>
      <c r="P12" s="200" t="str">
        <f ca="1">IFERROR(VLOOKUP($B12,RD[[#All],[Date]:[ISInv8]],P$2,0)/P$1,"")</f>
        <v/>
      </c>
      <c r="Q12" s="200" t="str">
        <f ca="1">IFERROR(VLOOKUP($B12,RD[[#All],[Date]:[ISInv8]],Q$2,0)/Q$1,"")</f>
        <v/>
      </c>
      <c r="R12" s="200" t="str">
        <f ca="1">IFERROR(VLOOKUP($B12,RD[[#All],[Date]:[ISInv8]],R$2,0)/R$1,"")</f>
        <v/>
      </c>
      <c r="S12" s="200" t="str">
        <f ca="1">IFERROR(VLOOKUP($B12,RD[[#All],[Date]:[ISInv8]],S$2,0)/S$1,"")</f>
        <v/>
      </c>
      <c r="T12" s="200" t="str">
        <f ca="1">IFERROR(VLOOKUP($B12,RD[[#All],[Date]:[ISInv8]],T$2,0)/T$1,"")</f>
        <v/>
      </c>
      <c r="U12" s="200" t="str">
        <f ca="1">IFERROR(VLOOKUP($B12,RD[[#All],[Date]:[ISInv8]],U$2,0)/U$1,"")</f>
        <v/>
      </c>
      <c r="V12" s="200" t="str">
        <f ca="1">IFERROR(VLOOKUP($B12,RD[[#All],[Date]:[ISInv8]],V$2,0)/V$1,"")</f>
        <v/>
      </c>
      <c r="W12" s="200" t="str">
        <f ca="1">IFERROR(VLOOKUP($B12,RD[[#All],[Date]:[ISInv8]],W$2,0)/W$1,"")</f>
        <v/>
      </c>
      <c r="X12" s="200" t="str">
        <f ca="1">IFERROR(VLOOKUP($B12,RD[[#All],[Date]:[ISInv8]],X$2,0)/X$1,"")</f>
        <v/>
      </c>
      <c r="Y12" s="200" t="str">
        <f ca="1">IFERROR(VLOOKUP($B12,RD[[#All],[Date]:[ISInv8]],Y$2,0)/Y$1,"")</f>
        <v/>
      </c>
      <c r="Z12" s="200" t="str">
        <f ca="1">IFERROR(AVERAGEIF(Inv_SY_B[[#This Row],[IS2Inv1M1]:[IS5Inv2M3]],"&lt;&gt;0",Inv_SY_B[[#This Row],[IS2Inv1M1]:[IS5Inv2M3]]),"")</f>
        <v/>
      </c>
    </row>
    <row r="13" spans="2:26">
      <c r="B13" s="199">
        <f t="shared" ca="1" si="3"/>
        <v>45801</v>
      </c>
      <c r="C13" s="200" t="str">
        <f ca="1">IFERROR(VLOOKUP($B13,RD[[#All],[Date]:[ISInv8]],C$2,0)/C$1,"")</f>
        <v/>
      </c>
      <c r="D13" s="200" t="str">
        <f ca="1">IFERROR(VLOOKUP($B13,RD[[#All],[Date]:[ISInv8]],D$2,0)/D$1,"")</f>
        <v/>
      </c>
      <c r="E13" s="200" t="str">
        <f ca="1">IFERROR(VLOOKUP($B13,RD[[#All],[Date]:[ISInv8]],E$2,0)/E$1,"")</f>
        <v/>
      </c>
      <c r="F13" s="200" t="str">
        <f ca="1">IFERROR(VLOOKUP($B13,RD[[#All],[Date]:[ISInv8]],F$2,0)/F$1,"")</f>
        <v/>
      </c>
      <c r="G13" s="200" t="str">
        <f ca="1">IFERROR(VLOOKUP($B13,RD[[#All],[Date]:[ISInv8]],G$2,0)/G$1,"")</f>
        <v/>
      </c>
      <c r="H13" s="200" t="str">
        <f ca="1">IFERROR(VLOOKUP($B13,RD[[#All],[Date]:[ISInv8]],H$2,0)/H$1,"")</f>
        <v/>
      </c>
      <c r="I13" s="200" t="str">
        <f ca="1">IFERROR(VLOOKUP($B13,RD[[#All],[Date]:[ISInv8]],I$2,0)/I$1,"")</f>
        <v/>
      </c>
      <c r="J13" s="200" t="str">
        <f ca="1">IFERROR(VLOOKUP($B13,RD[[#All],[Date]:[ISInv8]],J$2,0)/J$1,"")</f>
        <v/>
      </c>
      <c r="K13" s="200" t="str">
        <f ca="1">IFERROR(VLOOKUP($B13,RD[[#All],[Date]:[ISInv8]],K$2,0)/K$1,"")</f>
        <v/>
      </c>
      <c r="L13" s="200" t="str">
        <f ca="1">IFERROR(VLOOKUP($B13,RD[[#All],[Date]:[ISInv8]],L$2,0)/L$1,"")</f>
        <v/>
      </c>
      <c r="M13" s="200" t="str">
        <f ca="1">IFERROR(VLOOKUP($B13,RD[[#All],[Date]:[ISInv8]],M$2,0)/M$1,"")</f>
        <v/>
      </c>
      <c r="N13" s="200" t="str">
        <f ca="1">IFERROR(VLOOKUP($B13,RD[[#All],[Date]:[ISInv8]],N$2,0)/N$1,"")</f>
        <v/>
      </c>
      <c r="O13" s="200" t="str">
        <f ca="1">IFERROR(VLOOKUP($B13,RD[[#All],[Date]:[ISInv8]],O$2,0)/O$1,"")</f>
        <v/>
      </c>
      <c r="P13" s="200" t="str">
        <f ca="1">IFERROR(VLOOKUP($B13,RD[[#All],[Date]:[ISInv8]],P$2,0)/P$1,"")</f>
        <v/>
      </c>
      <c r="Q13" s="200" t="str">
        <f ca="1">IFERROR(VLOOKUP($B13,RD[[#All],[Date]:[ISInv8]],Q$2,0)/Q$1,"")</f>
        <v/>
      </c>
      <c r="R13" s="200" t="str">
        <f ca="1">IFERROR(VLOOKUP($B13,RD[[#All],[Date]:[ISInv8]],R$2,0)/R$1,"")</f>
        <v/>
      </c>
      <c r="S13" s="200" t="str">
        <f ca="1">IFERROR(VLOOKUP($B13,RD[[#All],[Date]:[ISInv8]],S$2,0)/S$1,"")</f>
        <v/>
      </c>
      <c r="T13" s="200" t="str">
        <f ca="1">IFERROR(VLOOKUP($B13,RD[[#All],[Date]:[ISInv8]],T$2,0)/T$1,"")</f>
        <v/>
      </c>
      <c r="U13" s="200" t="str">
        <f ca="1">IFERROR(VLOOKUP($B13,RD[[#All],[Date]:[ISInv8]],U$2,0)/U$1,"")</f>
        <v/>
      </c>
      <c r="V13" s="200" t="str">
        <f ca="1">IFERROR(VLOOKUP($B13,RD[[#All],[Date]:[ISInv8]],V$2,0)/V$1,"")</f>
        <v/>
      </c>
      <c r="W13" s="200" t="str">
        <f ca="1">IFERROR(VLOOKUP($B13,RD[[#All],[Date]:[ISInv8]],W$2,0)/W$1,"")</f>
        <v/>
      </c>
      <c r="X13" s="200" t="str">
        <f ca="1">IFERROR(VLOOKUP($B13,RD[[#All],[Date]:[ISInv8]],X$2,0)/X$1,"")</f>
        <v/>
      </c>
      <c r="Y13" s="200" t="str">
        <f ca="1">IFERROR(VLOOKUP($B13,RD[[#All],[Date]:[ISInv8]],Y$2,0)/Y$1,"")</f>
        <v/>
      </c>
      <c r="Z13" s="200" t="str">
        <f ca="1">IFERROR(AVERAGEIF(Inv_SY_B[[#This Row],[IS2Inv1M1]:[IS5Inv2M3]],"&lt;&gt;0",Inv_SY_B[[#This Row],[IS2Inv1M1]:[IS5Inv2M3]]),"")</f>
        <v/>
      </c>
    </row>
    <row r="14" spans="2:26">
      <c r="B14" s="199">
        <f t="shared" ca="1" si="3"/>
        <v>45802</v>
      </c>
      <c r="C14" s="200" t="str">
        <f ca="1">IFERROR(VLOOKUP($B14,RD[[#All],[Date]:[ISInv8]],C$2,0)/C$1,"")</f>
        <v/>
      </c>
      <c r="D14" s="200" t="str">
        <f ca="1">IFERROR(VLOOKUP($B14,RD[[#All],[Date]:[ISInv8]],D$2,0)/D$1,"")</f>
        <v/>
      </c>
      <c r="E14" s="200" t="str">
        <f ca="1">IFERROR(VLOOKUP($B14,RD[[#All],[Date]:[ISInv8]],E$2,0)/E$1,"")</f>
        <v/>
      </c>
      <c r="F14" s="200" t="str">
        <f ca="1">IFERROR(VLOOKUP($B14,RD[[#All],[Date]:[ISInv8]],F$2,0)/F$1,"")</f>
        <v/>
      </c>
      <c r="G14" s="200" t="str">
        <f ca="1">IFERROR(VLOOKUP($B14,RD[[#All],[Date]:[ISInv8]],G$2,0)/G$1,"")</f>
        <v/>
      </c>
      <c r="H14" s="200" t="str">
        <f ca="1">IFERROR(VLOOKUP($B14,RD[[#All],[Date]:[ISInv8]],H$2,0)/H$1,"")</f>
        <v/>
      </c>
      <c r="I14" s="200" t="str">
        <f ca="1">IFERROR(VLOOKUP($B14,RD[[#All],[Date]:[ISInv8]],I$2,0)/I$1,"")</f>
        <v/>
      </c>
      <c r="J14" s="200" t="str">
        <f ca="1">IFERROR(VLOOKUP($B14,RD[[#All],[Date]:[ISInv8]],J$2,0)/J$1,"")</f>
        <v/>
      </c>
      <c r="K14" s="200" t="str">
        <f ca="1">IFERROR(VLOOKUP($B14,RD[[#All],[Date]:[ISInv8]],K$2,0)/K$1,"")</f>
        <v/>
      </c>
      <c r="L14" s="200" t="str">
        <f ca="1">IFERROR(VLOOKUP($B14,RD[[#All],[Date]:[ISInv8]],L$2,0)/L$1,"")</f>
        <v/>
      </c>
      <c r="M14" s="200" t="str">
        <f ca="1">IFERROR(VLOOKUP($B14,RD[[#All],[Date]:[ISInv8]],M$2,0)/M$1,"")</f>
        <v/>
      </c>
      <c r="N14" s="200" t="str">
        <f ca="1">IFERROR(VLOOKUP($B14,RD[[#All],[Date]:[ISInv8]],N$2,0)/N$1,"")</f>
        <v/>
      </c>
      <c r="O14" s="200" t="str">
        <f ca="1">IFERROR(VLOOKUP($B14,RD[[#All],[Date]:[ISInv8]],O$2,0)/O$1,"")</f>
        <v/>
      </c>
      <c r="P14" s="200" t="str">
        <f ca="1">IFERROR(VLOOKUP($B14,RD[[#All],[Date]:[ISInv8]],P$2,0)/P$1,"")</f>
        <v/>
      </c>
      <c r="Q14" s="200" t="str">
        <f ca="1">IFERROR(VLOOKUP($B14,RD[[#All],[Date]:[ISInv8]],Q$2,0)/Q$1,"")</f>
        <v/>
      </c>
      <c r="R14" s="200" t="str">
        <f ca="1">IFERROR(VLOOKUP($B14,RD[[#All],[Date]:[ISInv8]],R$2,0)/R$1,"")</f>
        <v/>
      </c>
      <c r="S14" s="200" t="str">
        <f ca="1">IFERROR(VLOOKUP($B14,RD[[#All],[Date]:[ISInv8]],S$2,0)/S$1,"")</f>
        <v/>
      </c>
      <c r="T14" s="200" t="str">
        <f ca="1">IFERROR(VLOOKUP($B14,RD[[#All],[Date]:[ISInv8]],T$2,0)/T$1,"")</f>
        <v/>
      </c>
      <c r="U14" s="200" t="str">
        <f ca="1">IFERROR(VLOOKUP($B14,RD[[#All],[Date]:[ISInv8]],U$2,0)/U$1,"")</f>
        <v/>
      </c>
      <c r="V14" s="200" t="str">
        <f ca="1">IFERROR(VLOOKUP($B14,RD[[#All],[Date]:[ISInv8]],V$2,0)/V$1,"")</f>
        <v/>
      </c>
      <c r="W14" s="200" t="str">
        <f ca="1">IFERROR(VLOOKUP($B14,RD[[#All],[Date]:[ISInv8]],W$2,0)/W$1,"")</f>
        <v/>
      </c>
      <c r="X14" s="200" t="str">
        <f ca="1">IFERROR(VLOOKUP($B14,RD[[#All],[Date]:[ISInv8]],X$2,0)/X$1,"")</f>
        <v/>
      </c>
      <c r="Y14" s="200" t="str">
        <f ca="1">IFERROR(VLOOKUP($B14,RD[[#All],[Date]:[ISInv8]],Y$2,0)/Y$1,"")</f>
        <v/>
      </c>
      <c r="Z14" s="200" t="str">
        <f ca="1">IFERROR(AVERAGEIF(Inv_SY_B[[#This Row],[IS2Inv1M1]:[IS5Inv2M3]],"&lt;&gt;0",Inv_SY_B[[#This Row],[IS2Inv1M1]:[IS5Inv2M3]]),"")</f>
        <v/>
      </c>
    </row>
    <row r="15" spans="2:26">
      <c r="B15" s="199">
        <f t="shared" ca="1" si="3"/>
        <v>45803</v>
      </c>
      <c r="C15" s="200" t="str">
        <f ca="1">IFERROR(VLOOKUP($B15,RD[[#All],[Date]:[ISInv8]],C$2,0)/C$1,"")</f>
        <v/>
      </c>
      <c r="D15" s="200" t="str">
        <f ca="1">IFERROR(VLOOKUP($B15,RD[[#All],[Date]:[ISInv8]],D$2,0)/D$1,"")</f>
        <v/>
      </c>
      <c r="E15" s="200" t="str">
        <f ca="1">IFERROR(VLOOKUP($B15,RD[[#All],[Date]:[ISInv8]],E$2,0)/E$1,"")</f>
        <v/>
      </c>
      <c r="F15" s="200" t="str">
        <f ca="1">IFERROR(VLOOKUP($B15,RD[[#All],[Date]:[ISInv8]],F$2,0)/F$1,"")</f>
        <v/>
      </c>
      <c r="G15" s="200" t="str">
        <f ca="1">IFERROR(VLOOKUP($B15,RD[[#All],[Date]:[ISInv8]],G$2,0)/G$1,"")</f>
        <v/>
      </c>
      <c r="H15" s="200" t="str">
        <f ca="1">IFERROR(VLOOKUP($B15,RD[[#All],[Date]:[ISInv8]],H$2,0)/H$1,"")</f>
        <v/>
      </c>
      <c r="I15" s="200" t="str">
        <f ca="1">IFERROR(VLOOKUP($B15,RD[[#All],[Date]:[ISInv8]],I$2,0)/I$1,"")</f>
        <v/>
      </c>
      <c r="J15" s="200" t="str">
        <f ca="1">IFERROR(VLOOKUP($B15,RD[[#All],[Date]:[ISInv8]],J$2,0)/J$1,"")</f>
        <v/>
      </c>
      <c r="K15" s="200" t="str">
        <f ca="1">IFERROR(VLOOKUP($B15,RD[[#All],[Date]:[ISInv8]],K$2,0)/K$1,"")</f>
        <v/>
      </c>
      <c r="L15" s="200" t="str">
        <f ca="1">IFERROR(VLOOKUP($B15,RD[[#All],[Date]:[ISInv8]],L$2,0)/L$1,"")</f>
        <v/>
      </c>
      <c r="M15" s="200" t="str">
        <f ca="1">IFERROR(VLOOKUP($B15,RD[[#All],[Date]:[ISInv8]],M$2,0)/M$1,"")</f>
        <v/>
      </c>
      <c r="N15" s="200" t="str">
        <f ca="1">IFERROR(VLOOKUP($B15,RD[[#All],[Date]:[ISInv8]],N$2,0)/N$1,"")</f>
        <v/>
      </c>
      <c r="O15" s="200" t="str">
        <f ca="1">IFERROR(VLOOKUP($B15,RD[[#All],[Date]:[ISInv8]],O$2,0)/O$1,"")</f>
        <v/>
      </c>
      <c r="P15" s="200" t="str">
        <f ca="1">IFERROR(VLOOKUP($B15,RD[[#All],[Date]:[ISInv8]],P$2,0)/P$1,"")</f>
        <v/>
      </c>
      <c r="Q15" s="200" t="str">
        <f ca="1">IFERROR(VLOOKUP($B15,RD[[#All],[Date]:[ISInv8]],Q$2,0)/Q$1,"")</f>
        <v/>
      </c>
      <c r="R15" s="200" t="str">
        <f ca="1">IFERROR(VLOOKUP($B15,RD[[#All],[Date]:[ISInv8]],R$2,0)/R$1,"")</f>
        <v/>
      </c>
      <c r="S15" s="200" t="str">
        <f ca="1">IFERROR(VLOOKUP($B15,RD[[#All],[Date]:[ISInv8]],S$2,0)/S$1,"")</f>
        <v/>
      </c>
      <c r="T15" s="200" t="str">
        <f ca="1">IFERROR(VLOOKUP($B15,RD[[#All],[Date]:[ISInv8]],T$2,0)/T$1,"")</f>
        <v/>
      </c>
      <c r="U15" s="200" t="str">
        <f ca="1">IFERROR(VLOOKUP($B15,RD[[#All],[Date]:[ISInv8]],U$2,0)/U$1,"")</f>
        <v/>
      </c>
      <c r="V15" s="200" t="str">
        <f ca="1">IFERROR(VLOOKUP($B15,RD[[#All],[Date]:[ISInv8]],V$2,0)/V$1,"")</f>
        <v/>
      </c>
      <c r="W15" s="200" t="str">
        <f ca="1">IFERROR(VLOOKUP($B15,RD[[#All],[Date]:[ISInv8]],W$2,0)/W$1,"")</f>
        <v/>
      </c>
      <c r="X15" s="200" t="str">
        <f ca="1">IFERROR(VLOOKUP($B15,RD[[#All],[Date]:[ISInv8]],X$2,0)/X$1,"")</f>
        <v/>
      </c>
      <c r="Y15" s="200" t="str">
        <f ca="1">IFERROR(VLOOKUP($B15,RD[[#All],[Date]:[ISInv8]],Y$2,0)/Y$1,"")</f>
        <v/>
      </c>
      <c r="Z15" s="200" t="str">
        <f ca="1">IFERROR(AVERAGEIF(Inv_SY_B[[#This Row],[IS2Inv1M1]:[IS5Inv2M3]],"&lt;&gt;0",Inv_SY_B[[#This Row],[IS2Inv1M1]:[IS5Inv2M3]]),"")</f>
        <v/>
      </c>
    </row>
    <row r="16" spans="2:26">
      <c r="B16" s="199">
        <f t="shared" ca="1" si="3"/>
        <v>45804</v>
      </c>
      <c r="C16" s="200" t="str">
        <f ca="1">IFERROR(VLOOKUP($B16,RD[[#All],[Date]:[ISInv8]],C$2,0)/C$1,"")</f>
        <v/>
      </c>
      <c r="D16" s="200" t="str">
        <f ca="1">IFERROR(VLOOKUP($B16,RD[[#All],[Date]:[ISInv8]],D$2,0)/D$1,"")</f>
        <v/>
      </c>
      <c r="E16" s="200" t="str">
        <f ca="1">IFERROR(VLOOKUP($B16,RD[[#All],[Date]:[ISInv8]],E$2,0)/E$1,"")</f>
        <v/>
      </c>
      <c r="F16" s="200" t="str">
        <f ca="1">IFERROR(VLOOKUP($B16,RD[[#All],[Date]:[ISInv8]],F$2,0)/F$1,"")</f>
        <v/>
      </c>
      <c r="G16" s="200" t="str">
        <f ca="1">IFERROR(VLOOKUP($B16,RD[[#All],[Date]:[ISInv8]],G$2,0)/G$1,"")</f>
        <v/>
      </c>
      <c r="H16" s="200" t="str">
        <f ca="1">IFERROR(VLOOKUP($B16,RD[[#All],[Date]:[ISInv8]],H$2,0)/H$1,"")</f>
        <v/>
      </c>
      <c r="I16" s="200" t="str">
        <f ca="1">IFERROR(VLOOKUP($B16,RD[[#All],[Date]:[ISInv8]],I$2,0)/I$1,"")</f>
        <v/>
      </c>
      <c r="J16" s="200" t="str">
        <f ca="1">IFERROR(VLOOKUP($B16,RD[[#All],[Date]:[ISInv8]],J$2,0)/J$1,"")</f>
        <v/>
      </c>
      <c r="K16" s="200" t="str">
        <f ca="1">IFERROR(VLOOKUP($B16,RD[[#All],[Date]:[ISInv8]],K$2,0)/K$1,"")</f>
        <v/>
      </c>
      <c r="L16" s="200" t="str">
        <f ca="1">IFERROR(VLOOKUP($B16,RD[[#All],[Date]:[ISInv8]],L$2,0)/L$1,"")</f>
        <v/>
      </c>
      <c r="M16" s="200" t="str">
        <f ca="1">IFERROR(VLOOKUP($B16,RD[[#All],[Date]:[ISInv8]],M$2,0)/M$1,"")</f>
        <v/>
      </c>
      <c r="N16" s="200" t="str">
        <f ca="1">IFERROR(VLOOKUP($B16,RD[[#All],[Date]:[ISInv8]],N$2,0)/N$1,"")</f>
        <v/>
      </c>
      <c r="O16" s="200" t="str">
        <f ca="1">IFERROR(VLOOKUP($B16,RD[[#All],[Date]:[ISInv8]],O$2,0)/O$1,"")</f>
        <v/>
      </c>
      <c r="P16" s="200" t="str">
        <f ca="1">IFERROR(VLOOKUP($B16,RD[[#All],[Date]:[ISInv8]],P$2,0)/P$1,"")</f>
        <v/>
      </c>
      <c r="Q16" s="200" t="str">
        <f ca="1">IFERROR(VLOOKUP($B16,RD[[#All],[Date]:[ISInv8]],Q$2,0)/Q$1,"")</f>
        <v/>
      </c>
      <c r="R16" s="200" t="str">
        <f ca="1">IFERROR(VLOOKUP($B16,RD[[#All],[Date]:[ISInv8]],R$2,0)/R$1,"")</f>
        <v/>
      </c>
      <c r="S16" s="200" t="str">
        <f ca="1">IFERROR(VLOOKUP($B16,RD[[#All],[Date]:[ISInv8]],S$2,0)/S$1,"")</f>
        <v/>
      </c>
      <c r="T16" s="200" t="str">
        <f ca="1">IFERROR(VLOOKUP($B16,RD[[#All],[Date]:[ISInv8]],T$2,0)/T$1,"")</f>
        <v/>
      </c>
      <c r="U16" s="200" t="str">
        <f ca="1">IFERROR(VLOOKUP($B16,RD[[#All],[Date]:[ISInv8]],U$2,0)/U$1,"")</f>
        <v/>
      </c>
      <c r="V16" s="200" t="str">
        <f ca="1">IFERROR(VLOOKUP($B16,RD[[#All],[Date]:[ISInv8]],V$2,0)/V$1,"")</f>
        <v/>
      </c>
      <c r="W16" s="200" t="str">
        <f ca="1">IFERROR(VLOOKUP($B16,RD[[#All],[Date]:[ISInv8]],W$2,0)/W$1,"")</f>
        <v/>
      </c>
      <c r="X16" s="200" t="str">
        <f ca="1">IFERROR(VLOOKUP($B16,RD[[#All],[Date]:[ISInv8]],X$2,0)/X$1,"")</f>
        <v/>
      </c>
      <c r="Y16" s="200" t="str">
        <f ca="1">IFERROR(VLOOKUP($B16,RD[[#All],[Date]:[ISInv8]],Y$2,0)/Y$1,"")</f>
        <v/>
      </c>
      <c r="Z16" s="200" t="str">
        <f ca="1">IFERROR(AVERAGEIF(Inv_SY_B[[#This Row],[IS2Inv1M1]:[IS5Inv2M3]],"&lt;&gt;0",Inv_SY_B[[#This Row],[IS2Inv1M1]:[IS5Inv2M3]]),"")</f>
        <v/>
      </c>
    </row>
    <row r="17" spans="2:26">
      <c r="B17" s="199">
        <f t="shared" ca="1" si="3"/>
        <v>45805</v>
      </c>
      <c r="C17" s="200" t="str">
        <f ca="1">IFERROR(VLOOKUP($B17,RD[[#All],[Date]:[ISInv8]],C$2,0)/C$1,"")</f>
        <v/>
      </c>
      <c r="D17" s="200" t="str">
        <f ca="1">IFERROR(VLOOKUP($B17,RD[[#All],[Date]:[ISInv8]],D$2,0)/D$1,"")</f>
        <v/>
      </c>
      <c r="E17" s="200" t="str">
        <f ca="1">IFERROR(VLOOKUP($B17,RD[[#All],[Date]:[ISInv8]],E$2,0)/E$1,"")</f>
        <v/>
      </c>
      <c r="F17" s="200" t="str">
        <f ca="1">IFERROR(VLOOKUP($B17,RD[[#All],[Date]:[ISInv8]],F$2,0)/F$1,"")</f>
        <v/>
      </c>
      <c r="G17" s="200" t="str">
        <f ca="1">IFERROR(VLOOKUP($B17,RD[[#All],[Date]:[ISInv8]],G$2,0)/G$1,"")</f>
        <v/>
      </c>
      <c r="H17" s="200" t="str">
        <f ca="1">IFERROR(VLOOKUP($B17,RD[[#All],[Date]:[ISInv8]],H$2,0)/H$1,"")</f>
        <v/>
      </c>
      <c r="I17" s="200" t="str">
        <f ca="1">IFERROR(VLOOKUP($B17,RD[[#All],[Date]:[ISInv8]],I$2,0)/I$1,"")</f>
        <v/>
      </c>
      <c r="J17" s="200" t="str">
        <f ca="1">IFERROR(VLOOKUP($B17,RD[[#All],[Date]:[ISInv8]],J$2,0)/J$1,"")</f>
        <v/>
      </c>
      <c r="K17" s="200" t="str">
        <f ca="1">IFERROR(VLOOKUP($B17,RD[[#All],[Date]:[ISInv8]],K$2,0)/K$1,"")</f>
        <v/>
      </c>
      <c r="L17" s="200" t="str">
        <f ca="1">IFERROR(VLOOKUP($B17,RD[[#All],[Date]:[ISInv8]],L$2,0)/L$1,"")</f>
        <v/>
      </c>
      <c r="M17" s="200" t="str">
        <f ca="1">IFERROR(VLOOKUP($B17,RD[[#All],[Date]:[ISInv8]],M$2,0)/M$1,"")</f>
        <v/>
      </c>
      <c r="N17" s="200" t="str">
        <f ca="1">IFERROR(VLOOKUP($B17,RD[[#All],[Date]:[ISInv8]],N$2,0)/N$1,"")</f>
        <v/>
      </c>
      <c r="O17" s="200" t="str">
        <f ca="1">IFERROR(VLOOKUP($B17,RD[[#All],[Date]:[ISInv8]],O$2,0)/O$1,"")</f>
        <v/>
      </c>
      <c r="P17" s="200" t="str">
        <f ca="1">IFERROR(VLOOKUP($B17,RD[[#All],[Date]:[ISInv8]],P$2,0)/P$1,"")</f>
        <v/>
      </c>
      <c r="Q17" s="200" t="str">
        <f ca="1">IFERROR(VLOOKUP($B17,RD[[#All],[Date]:[ISInv8]],Q$2,0)/Q$1,"")</f>
        <v/>
      </c>
      <c r="R17" s="200" t="str">
        <f ca="1">IFERROR(VLOOKUP($B17,RD[[#All],[Date]:[ISInv8]],R$2,0)/R$1,"")</f>
        <v/>
      </c>
      <c r="S17" s="200" t="str">
        <f ca="1">IFERROR(VLOOKUP($B17,RD[[#All],[Date]:[ISInv8]],S$2,0)/S$1,"")</f>
        <v/>
      </c>
      <c r="T17" s="200" t="str">
        <f ca="1">IFERROR(VLOOKUP($B17,RD[[#All],[Date]:[ISInv8]],T$2,0)/T$1,"")</f>
        <v/>
      </c>
      <c r="U17" s="200" t="str">
        <f ca="1">IFERROR(VLOOKUP($B17,RD[[#All],[Date]:[ISInv8]],U$2,0)/U$1,"")</f>
        <v/>
      </c>
      <c r="V17" s="200" t="str">
        <f ca="1">IFERROR(VLOOKUP($B17,RD[[#All],[Date]:[ISInv8]],V$2,0)/V$1,"")</f>
        <v/>
      </c>
      <c r="W17" s="200" t="str">
        <f ca="1">IFERROR(VLOOKUP($B17,RD[[#All],[Date]:[ISInv8]],W$2,0)/W$1,"")</f>
        <v/>
      </c>
      <c r="X17" s="200" t="str">
        <f ca="1">IFERROR(VLOOKUP($B17,RD[[#All],[Date]:[ISInv8]],X$2,0)/X$1,"")</f>
        <v/>
      </c>
      <c r="Y17" s="200" t="str">
        <f ca="1">IFERROR(VLOOKUP($B17,RD[[#All],[Date]:[ISInv8]],Y$2,0)/Y$1,"")</f>
        <v/>
      </c>
      <c r="Z17" s="200" t="str">
        <f ca="1">IFERROR(AVERAGEIF(Inv_SY_B[[#This Row],[IS2Inv1M1]:[IS5Inv2M3]],"&lt;&gt;0",Inv_SY_B[[#This Row],[IS2Inv1M1]:[IS5Inv2M3]]),"")</f>
        <v/>
      </c>
    </row>
    <row r="18" spans="2:26">
      <c r="B18" s="199">
        <f t="shared" ca="1" si="3"/>
        <v>45806</v>
      </c>
      <c r="C18" s="200" t="str">
        <f ca="1">IFERROR(VLOOKUP($B18,RD[[#All],[Date]:[ISInv8]],C$2,0)/C$1,"")</f>
        <v/>
      </c>
      <c r="D18" s="200" t="str">
        <f ca="1">IFERROR(VLOOKUP($B18,RD[[#All],[Date]:[ISInv8]],D$2,0)/D$1,"")</f>
        <v/>
      </c>
      <c r="E18" s="200" t="str">
        <f ca="1">IFERROR(VLOOKUP($B18,RD[[#All],[Date]:[ISInv8]],E$2,0)/E$1,"")</f>
        <v/>
      </c>
      <c r="F18" s="200" t="str">
        <f ca="1">IFERROR(VLOOKUP($B18,RD[[#All],[Date]:[ISInv8]],F$2,0)/F$1,"")</f>
        <v/>
      </c>
      <c r="G18" s="200" t="str">
        <f ca="1">IFERROR(VLOOKUP($B18,RD[[#All],[Date]:[ISInv8]],G$2,0)/G$1,"")</f>
        <v/>
      </c>
      <c r="H18" s="200" t="str">
        <f ca="1">IFERROR(VLOOKUP($B18,RD[[#All],[Date]:[ISInv8]],H$2,0)/H$1,"")</f>
        <v/>
      </c>
      <c r="I18" s="200" t="str">
        <f ca="1">IFERROR(VLOOKUP($B18,RD[[#All],[Date]:[ISInv8]],I$2,0)/I$1,"")</f>
        <v/>
      </c>
      <c r="J18" s="200" t="str">
        <f ca="1">IFERROR(VLOOKUP($B18,RD[[#All],[Date]:[ISInv8]],J$2,0)/J$1,"")</f>
        <v/>
      </c>
      <c r="K18" s="200" t="str">
        <f ca="1">IFERROR(VLOOKUP($B18,RD[[#All],[Date]:[ISInv8]],K$2,0)/K$1,"")</f>
        <v/>
      </c>
      <c r="L18" s="200" t="str">
        <f ca="1">IFERROR(VLOOKUP($B18,RD[[#All],[Date]:[ISInv8]],L$2,0)/L$1,"")</f>
        <v/>
      </c>
      <c r="M18" s="200" t="str">
        <f ca="1">IFERROR(VLOOKUP($B18,RD[[#All],[Date]:[ISInv8]],M$2,0)/M$1,"")</f>
        <v/>
      </c>
      <c r="N18" s="200" t="str">
        <f ca="1">IFERROR(VLOOKUP($B18,RD[[#All],[Date]:[ISInv8]],N$2,0)/N$1,"")</f>
        <v/>
      </c>
      <c r="O18" s="200" t="str">
        <f ca="1">IFERROR(VLOOKUP($B18,RD[[#All],[Date]:[ISInv8]],O$2,0)/O$1,"")</f>
        <v/>
      </c>
      <c r="P18" s="200" t="str">
        <f ca="1">IFERROR(VLOOKUP($B18,RD[[#All],[Date]:[ISInv8]],P$2,0)/P$1,"")</f>
        <v/>
      </c>
      <c r="Q18" s="200" t="str">
        <f ca="1">IFERROR(VLOOKUP($B18,RD[[#All],[Date]:[ISInv8]],Q$2,0)/Q$1,"")</f>
        <v/>
      </c>
      <c r="R18" s="200" t="str">
        <f ca="1">IFERROR(VLOOKUP($B18,RD[[#All],[Date]:[ISInv8]],R$2,0)/R$1,"")</f>
        <v/>
      </c>
      <c r="S18" s="200" t="str">
        <f ca="1">IFERROR(VLOOKUP($B18,RD[[#All],[Date]:[ISInv8]],S$2,0)/S$1,"")</f>
        <v/>
      </c>
      <c r="T18" s="200" t="str">
        <f ca="1">IFERROR(VLOOKUP($B18,RD[[#All],[Date]:[ISInv8]],T$2,0)/T$1,"")</f>
        <v/>
      </c>
      <c r="U18" s="200" t="str">
        <f ca="1">IFERROR(VLOOKUP($B18,RD[[#All],[Date]:[ISInv8]],U$2,0)/U$1,"")</f>
        <v/>
      </c>
      <c r="V18" s="200" t="str">
        <f ca="1">IFERROR(VLOOKUP($B18,RD[[#All],[Date]:[ISInv8]],V$2,0)/V$1,"")</f>
        <v/>
      </c>
      <c r="W18" s="200" t="str">
        <f ca="1">IFERROR(VLOOKUP($B18,RD[[#All],[Date]:[ISInv8]],W$2,0)/W$1,"")</f>
        <v/>
      </c>
      <c r="X18" s="200" t="str">
        <f ca="1">IFERROR(VLOOKUP($B18,RD[[#All],[Date]:[ISInv8]],X$2,0)/X$1,"")</f>
        <v/>
      </c>
      <c r="Y18" s="200" t="str">
        <f ca="1">IFERROR(VLOOKUP($B18,RD[[#All],[Date]:[ISInv8]],Y$2,0)/Y$1,"")</f>
        <v/>
      </c>
      <c r="Z18" s="200" t="str">
        <f ca="1">IFERROR(AVERAGEIF(Inv_SY_B[[#This Row],[IS2Inv1M1]:[IS5Inv2M3]],"&lt;&gt;0",Inv_SY_B[[#This Row],[IS2Inv1M1]:[IS5Inv2M3]]),"")</f>
        <v/>
      </c>
    </row>
    <row r="19" spans="2:26">
      <c r="B19" s="199">
        <f t="shared" ca="1" si="3"/>
        <v>45807</v>
      </c>
      <c r="C19" s="200" t="str">
        <f ca="1">IFERROR(VLOOKUP($B19,RD[[#All],[Date]:[ISInv8]],C$2,0)/C$1,"")</f>
        <v/>
      </c>
      <c r="D19" s="200" t="str">
        <f ca="1">IFERROR(VLOOKUP($B19,RD[[#All],[Date]:[ISInv8]],D$2,0)/D$1,"")</f>
        <v/>
      </c>
      <c r="E19" s="200" t="str">
        <f ca="1">IFERROR(VLOOKUP($B19,RD[[#All],[Date]:[ISInv8]],E$2,0)/E$1,"")</f>
        <v/>
      </c>
      <c r="F19" s="200" t="str">
        <f ca="1">IFERROR(VLOOKUP($B19,RD[[#All],[Date]:[ISInv8]],F$2,0)/F$1,"")</f>
        <v/>
      </c>
      <c r="G19" s="200" t="str">
        <f ca="1">IFERROR(VLOOKUP($B19,RD[[#All],[Date]:[ISInv8]],G$2,0)/G$1,"")</f>
        <v/>
      </c>
      <c r="H19" s="200" t="str">
        <f ca="1">IFERROR(VLOOKUP($B19,RD[[#All],[Date]:[ISInv8]],H$2,0)/H$1,"")</f>
        <v/>
      </c>
      <c r="I19" s="200" t="str">
        <f ca="1">IFERROR(VLOOKUP($B19,RD[[#All],[Date]:[ISInv8]],I$2,0)/I$1,"")</f>
        <v/>
      </c>
      <c r="J19" s="200" t="str">
        <f ca="1">IFERROR(VLOOKUP($B19,RD[[#All],[Date]:[ISInv8]],J$2,0)/J$1,"")</f>
        <v/>
      </c>
      <c r="K19" s="200" t="str">
        <f ca="1">IFERROR(VLOOKUP($B19,RD[[#All],[Date]:[ISInv8]],K$2,0)/K$1,"")</f>
        <v/>
      </c>
      <c r="L19" s="200" t="str">
        <f ca="1">IFERROR(VLOOKUP($B19,RD[[#All],[Date]:[ISInv8]],L$2,0)/L$1,"")</f>
        <v/>
      </c>
      <c r="M19" s="200" t="str">
        <f ca="1">IFERROR(VLOOKUP($B19,RD[[#All],[Date]:[ISInv8]],M$2,0)/M$1,"")</f>
        <v/>
      </c>
      <c r="N19" s="200" t="str">
        <f ca="1">IFERROR(VLOOKUP($B19,RD[[#All],[Date]:[ISInv8]],N$2,0)/N$1,"")</f>
        <v/>
      </c>
      <c r="O19" s="200" t="str">
        <f ca="1">IFERROR(VLOOKUP($B19,RD[[#All],[Date]:[ISInv8]],O$2,0)/O$1,"")</f>
        <v/>
      </c>
      <c r="P19" s="200" t="str">
        <f ca="1">IFERROR(VLOOKUP($B19,RD[[#All],[Date]:[ISInv8]],P$2,0)/P$1,"")</f>
        <v/>
      </c>
      <c r="Q19" s="200" t="str">
        <f ca="1">IFERROR(VLOOKUP($B19,RD[[#All],[Date]:[ISInv8]],Q$2,0)/Q$1,"")</f>
        <v/>
      </c>
      <c r="R19" s="200" t="str">
        <f ca="1">IFERROR(VLOOKUP($B19,RD[[#All],[Date]:[ISInv8]],R$2,0)/R$1,"")</f>
        <v/>
      </c>
      <c r="S19" s="200" t="str">
        <f ca="1">IFERROR(VLOOKUP($B19,RD[[#All],[Date]:[ISInv8]],S$2,0)/S$1,"")</f>
        <v/>
      </c>
      <c r="T19" s="200" t="str">
        <f ca="1">IFERROR(VLOOKUP($B19,RD[[#All],[Date]:[ISInv8]],T$2,0)/T$1,"")</f>
        <v/>
      </c>
      <c r="U19" s="200" t="str">
        <f ca="1">IFERROR(VLOOKUP($B19,RD[[#All],[Date]:[ISInv8]],U$2,0)/U$1,"")</f>
        <v/>
      </c>
      <c r="V19" s="200" t="str">
        <f ca="1">IFERROR(VLOOKUP($B19,RD[[#All],[Date]:[ISInv8]],V$2,0)/V$1,"")</f>
        <v/>
      </c>
      <c r="W19" s="200" t="str">
        <f ca="1">IFERROR(VLOOKUP($B19,RD[[#All],[Date]:[ISInv8]],W$2,0)/W$1,"")</f>
        <v/>
      </c>
      <c r="X19" s="200" t="str">
        <f ca="1">IFERROR(VLOOKUP($B19,RD[[#All],[Date]:[ISInv8]],X$2,0)/X$1,"")</f>
        <v/>
      </c>
      <c r="Y19" s="200" t="str">
        <f ca="1">IFERROR(VLOOKUP($B19,RD[[#All],[Date]:[ISInv8]],Y$2,0)/Y$1,"")</f>
        <v/>
      </c>
      <c r="Z19" s="200" t="str">
        <f ca="1">IFERROR(AVERAGEIF(Inv_SY_B[[#This Row],[IS2Inv1M1]:[IS5Inv2M3]],"&lt;&gt;0",Inv_SY_B[[#This Row],[IS2Inv1M1]:[IS5Inv2M3]]),"")</f>
        <v/>
      </c>
    </row>
    <row r="20" spans="2:26">
      <c r="B20" s="199">
        <f t="shared" ca="1" si="3"/>
        <v>45808</v>
      </c>
      <c r="C20" s="200" t="str">
        <f ca="1">IFERROR(VLOOKUP($B20,RD[[#All],[Date]:[ISInv8]],C$2,0)/C$1,"")</f>
        <v/>
      </c>
      <c r="D20" s="200" t="str">
        <f ca="1">IFERROR(VLOOKUP($B20,RD[[#All],[Date]:[ISInv8]],D$2,0)/D$1,"")</f>
        <v/>
      </c>
      <c r="E20" s="200" t="str">
        <f ca="1">IFERROR(VLOOKUP($B20,RD[[#All],[Date]:[ISInv8]],E$2,0)/E$1,"")</f>
        <v/>
      </c>
      <c r="F20" s="200" t="str">
        <f ca="1">IFERROR(VLOOKUP($B20,RD[[#All],[Date]:[ISInv8]],F$2,0)/F$1,"")</f>
        <v/>
      </c>
      <c r="G20" s="200" t="str">
        <f ca="1">IFERROR(VLOOKUP($B20,RD[[#All],[Date]:[ISInv8]],G$2,0)/G$1,"")</f>
        <v/>
      </c>
      <c r="H20" s="200" t="str">
        <f ca="1">IFERROR(VLOOKUP($B20,RD[[#All],[Date]:[ISInv8]],H$2,0)/H$1,"")</f>
        <v/>
      </c>
      <c r="I20" s="200" t="str">
        <f ca="1">IFERROR(VLOOKUP($B20,RD[[#All],[Date]:[ISInv8]],I$2,0)/I$1,"")</f>
        <v/>
      </c>
      <c r="J20" s="200" t="str">
        <f ca="1">IFERROR(VLOOKUP($B20,RD[[#All],[Date]:[ISInv8]],J$2,0)/J$1,"")</f>
        <v/>
      </c>
      <c r="K20" s="200" t="str">
        <f ca="1">IFERROR(VLOOKUP($B20,RD[[#All],[Date]:[ISInv8]],K$2,0)/K$1,"")</f>
        <v/>
      </c>
      <c r="L20" s="200" t="str">
        <f ca="1">IFERROR(VLOOKUP($B20,RD[[#All],[Date]:[ISInv8]],L$2,0)/L$1,"")</f>
        <v/>
      </c>
      <c r="M20" s="200" t="str">
        <f ca="1">IFERROR(VLOOKUP($B20,RD[[#All],[Date]:[ISInv8]],M$2,0)/M$1,"")</f>
        <v/>
      </c>
      <c r="N20" s="200" t="str">
        <f ca="1">IFERROR(VLOOKUP($B20,RD[[#All],[Date]:[ISInv8]],N$2,0)/N$1,"")</f>
        <v/>
      </c>
      <c r="O20" s="200" t="str">
        <f ca="1">IFERROR(VLOOKUP($B20,RD[[#All],[Date]:[ISInv8]],O$2,0)/O$1,"")</f>
        <v/>
      </c>
      <c r="P20" s="200" t="str">
        <f ca="1">IFERROR(VLOOKUP($B20,RD[[#All],[Date]:[ISInv8]],P$2,0)/P$1,"")</f>
        <v/>
      </c>
      <c r="Q20" s="200" t="str">
        <f ca="1">IFERROR(VLOOKUP($B20,RD[[#All],[Date]:[ISInv8]],Q$2,0)/Q$1,"")</f>
        <v/>
      </c>
      <c r="R20" s="200" t="str">
        <f ca="1">IFERROR(VLOOKUP($B20,RD[[#All],[Date]:[ISInv8]],R$2,0)/R$1,"")</f>
        <v/>
      </c>
      <c r="S20" s="200" t="str">
        <f ca="1">IFERROR(VLOOKUP($B20,RD[[#All],[Date]:[ISInv8]],S$2,0)/S$1,"")</f>
        <v/>
      </c>
      <c r="T20" s="200" t="str">
        <f ca="1">IFERROR(VLOOKUP($B20,RD[[#All],[Date]:[ISInv8]],T$2,0)/T$1,"")</f>
        <v/>
      </c>
      <c r="U20" s="200" t="str">
        <f ca="1">IFERROR(VLOOKUP($B20,RD[[#All],[Date]:[ISInv8]],U$2,0)/U$1,"")</f>
        <v/>
      </c>
      <c r="V20" s="200" t="str">
        <f ca="1">IFERROR(VLOOKUP($B20,RD[[#All],[Date]:[ISInv8]],V$2,0)/V$1,"")</f>
        <v/>
      </c>
      <c r="W20" s="200" t="str">
        <f ca="1">IFERROR(VLOOKUP($B20,RD[[#All],[Date]:[ISInv8]],W$2,0)/W$1,"")</f>
        <v/>
      </c>
      <c r="X20" s="200" t="str">
        <f ca="1">IFERROR(VLOOKUP($B20,RD[[#All],[Date]:[ISInv8]],X$2,0)/X$1,"")</f>
        <v/>
      </c>
      <c r="Y20" s="200" t="str">
        <f ca="1">IFERROR(VLOOKUP($B20,RD[[#All],[Date]:[ISInv8]],Y$2,0)/Y$1,"")</f>
        <v/>
      </c>
      <c r="Z20" s="200" t="str">
        <f ca="1">IFERROR(AVERAGEIF(Inv_SY_B[[#This Row],[IS2Inv1M1]:[IS5Inv2M3]],"&lt;&gt;0",Inv_SY_B[[#This Row],[IS2Inv1M1]:[IS5Inv2M3]]),"")</f>
        <v/>
      </c>
    </row>
    <row r="21" spans="2:26">
      <c r="B21" s="199">
        <f t="shared" ca="1" si="3"/>
        <v>45809</v>
      </c>
      <c r="C21" s="200" t="str">
        <f ca="1">IFERROR(VLOOKUP($B21,RD[[#All],[Date]:[ISInv8]],C$2,0)/C$1,"")</f>
        <v/>
      </c>
      <c r="D21" s="200" t="str">
        <f ca="1">IFERROR(VLOOKUP($B21,RD[[#All],[Date]:[ISInv8]],D$2,0)/D$1,"")</f>
        <v/>
      </c>
      <c r="E21" s="200" t="str">
        <f ca="1">IFERROR(VLOOKUP($B21,RD[[#All],[Date]:[ISInv8]],E$2,0)/E$1,"")</f>
        <v/>
      </c>
      <c r="F21" s="200" t="str">
        <f ca="1">IFERROR(VLOOKUP($B21,RD[[#All],[Date]:[ISInv8]],F$2,0)/F$1,"")</f>
        <v/>
      </c>
      <c r="G21" s="200" t="str">
        <f ca="1">IFERROR(VLOOKUP($B21,RD[[#All],[Date]:[ISInv8]],G$2,0)/G$1,"")</f>
        <v/>
      </c>
      <c r="H21" s="200" t="str">
        <f ca="1">IFERROR(VLOOKUP($B21,RD[[#All],[Date]:[ISInv8]],H$2,0)/H$1,"")</f>
        <v/>
      </c>
      <c r="I21" s="200" t="str">
        <f ca="1">IFERROR(VLOOKUP($B21,RD[[#All],[Date]:[ISInv8]],I$2,0)/I$1,"")</f>
        <v/>
      </c>
      <c r="J21" s="200" t="str">
        <f ca="1">IFERROR(VLOOKUP($B21,RD[[#All],[Date]:[ISInv8]],J$2,0)/J$1,"")</f>
        <v/>
      </c>
      <c r="K21" s="200" t="str">
        <f ca="1">IFERROR(VLOOKUP($B21,RD[[#All],[Date]:[ISInv8]],K$2,0)/K$1,"")</f>
        <v/>
      </c>
      <c r="L21" s="200" t="str">
        <f ca="1">IFERROR(VLOOKUP($B21,RD[[#All],[Date]:[ISInv8]],L$2,0)/L$1,"")</f>
        <v/>
      </c>
      <c r="M21" s="200" t="str">
        <f ca="1">IFERROR(VLOOKUP($B21,RD[[#All],[Date]:[ISInv8]],M$2,0)/M$1,"")</f>
        <v/>
      </c>
      <c r="N21" s="200" t="str">
        <f ca="1">IFERROR(VLOOKUP($B21,RD[[#All],[Date]:[ISInv8]],N$2,0)/N$1,"")</f>
        <v/>
      </c>
      <c r="O21" s="200" t="str">
        <f ca="1">IFERROR(VLOOKUP($B21,RD[[#All],[Date]:[ISInv8]],O$2,0)/O$1,"")</f>
        <v/>
      </c>
      <c r="P21" s="200" t="str">
        <f ca="1">IFERROR(VLOOKUP($B21,RD[[#All],[Date]:[ISInv8]],P$2,0)/P$1,"")</f>
        <v/>
      </c>
      <c r="Q21" s="200" t="str">
        <f ca="1">IFERROR(VLOOKUP($B21,RD[[#All],[Date]:[ISInv8]],Q$2,0)/Q$1,"")</f>
        <v/>
      </c>
      <c r="R21" s="200" t="str">
        <f ca="1">IFERROR(VLOOKUP($B21,RD[[#All],[Date]:[ISInv8]],R$2,0)/R$1,"")</f>
        <v/>
      </c>
      <c r="S21" s="200" t="str">
        <f ca="1">IFERROR(VLOOKUP($B21,RD[[#All],[Date]:[ISInv8]],S$2,0)/S$1,"")</f>
        <v/>
      </c>
      <c r="T21" s="200" t="str">
        <f ca="1">IFERROR(VLOOKUP($B21,RD[[#All],[Date]:[ISInv8]],T$2,0)/T$1,"")</f>
        <v/>
      </c>
      <c r="U21" s="200" t="str">
        <f ca="1">IFERROR(VLOOKUP($B21,RD[[#All],[Date]:[ISInv8]],U$2,0)/U$1,"")</f>
        <v/>
      </c>
      <c r="V21" s="200" t="str">
        <f ca="1">IFERROR(VLOOKUP($B21,RD[[#All],[Date]:[ISInv8]],V$2,0)/V$1,"")</f>
        <v/>
      </c>
      <c r="W21" s="200" t="str">
        <f ca="1">IFERROR(VLOOKUP($B21,RD[[#All],[Date]:[ISInv8]],W$2,0)/W$1,"")</f>
        <v/>
      </c>
      <c r="X21" s="200" t="str">
        <f ca="1">IFERROR(VLOOKUP($B21,RD[[#All],[Date]:[ISInv8]],X$2,0)/X$1,"")</f>
        <v/>
      </c>
      <c r="Y21" s="200" t="str">
        <f ca="1">IFERROR(VLOOKUP($B21,RD[[#All],[Date]:[ISInv8]],Y$2,0)/Y$1,"")</f>
        <v/>
      </c>
      <c r="Z21" s="200" t="str">
        <f ca="1">IFERROR(AVERAGEIF(Inv_SY_B[[#This Row],[IS2Inv1M1]:[IS5Inv2M3]],"&lt;&gt;0",Inv_SY_B[[#This Row],[IS2Inv1M1]:[IS5Inv2M3]]),"")</f>
        <v/>
      </c>
    </row>
    <row r="22" spans="2:26">
      <c r="B22" s="199">
        <f t="shared" ca="1" si="3"/>
        <v>45810</v>
      </c>
      <c r="C22" s="200" t="str">
        <f ca="1">IFERROR(VLOOKUP($B22,RD[[#All],[Date]:[ISInv8]],C$2,0)/C$1,"")</f>
        <v/>
      </c>
      <c r="D22" s="200" t="str">
        <f ca="1">IFERROR(VLOOKUP($B22,RD[[#All],[Date]:[ISInv8]],D$2,0)/D$1,"")</f>
        <v/>
      </c>
      <c r="E22" s="200" t="str">
        <f ca="1">IFERROR(VLOOKUP($B22,RD[[#All],[Date]:[ISInv8]],E$2,0)/E$1,"")</f>
        <v/>
      </c>
      <c r="F22" s="200" t="str">
        <f ca="1">IFERROR(VLOOKUP($B22,RD[[#All],[Date]:[ISInv8]],F$2,0)/F$1,"")</f>
        <v/>
      </c>
      <c r="G22" s="200" t="str">
        <f ca="1">IFERROR(VLOOKUP($B22,RD[[#All],[Date]:[ISInv8]],G$2,0)/G$1,"")</f>
        <v/>
      </c>
      <c r="H22" s="200" t="str">
        <f ca="1">IFERROR(VLOOKUP($B22,RD[[#All],[Date]:[ISInv8]],H$2,0)/H$1,"")</f>
        <v/>
      </c>
      <c r="I22" s="200" t="str">
        <f ca="1">IFERROR(VLOOKUP($B22,RD[[#All],[Date]:[ISInv8]],I$2,0)/I$1,"")</f>
        <v/>
      </c>
      <c r="J22" s="200" t="str">
        <f ca="1">IFERROR(VLOOKUP($B22,RD[[#All],[Date]:[ISInv8]],J$2,0)/J$1,"")</f>
        <v/>
      </c>
      <c r="K22" s="200" t="str">
        <f ca="1">IFERROR(VLOOKUP($B22,RD[[#All],[Date]:[ISInv8]],K$2,0)/K$1,"")</f>
        <v/>
      </c>
      <c r="L22" s="200" t="str">
        <f ca="1">IFERROR(VLOOKUP($B22,RD[[#All],[Date]:[ISInv8]],L$2,0)/L$1,"")</f>
        <v/>
      </c>
      <c r="M22" s="200" t="str">
        <f ca="1">IFERROR(VLOOKUP($B22,RD[[#All],[Date]:[ISInv8]],M$2,0)/M$1,"")</f>
        <v/>
      </c>
      <c r="N22" s="200" t="str">
        <f ca="1">IFERROR(VLOOKUP($B22,RD[[#All],[Date]:[ISInv8]],N$2,0)/N$1,"")</f>
        <v/>
      </c>
      <c r="O22" s="200" t="str">
        <f ca="1">IFERROR(VLOOKUP($B22,RD[[#All],[Date]:[ISInv8]],O$2,0)/O$1,"")</f>
        <v/>
      </c>
      <c r="P22" s="200" t="str">
        <f ca="1">IFERROR(VLOOKUP($B22,RD[[#All],[Date]:[ISInv8]],P$2,0)/P$1,"")</f>
        <v/>
      </c>
      <c r="Q22" s="200" t="str">
        <f ca="1">IFERROR(VLOOKUP($B22,RD[[#All],[Date]:[ISInv8]],Q$2,0)/Q$1,"")</f>
        <v/>
      </c>
      <c r="R22" s="200" t="str">
        <f ca="1">IFERROR(VLOOKUP($B22,RD[[#All],[Date]:[ISInv8]],R$2,0)/R$1,"")</f>
        <v/>
      </c>
      <c r="S22" s="200" t="str">
        <f ca="1">IFERROR(VLOOKUP($B22,RD[[#All],[Date]:[ISInv8]],S$2,0)/S$1,"")</f>
        <v/>
      </c>
      <c r="T22" s="200" t="str">
        <f ca="1">IFERROR(VLOOKUP($B22,RD[[#All],[Date]:[ISInv8]],T$2,0)/T$1,"")</f>
        <v/>
      </c>
      <c r="U22" s="200" t="str">
        <f ca="1">IFERROR(VLOOKUP($B22,RD[[#All],[Date]:[ISInv8]],U$2,0)/U$1,"")</f>
        <v/>
      </c>
      <c r="V22" s="200" t="str">
        <f ca="1">IFERROR(VLOOKUP($B22,RD[[#All],[Date]:[ISInv8]],V$2,0)/V$1,"")</f>
        <v/>
      </c>
      <c r="W22" s="200" t="str">
        <f ca="1">IFERROR(VLOOKUP($B22,RD[[#All],[Date]:[ISInv8]],W$2,0)/W$1,"")</f>
        <v/>
      </c>
      <c r="X22" s="200" t="str">
        <f ca="1">IFERROR(VLOOKUP($B22,RD[[#All],[Date]:[ISInv8]],X$2,0)/X$1,"")</f>
        <v/>
      </c>
      <c r="Y22" s="200" t="str">
        <f ca="1">IFERROR(VLOOKUP($B22,RD[[#All],[Date]:[ISInv8]],Y$2,0)/Y$1,"")</f>
        <v/>
      </c>
      <c r="Z22" s="200" t="str">
        <f ca="1">IFERROR(AVERAGEIF(Inv_SY_B[[#This Row],[IS2Inv1M1]:[IS5Inv2M3]],"&lt;&gt;0",Inv_SY_B[[#This Row],[IS2Inv1M1]:[IS5Inv2M3]]),"")</f>
        <v/>
      </c>
    </row>
    <row r="23" spans="2:26">
      <c r="B23" s="199">
        <f t="shared" ca="1" si="3"/>
        <v>45811</v>
      </c>
      <c r="C23" s="200" t="str">
        <f ca="1">IFERROR(VLOOKUP($B23,RD[[#All],[Date]:[ISInv8]],C$2,0)/C$1,"")</f>
        <v/>
      </c>
      <c r="D23" s="200" t="str">
        <f ca="1">IFERROR(VLOOKUP($B23,RD[[#All],[Date]:[ISInv8]],D$2,0)/D$1,"")</f>
        <v/>
      </c>
      <c r="E23" s="200" t="str">
        <f ca="1">IFERROR(VLOOKUP($B23,RD[[#All],[Date]:[ISInv8]],E$2,0)/E$1,"")</f>
        <v/>
      </c>
      <c r="F23" s="200" t="str">
        <f ca="1">IFERROR(VLOOKUP($B23,RD[[#All],[Date]:[ISInv8]],F$2,0)/F$1,"")</f>
        <v/>
      </c>
      <c r="G23" s="200" t="str">
        <f ca="1">IFERROR(VLOOKUP($B23,RD[[#All],[Date]:[ISInv8]],G$2,0)/G$1,"")</f>
        <v/>
      </c>
      <c r="H23" s="200" t="str">
        <f ca="1">IFERROR(VLOOKUP($B23,RD[[#All],[Date]:[ISInv8]],H$2,0)/H$1,"")</f>
        <v/>
      </c>
      <c r="I23" s="200" t="str">
        <f ca="1">IFERROR(VLOOKUP($B23,RD[[#All],[Date]:[ISInv8]],I$2,0)/I$1,"")</f>
        <v/>
      </c>
      <c r="J23" s="200" t="str">
        <f ca="1">IFERROR(VLOOKUP($B23,RD[[#All],[Date]:[ISInv8]],J$2,0)/J$1,"")</f>
        <v/>
      </c>
      <c r="K23" s="200" t="str">
        <f ca="1">IFERROR(VLOOKUP($B23,RD[[#All],[Date]:[ISInv8]],K$2,0)/K$1,"")</f>
        <v/>
      </c>
      <c r="L23" s="200" t="str">
        <f ca="1">IFERROR(VLOOKUP($B23,RD[[#All],[Date]:[ISInv8]],L$2,0)/L$1,"")</f>
        <v/>
      </c>
      <c r="M23" s="200" t="str">
        <f ca="1">IFERROR(VLOOKUP($B23,RD[[#All],[Date]:[ISInv8]],M$2,0)/M$1,"")</f>
        <v/>
      </c>
      <c r="N23" s="200" t="str">
        <f ca="1">IFERROR(VLOOKUP($B23,RD[[#All],[Date]:[ISInv8]],N$2,0)/N$1,"")</f>
        <v/>
      </c>
      <c r="O23" s="200" t="str">
        <f ca="1">IFERROR(VLOOKUP($B23,RD[[#All],[Date]:[ISInv8]],O$2,0)/O$1,"")</f>
        <v/>
      </c>
      <c r="P23" s="200" t="str">
        <f ca="1">IFERROR(VLOOKUP($B23,RD[[#All],[Date]:[ISInv8]],P$2,0)/P$1,"")</f>
        <v/>
      </c>
      <c r="Q23" s="200" t="str">
        <f ca="1">IFERROR(VLOOKUP($B23,RD[[#All],[Date]:[ISInv8]],Q$2,0)/Q$1,"")</f>
        <v/>
      </c>
      <c r="R23" s="200" t="str">
        <f ca="1">IFERROR(VLOOKUP($B23,RD[[#All],[Date]:[ISInv8]],R$2,0)/R$1,"")</f>
        <v/>
      </c>
      <c r="S23" s="200" t="str">
        <f ca="1">IFERROR(VLOOKUP($B23,RD[[#All],[Date]:[ISInv8]],S$2,0)/S$1,"")</f>
        <v/>
      </c>
      <c r="T23" s="200" t="str">
        <f ca="1">IFERROR(VLOOKUP($B23,RD[[#All],[Date]:[ISInv8]],T$2,0)/T$1,"")</f>
        <v/>
      </c>
      <c r="U23" s="200" t="str">
        <f ca="1">IFERROR(VLOOKUP($B23,RD[[#All],[Date]:[ISInv8]],U$2,0)/U$1,"")</f>
        <v/>
      </c>
      <c r="V23" s="200" t="str">
        <f ca="1">IFERROR(VLOOKUP($B23,RD[[#All],[Date]:[ISInv8]],V$2,0)/V$1,"")</f>
        <v/>
      </c>
      <c r="W23" s="200" t="str">
        <f ca="1">IFERROR(VLOOKUP($B23,RD[[#All],[Date]:[ISInv8]],W$2,0)/W$1,"")</f>
        <v/>
      </c>
      <c r="X23" s="200" t="str">
        <f ca="1">IFERROR(VLOOKUP($B23,RD[[#All],[Date]:[ISInv8]],X$2,0)/X$1,"")</f>
        <v/>
      </c>
      <c r="Y23" s="200" t="str">
        <f ca="1">IFERROR(VLOOKUP($B23,RD[[#All],[Date]:[ISInv8]],Y$2,0)/Y$1,"")</f>
        <v/>
      </c>
      <c r="Z23" s="200" t="str">
        <f ca="1">IFERROR(AVERAGEIF(Inv_SY_B[[#This Row],[IS2Inv1M1]:[IS5Inv2M3]],"&lt;&gt;0",Inv_SY_B[[#This Row],[IS2Inv1M1]:[IS5Inv2M3]]),"")</f>
        <v/>
      </c>
    </row>
    <row r="24" spans="2:26">
      <c r="B24" s="199">
        <f t="shared" ca="1" si="3"/>
        <v>45812</v>
      </c>
      <c r="C24" s="200" t="str">
        <f ca="1">IFERROR(VLOOKUP($B24,RD[[#All],[Date]:[ISInv8]],C$2,0)/C$1,"")</f>
        <v/>
      </c>
      <c r="D24" s="200" t="str">
        <f ca="1">IFERROR(VLOOKUP($B24,RD[[#All],[Date]:[ISInv8]],D$2,0)/D$1,"")</f>
        <v/>
      </c>
      <c r="E24" s="200" t="str">
        <f ca="1">IFERROR(VLOOKUP($B24,RD[[#All],[Date]:[ISInv8]],E$2,0)/E$1,"")</f>
        <v/>
      </c>
      <c r="F24" s="200" t="str">
        <f ca="1">IFERROR(VLOOKUP($B24,RD[[#All],[Date]:[ISInv8]],F$2,0)/F$1,"")</f>
        <v/>
      </c>
      <c r="G24" s="200" t="str">
        <f ca="1">IFERROR(VLOOKUP($B24,RD[[#All],[Date]:[ISInv8]],G$2,0)/G$1,"")</f>
        <v/>
      </c>
      <c r="H24" s="200" t="str">
        <f ca="1">IFERROR(VLOOKUP($B24,RD[[#All],[Date]:[ISInv8]],H$2,0)/H$1,"")</f>
        <v/>
      </c>
      <c r="I24" s="200" t="str">
        <f ca="1">IFERROR(VLOOKUP($B24,RD[[#All],[Date]:[ISInv8]],I$2,0)/I$1,"")</f>
        <v/>
      </c>
      <c r="J24" s="200" t="str">
        <f ca="1">IFERROR(VLOOKUP($B24,RD[[#All],[Date]:[ISInv8]],J$2,0)/J$1,"")</f>
        <v/>
      </c>
      <c r="K24" s="200" t="str">
        <f ca="1">IFERROR(VLOOKUP($B24,RD[[#All],[Date]:[ISInv8]],K$2,0)/K$1,"")</f>
        <v/>
      </c>
      <c r="L24" s="200" t="str">
        <f ca="1">IFERROR(VLOOKUP($B24,RD[[#All],[Date]:[ISInv8]],L$2,0)/L$1,"")</f>
        <v/>
      </c>
      <c r="M24" s="200" t="str">
        <f ca="1">IFERROR(VLOOKUP($B24,RD[[#All],[Date]:[ISInv8]],M$2,0)/M$1,"")</f>
        <v/>
      </c>
      <c r="N24" s="200" t="str">
        <f ca="1">IFERROR(VLOOKUP($B24,RD[[#All],[Date]:[ISInv8]],N$2,0)/N$1,"")</f>
        <v/>
      </c>
      <c r="O24" s="200" t="str">
        <f ca="1">IFERROR(VLOOKUP($B24,RD[[#All],[Date]:[ISInv8]],O$2,0)/O$1,"")</f>
        <v/>
      </c>
      <c r="P24" s="200" t="str">
        <f ca="1">IFERROR(VLOOKUP($B24,RD[[#All],[Date]:[ISInv8]],P$2,0)/P$1,"")</f>
        <v/>
      </c>
      <c r="Q24" s="200" t="str">
        <f ca="1">IFERROR(VLOOKUP($B24,RD[[#All],[Date]:[ISInv8]],Q$2,0)/Q$1,"")</f>
        <v/>
      </c>
      <c r="R24" s="200" t="str">
        <f ca="1">IFERROR(VLOOKUP($B24,RD[[#All],[Date]:[ISInv8]],R$2,0)/R$1,"")</f>
        <v/>
      </c>
      <c r="S24" s="200" t="str">
        <f ca="1">IFERROR(VLOOKUP($B24,RD[[#All],[Date]:[ISInv8]],S$2,0)/S$1,"")</f>
        <v/>
      </c>
      <c r="T24" s="200" t="str">
        <f ca="1">IFERROR(VLOOKUP($B24,RD[[#All],[Date]:[ISInv8]],T$2,0)/T$1,"")</f>
        <v/>
      </c>
      <c r="U24" s="200" t="str">
        <f ca="1">IFERROR(VLOOKUP($B24,RD[[#All],[Date]:[ISInv8]],U$2,0)/U$1,"")</f>
        <v/>
      </c>
      <c r="V24" s="200" t="str">
        <f ca="1">IFERROR(VLOOKUP($B24,RD[[#All],[Date]:[ISInv8]],V$2,0)/V$1,"")</f>
        <v/>
      </c>
      <c r="W24" s="200" t="str">
        <f ca="1">IFERROR(VLOOKUP($B24,RD[[#All],[Date]:[ISInv8]],W$2,0)/W$1,"")</f>
        <v/>
      </c>
      <c r="X24" s="200" t="str">
        <f ca="1">IFERROR(VLOOKUP($B24,RD[[#All],[Date]:[ISInv8]],X$2,0)/X$1,"")</f>
        <v/>
      </c>
      <c r="Y24" s="200" t="str">
        <f ca="1">IFERROR(VLOOKUP($B24,RD[[#All],[Date]:[ISInv8]],Y$2,0)/Y$1,"")</f>
        <v/>
      </c>
      <c r="Z24" s="200" t="str">
        <f ca="1">IFERROR(AVERAGEIF(Inv_SY_B[[#This Row],[IS2Inv1M1]:[IS5Inv2M3]],"&lt;&gt;0",Inv_SY_B[[#This Row],[IS2Inv1M1]:[IS5Inv2M3]]),"")</f>
        <v/>
      </c>
    </row>
    <row r="25" spans="2:26">
      <c r="B25" s="199">
        <f t="shared" ca="1" si="3"/>
        <v>45813</v>
      </c>
      <c r="C25" s="200" t="str">
        <f ca="1">IFERROR(VLOOKUP($B25,RD[[#All],[Date]:[ISInv8]],C$2,0)/C$1,"")</f>
        <v/>
      </c>
      <c r="D25" s="200" t="str">
        <f ca="1">IFERROR(VLOOKUP($B25,RD[[#All],[Date]:[ISInv8]],D$2,0)/D$1,"")</f>
        <v/>
      </c>
      <c r="E25" s="200" t="str">
        <f ca="1">IFERROR(VLOOKUP($B25,RD[[#All],[Date]:[ISInv8]],E$2,0)/E$1,"")</f>
        <v/>
      </c>
      <c r="F25" s="200" t="str">
        <f ca="1">IFERROR(VLOOKUP($B25,RD[[#All],[Date]:[ISInv8]],F$2,0)/F$1,"")</f>
        <v/>
      </c>
      <c r="G25" s="200" t="str">
        <f ca="1">IFERROR(VLOOKUP($B25,RD[[#All],[Date]:[ISInv8]],G$2,0)/G$1,"")</f>
        <v/>
      </c>
      <c r="H25" s="200" t="str">
        <f ca="1">IFERROR(VLOOKUP($B25,RD[[#All],[Date]:[ISInv8]],H$2,0)/H$1,"")</f>
        <v/>
      </c>
      <c r="I25" s="200" t="str">
        <f ca="1">IFERROR(VLOOKUP($B25,RD[[#All],[Date]:[ISInv8]],I$2,0)/I$1,"")</f>
        <v/>
      </c>
      <c r="J25" s="200" t="str">
        <f ca="1">IFERROR(VLOOKUP($B25,RD[[#All],[Date]:[ISInv8]],J$2,0)/J$1,"")</f>
        <v/>
      </c>
      <c r="K25" s="200" t="str">
        <f ca="1">IFERROR(VLOOKUP($B25,RD[[#All],[Date]:[ISInv8]],K$2,0)/K$1,"")</f>
        <v/>
      </c>
      <c r="L25" s="200" t="str">
        <f ca="1">IFERROR(VLOOKUP($B25,RD[[#All],[Date]:[ISInv8]],L$2,0)/L$1,"")</f>
        <v/>
      </c>
      <c r="M25" s="200" t="str">
        <f ca="1">IFERROR(VLOOKUP($B25,RD[[#All],[Date]:[ISInv8]],M$2,0)/M$1,"")</f>
        <v/>
      </c>
      <c r="N25" s="200" t="str">
        <f ca="1">IFERROR(VLOOKUP($B25,RD[[#All],[Date]:[ISInv8]],N$2,0)/N$1,"")</f>
        <v/>
      </c>
      <c r="O25" s="200" t="str">
        <f ca="1">IFERROR(VLOOKUP($B25,RD[[#All],[Date]:[ISInv8]],O$2,0)/O$1,"")</f>
        <v/>
      </c>
      <c r="P25" s="200" t="str">
        <f ca="1">IFERROR(VLOOKUP($B25,RD[[#All],[Date]:[ISInv8]],P$2,0)/P$1,"")</f>
        <v/>
      </c>
      <c r="Q25" s="200" t="str">
        <f ca="1">IFERROR(VLOOKUP($B25,RD[[#All],[Date]:[ISInv8]],Q$2,0)/Q$1,"")</f>
        <v/>
      </c>
      <c r="R25" s="200" t="str">
        <f ca="1">IFERROR(VLOOKUP($B25,RD[[#All],[Date]:[ISInv8]],R$2,0)/R$1,"")</f>
        <v/>
      </c>
      <c r="S25" s="200" t="str">
        <f ca="1">IFERROR(VLOOKUP($B25,RD[[#All],[Date]:[ISInv8]],S$2,0)/S$1,"")</f>
        <v/>
      </c>
      <c r="T25" s="200" t="str">
        <f ca="1">IFERROR(VLOOKUP($B25,RD[[#All],[Date]:[ISInv8]],T$2,0)/T$1,"")</f>
        <v/>
      </c>
      <c r="U25" s="200" t="str">
        <f ca="1">IFERROR(VLOOKUP($B25,RD[[#All],[Date]:[ISInv8]],U$2,0)/U$1,"")</f>
        <v/>
      </c>
      <c r="V25" s="200" t="str">
        <f ca="1">IFERROR(VLOOKUP($B25,RD[[#All],[Date]:[ISInv8]],V$2,0)/V$1,"")</f>
        <v/>
      </c>
      <c r="W25" s="200" t="str">
        <f ca="1">IFERROR(VLOOKUP($B25,RD[[#All],[Date]:[ISInv8]],W$2,0)/W$1,"")</f>
        <v/>
      </c>
      <c r="X25" s="200" t="str">
        <f ca="1">IFERROR(VLOOKUP($B25,RD[[#All],[Date]:[ISInv8]],X$2,0)/X$1,"")</f>
        <v/>
      </c>
      <c r="Y25" s="200" t="str">
        <f ca="1">IFERROR(VLOOKUP($B25,RD[[#All],[Date]:[ISInv8]],Y$2,0)/Y$1,"")</f>
        <v/>
      </c>
      <c r="Z25" s="200" t="str">
        <f ca="1">IFERROR(AVERAGEIF(Inv_SY_B[[#This Row],[IS2Inv1M1]:[IS5Inv2M3]],"&lt;&gt;0",Inv_SY_B[[#This Row],[IS2Inv1M1]:[IS5Inv2M3]]),"")</f>
        <v/>
      </c>
    </row>
    <row r="26" spans="2:26">
      <c r="B26" s="199">
        <f t="shared" ca="1" si="3"/>
        <v>45814</v>
      </c>
      <c r="C26" s="200" t="str">
        <f ca="1">IFERROR(VLOOKUP($B26,RD[[#All],[Date]:[ISInv8]],C$2,0)/C$1,"")</f>
        <v/>
      </c>
      <c r="D26" s="200" t="str">
        <f ca="1">IFERROR(VLOOKUP($B26,RD[[#All],[Date]:[ISInv8]],D$2,0)/D$1,"")</f>
        <v/>
      </c>
      <c r="E26" s="200" t="str">
        <f ca="1">IFERROR(VLOOKUP($B26,RD[[#All],[Date]:[ISInv8]],E$2,0)/E$1,"")</f>
        <v/>
      </c>
      <c r="F26" s="200" t="str">
        <f ca="1">IFERROR(VLOOKUP($B26,RD[[#All],[Date]:[ISInv8]],F$2,0)/F$1,"")</f>
        <v/>
      </c>
      <c r="G26" s="200" t="str">
        <f ca="1">IFERROR(VLOOKUP($B26,RD[[#All],[Date]:[ISInv8]],G$2,0)/G$1,"")</f>
        <v/>
      </c>
      <c r="H26" s="200" t="str">
        <f ca="1">IFERROR(VLOOKUP($B26,RD[[#All],[Date]:[ISInv8]],H$2,0)/H$1,"")</f>
        <v/>
      </c>
      <c r="I26" s="200" t="str">
        <f ca="1">IFERROR(VLOOKUP($B26,RD[[#All],[Date]:[ISInv8]],I$2,0)/I$1,"")</f>
        <v/>
      </c>
      <c r="J26" s="200" t="str">
        <f ca="1">IFERROR(VLOOKUP($B26,RD[[#All],[Date]:[ISInv8]],J$2,0)/J$1,"")</f>
        <v/>
      </c>
      <c r="K26" s="200" t="str">
        <f ca="1">IFERROR(VLOOKUP($B26,RD[[#All],[Date]:[ISInv8]],K$2,0)/K$1,"")</f>
        <v/>
      </c>
      <c r="L26" s="200" t="str">
        <f ca="1">IFERROR(VLOOKUP($B26,RD[[#All],[Date]:[ISInv8]],L$2,0)/L$1,"")</f>
        <v/>
      </c>
      <c r="M26" s="200" t="str">
        <f ca="1">IFERROR(VLOOKUP($B26,RD[[#All],[Date]:[ISInv8]],M$2,0)/M$1,"")</f>
        <v/>
      </c>
      <c r="N26" s="200" t="str">
        <f ca="1">IFERROR(VLOOKUP($B26,RD[[#All],[Date]:[ISInv8]],N$2,0)/N$1,"")</f>
        <v/>
      </c>
      <c r="O26" s="200" t="str">
        <f ca="1">IFERROR(VLOOKUP($B26,RD[[#All],[Date]:[ISInv8]],O$2,0)/O$1,"")</f>
        <v/>
      </c>
      <c r="P26" s="200" t="str">
        <f ca="1">IFERROR(VLOOKUP($B26,RD[[#All],[Date]:[ISInv8]],P$2,0)/P$1,"")</f>
        <v/>
      </c>
      <c r="Q26" s="200" t="str">
        <f ca="1">IFERROR(VLOOKUP($B26,RD[[#All],[Date]:[ISInv8]],Q$2,0)/Q$1,"")</f>
        <v/>
      </c>
      <c r="R26" s="200" t="str">
        <f ca="1">IFERROR(VLOOKUP($B26,RD[[#All],[Date]:[ISInv8]],R$2,0)/R$1,"")</f>
        <v/>
      </c>
      <c r="S26" s="200" t="str">
        <f ca="1">IFERROR(VLOOKUP($B26,RD[[#All],[Date]:[ISInv8]],S$2,0)/S$1,"")</f>
        <v/>
      </c>
      <c r="T26" s="200" t="str">
        <f ca="1">IFERROR(VLOOKUP($B26,RD[[#All],[Date]:[ISInv8]],T$2,0)/T$1,"")</f>
        <v/>
      </c>
      <c r="U26" s="200" t="str">
        <f ca="1">IFERROR(VLOOKUP($B26,RD[[#All],[Date]:[ISInv8]],U$2,0)/U$1,"")</f>
        <v/>
      </c>
      <c r="V26" s="200" t="str">
        <f ca="1">IFERROR(VLOOKUP($B26,RD[[#All],[Date]:[ISInv8]],V$2,0)/V$1,"")</f>
        <v/>
      </c>
      <c r="W26" s="200" t="str">
        <f ca="1">IFERROR(VLOOKUP($B26,RD[[#All],[Date]:[ISInv8]],W$2,0)/W$1,"")</f>
        <v/>
      </c>
      <c r="X26" s="200" t="str">
        <f ca="1">IFERROR(VLOOKUP($B26,RD[[#All],[Date]:[ISInv8]],X$2,0)/X$1,"")</f>
        <v/>
      </c>
      <c r="Y26" s="200" t="str">
        <f ca="1">IFERROR(VLOOKUP($B26,RD[[#All],[Date]:[ISInv8]],Y$2,0)/Y$1,"")</f>
        <v/>
      </c>
      <c r="Z26" s="200" t="str">
        <f ca="1">IFERROR(AVERAGEIF(Inv_SY_B[[#This Row],[IS2Inv1M1]:[IS5Inv2M3]],"&lt;&gt;0",Inv_SY_B[[#This Row],[IS2Inv1M1]:[IS5Inv2M3]]),"")</f>
        <v/>
      </c>
    </row>
    <row r="27" spans="2:26">
      <c r="B27" s="199">
        <f t="shared" ca="1" si="3"/>
        <v>45815</v>
      </c>
      <c r="C27" s="200" t="str">
        <f ca="1">IFERROR(VLOOKUP($B27,RD[[#All],[Date]:[ISInv8]],C$2,0)/C$1,"")</f>
        <v/>
      </c>
      <c r="D27" s="200" t="str">
        <f ca="1">IFERROR(VLOOKUP($B27,RD[[#All],[Date]:[ISInv8]],D$2,0)/D$1,"")</f>
        <v/>
      </c>
      <c r="E27" s="200" t="str">
        <f ca="1">IFERROR(VLOOKUP($B27,RD[[#All],[Date]:[ISInv8]],E$2,0)/E$1,"")</f>
        <v/>
      </c>
      <c r="F27" s="200" t="str">
        <f ca="1">IFERROR(VLOOKUP($B27,RD[[#All],[Date]:[ISInv8]],F$2,0)/F$1,"")</f>
        <v/>
      </c>
      <c r="G27" s="200" t="str">
        <f ca="1">IFERROR(VLOOKUP($B27,RD[[#All],[Date]:[ISInv8]],G$2,0)/G$1,"")</f>
        <v/>
      </c>
      <c r="H27" s="200" t="str">
        <f ca="1">IFERROR(VLOOKUP($B27,RD[[#All],[Date]:[ISInv8]],H$2,0)/H$1,"")</f>
        <v/>
      </c>
      <c r="I27" s="200" t="str">
        <f ca="1">IFERROR(VLOOKUP($B27,RD[[#All],[Date]:[ISInv8]],I$2,0)/I$1,"")</f>
        <v/>
      </c>
      <c r="J27" s="200" t="str">
        <f ca="1">IFERROR(VLOOKUP($B27,RD[[#All],[Date]:[ISInv8]],J$2,0)/J$1,"")</f>
        <v/>
      </c>
      <c r="K27" s="200" t="str">
        <f ca="1">IFERROR(VLOOKUP($B27,RD[[#All],[Date]:[ISInv8]],K$2,0)/K$1,"")</f>
        <v/>
      </c>
      <c r="L27" s="200" t="str">
        <f ca="1">IFERROR(VLOOKUP($B27,RD[[#All],[Date]:[ISInv8]],L$2,0)/L$1,"")</f>
        <v/>
      </c>
      <c r="M27" s="200" t="str">
        <f ca="1">IFERROR(VLOOKUP($B27,RD[[#All],[Date]:[ISInv8]],M$2,0)/M$1,"")</f>
        <v/>
      </c>
      <c r="N27" s="200" t="str">
        <f ca="1">IFERROR(VLOOKUP($B27,RD[[#All],[Date]:[ISInv8]],N$2,0)/N$1,"")</f>
        <v/>
      </c>
      <c r="O27" s="200" t="str">
        <f ca="1">IFERROR(VLOOKUP($B27,RD[[#All],[Date]:[ISInv8]],O$2,0)/O$1,"")</f>
        <v/>
      </c>
      <c r="P27" s="200" t="str">
        <f ca="1">IFERROR(VLOOKUP($B27,RD[[#All],[Date]:[ISInv8]],P$2,0)/P$1,"")</f>
        <v/>
      </c>
      <c r="Q27" s="200" t="str">
        <f ca="1">IFERROR(VLOOKUP($B27,RD[[#All],[Date]:[ISInv8]],Q$2,0)/Q$1,"")</f>
        <v/>
      </c>
      <c r="R27" s="200" t="str">
        <f ca="1">IFERROR(VLOOKUP($B27,RD[[#All],[Date]:[ISInv8]],R$2,0)/R$1,"")</f>
        <v/>
      </c>
      <c r="S27" s="200" t="str">
        <f ca="1">IFERROR(VLOOKUP($B27,RD[[#All],[Date]:[ISInv8]],S$2,0)/S$1,"")</f>
        <v/>
      </c>
      <c r="T27" s="200" t="str">
        <f ca="1">IFERROR(VLOOKUP($B27,RD[[#All],[Date]:[ISInv8]],T$2,0)/T$1,"")</f>
        <v/>
      </c>
      <c r="U27" s="200" t="str">
        <f ca="1">IFERROR(VLOOKUP($B27,RD[[#All],[Date]:[ISInv8]],U$2,0)/U$1,"")</f>
        <v/>
      </c>
      <c r="V27" s="200" t="str">
        <f ca="1">IFERROR(VLOOKUP($B27,RD[[#All],[Date]:[ISInv8]],V$2,0)/V$1,"")</f>
        <v/>
      </c>
      <c r="W27" s="200" t="str">
        <f ca="1">IFERROR(VLOOKUP($B27,RD[[#All],[Date]:[ISInv8]],W$2,0)/W$1,"")</f>
        <v/>
      </c>
      <c r="X27" s="200" t="str">
        <f ca="1">IFERROR(VLOOKUP($B27,RD[[#All],[Date]:[ISInv8]],X$2,0)/X$1,"")</f>
        <v/>
      </c>
      <c r="Y27" s="200" t="str">
        <f ca="1">IFERROR(VLOOKUP($B27,RD[[#All],[Date]:[ISInv8]],Y$2,0)/Y$1,"")</f>
        <v/>
      </c>
      <c r="Z27" s="200" t="str">
        <f ca="1">IFERROR(AVERAGEIF(Inv_SY_B[[#This Row],[IS2Inv1M1]:[IS5Inv2M3]],"&lt;&gt;0",Inv_SY_B[[#This Row],[IS2Inv1M1]:[IS5Inv2M3]]),"")</f>
        <v/>
      </c>
    </row>
    <row r="28" spans="2:26">
      <c r="B28" s="199">
        <f t="shared" ca="1" si="3"/>
        <v>45816</v>
      </c>
      <c r="C28" s="200" t="str">
        <f ca="1">IFERROR(VLOOKUP($B28,RD[[#All],[Date]:[ISInv8]],C$2,0)/C$1,"")</f>
        <v/>
      </c>
      <c r="D28" s="200" t="str">
        <f ca="1">IFERROR(VLOOKUP($B28,RD[[#All],[Date]:[ISInv8]],D$2,0)/D$1,"")</f>
        <v/>
      </c>
      <c r="E28" s="200" t="str">
        <f ca="1">IFERROR(VLOOKUP($B28,RD[[#All],[Date]:[ISInv8]],E$2,0)/E$1,"")</f>
        <v/>
      </c>
      <c r="F28" s="200" t="str">
        <f ca="1">IFERROR(VLOOKUP($B28,RD[[#All],[Date]:[ISInv8]],F$2,0)/F$1,"")</f>
        <v/>
      </c>
      <c r="G28" s="200" t="str">
        <f ca="1">IFERROR(VLOOKUP($B28,RD[[#All],[Date]:[ISInv8]],G$2,0)/G$1,"")</f>
        <v/>
      </c>
      <c r="H28" s="200" t="str">
        <f ca="1">IFERROR(VLOOKUP($B28,RD[[#All],[Date]:[ISInv8]],H$2,0)/H$1,"")</f>
        <v/>
      </c>
      <c r="I28" s="200" t="str">
        <f ca="1">IFERROR(VLOOKUP($B28,RD[[#All],[Date]:[ISInv8]],I$2,0)/I$1,"")</f>
        <v/>
      </c>
      <c r="J28" s="200" t="str">
        <f ca="1">IFERROR(VLOOKUP($B28,RD[[#All],[Date]:[ISInv8]],J$2,0)/J$1,"")</f>
        <v/>
      </c>
      <c r="K28" s="200" t="str">
        <f ca="1">IFERROR(VLOOKUP($B28,RD[[#All],[Date]:[ISInv8]],K$2,0)/K$1,"")</f>
        <v/>
      </c>
      <c r="L28" s="200" t="str">
        <f ca="1">IFERROR(VLOOKUP($B28,RD[[#All],[Date]:[ISInv8]],L$2,0)/L$1,"")</f>
        <v/>
      </c>
      <c r="M28" s="200" t="str">
        <f ca="1">IFERROR(VLOOKUP($B28,RD[[#All],[Date]:[ISInv8]],M$2,0)/M$1,"")</f>
        <v/>
      </c>
      <c r="N28" s="200" t="str">
        <f ca="1">IFERROR(VLOOKUP($B28,RD[[#All],[Date]:[ISInv8]],N$2,0)/N$1,"")</f>
        <v/>
      </c>
      <c r="O28" s="200" t="str">
        <f ca="1">IFERROR(VLOOKUP($B28,RD[[#All],[Date]:[ISInv8]],O$2,0)/O$1,"")</f>
        <v/>
      </c>
      <c r="P28" s="200" t="str">
        <f ca="1">IFERROR(VLOOKUP($B28,RD[[#All],[Date]:[ISInv8]],P$2,0)/P$1,"")</f>
        <v/>
      </c>
      <c r="Q28" s="200" t="str">
        <f ca="1">IFERROR(VLOOKUP($B28,RD[[#All],[Date]:[ISInv8]],Q$2,0)/Q$1,"")</f>
        <v/>
      </c>
      <c r="R28" s="200" t="str">
        <f ca="1">IFERROR(VLOOKUP($B28,RD[[#All],[Date]:[ISInv8]],R$2,0)/R$1,"")</f>
        <v/>
      </c>
      <c r="S28" s="200" t="str">
        <f ca="1">IFERROR(VLOOKUP($B28,RD[[#All],[Date]:[ISInv8]],S$2,0)/S$1,"")</f>
        <v/>
      </c>
      <c r="T28" s="200" t="str">
        <f ca="1">IFERROR(VLOOKUP($B28,RD[[#All],[Date]:[ISInv8]],T$2,0)/T$1,"")</f>
        <v/>
      </c>
      <c r="U28" s="200" t="str">
        <f ca="1">IFERROR(VLOOKUP($B28,RD[[#All],[Date]:[ISInv8]],U$2,0)/U$1,"")</f>
        <v/>
      </c>
      <c r="V28" s="200" t="str">
        <f ca="1">IFERROR(VLOOKUP($B28,RD[[#All],[Date]:[ISInv8]],V$2,0)/V$1,"")</f>
        <v/>
      </c>
      <c r="W28" s="200" t="str">
        <f ca="1">IFERROR(VLOOKUP($B28,RD[[#All],[Date]:[ISInv8]],W$2,0)/W$1,"")</f>
        <v/>
      </c>
      <c r="X28" s="200" t="str">
        <f ca="1">IFERROR(VLOOKUP($B28,RD[[#All],[Date]:[ISInv8]],X$2,0)/X$1,"")</f>
        <v/>
      </c>
      <c r="Y28" s="200" t="str">
        <f ca="1">IFERROR(VLOOKUP($B28,RD[[#All],[Date]:[ISInv8]],Y$2,0)/Y$1,"")</f>
        <v/>
      </c>
      <c r="Z28" s="200" t="str">
        <f ca="1">IFERROR(AVERAGEIF(Inv_SY_B[[#This Row],[IS2Inv1M1]:[IS5Inv2M3]],"&lt;&gt;0",Inv_SY_B[[#This Row],[IS2Inv1M1]:[IS5Inv2M3]]),"")</f>
        <v/>
      </c>
    </row>
    <row r="29" spans="2:26">
      <c r="B29" s="199">
        <f t="shared" ca="1" si="3"/>
        <v>45817</v>
      </c>
      <c r="C29" s="200" t="str">
        <f ca="1">IFERROR(VLOOKUP($B29,RD[[#All],[Date]:[ISInv8]],C$2,0)/C$1,"")</f>
        <v/>
      </c>
      <c r="D29" s="200" t="str">
        <f ca="1">IFERROR(VLOOKUP($B29,RD[[#All],[Date]:[ISInv8]],D$2,0)/D$1,"")</f>
        <v/>
      </c>
      <c r="E29" s="200" t="str">
        <f ca="1">IFERROR(VLOOKUP($B29,RD[[#All],[Date]:[ISInv8]],E$2,0)/E$1,"")</f>
        <v/>
      </c>
      <c r="F29" s="200" t="str">
        <f ca="1">IFERROR(VLOOKUP($B29,RD[[#All],[Date]:[ISInv8]],F$2,0)/F$1,"")</f>
        <v/>
      </c>
      <c r="G29" s="200" t="str">
        <f ca="1">IFERROR(VLOOKUP($B29,RD[[#All],[Date]:[ISInv8]],G$2,0)/G$1,"")</f>
        <v/>
      </c>
      <c r="H29" s="200" t="str">
        <f ca="1">IFERROR(VLOOKUP($B29,RD[[#All],[Date]:[ISInv8]],H$2,0)/H$1,"")</f>
        <v/>
      </c>
      <c r="I29" s="200" t="str">
        <f ca="1">IFERROR(VLOOKUP($B29,RD[[#All],[Date]:[ISInv8]],I$2,0)/I$1,"")</f>
        <v/>
      </c>
      <c r="J29" s="200" t="str">
        <f ca="1">IFERROR(VLOOKUP($B29,RD[[#All],[Date]:[ISInv8]],J$2,0)/J$1,"")</f>
        <v/>
      </c>
      <c r="K29" s="200" t="str">
        <f ca="1">IFERROR(VLOOKUP($B29,RD[[#All],[Date]:[ISInv8]],K$2,0)/K$1,"")</f>
        <v/>
      </c>
      <c r="L29" s="200" t="str">
        <f ca="1">IFERROR(VLOOKUP($B29,RD[[#All],[Date]:[ISInv8]],L$2,0)/L$1,"")</f>
        <v/>
      </c>
      <c r="M29" s="200" t="str">
        <f ca="1">IFERROR(VLOOKUP($B29,RD[[#All],[Date]:[ISInv8]],M$2,0)/M$1,"")</f>
        <v/>
      </c>
      <c r="N29" s="200" t="str">
        <f ca="1">IFERROR(VLOOKUP($B29,RD[[#All],[Date]:[ISInv8]],N$2,0)/N$1,"")</f>
        <v/>
      </c>
      <c r="O29" s="200" t="str">
        <f ca="1">IFERROR(VLOOKUP($B29,RD[[#All],[Date]:[ISInv8]],O$2,0)/O$1,"")</f>
        <v/>
      </c>
      <c r="P29" s="200" t="str">
        <f ca="1">IFERROR(VLOOKUP($B29,RD[[#All],[Date]:[ISInv8]],P$2,0)/P$1,"")</f>
        <v/>
      </c>
      <c r="Q29" s="200" t="str">
        <f ca="1">IFERROR(VLOOKUP($B29,RD[[#All],[Date]:[ISInv8]],Q$2,0)/Q$1,"")</f>
        <v/>
      </c>
      <c r="R29" s="200" t="str">
        <f ca="1">IFERROR(VLOOKUP($B29,RD[[#All],[Date]:[ISInv8]],R$2,0)/R$1,"")</f>
        <v/>
      </c>
      <c r="S29" s="200" t="str">
        <f ca="1">IFERROR(VLOOKUP($B29,RD[[#All],[Date]:[ISInv8]],S$2,0)/S$1,"")</f>
        <v/>
      </c>
      <c r="T29" s="200" t="str">
        <f ca="1">IFERROR(VLOOKUP($B29,RD[[#All],[Date]:[ISInv8]],T$2,0)/T$1,"")</f>
        <v/>
      </c>
      <c r="U29" s="200" t="str">
        <f ca="1">IFERROR(VLOOKUP($B29,RD[[#All],[Date]:[ISInv8]],U$2,0)/U$1,"")</f>
        <v/>
      </c>
      <c r="V29" s="200" t="str">
        <f ca="1">IFERROR(VLOOKUP($B29,RD[[#All],[Date]:[ISInv8]],V$2,0)/V$1,"")</f>
        <v/>
      </c>
      <c r="W29" s="200" t="str">
        <f ca="1">IFERROR(VLOOKUP($B29,RD[[#All],[Date]:[ISInv8]],W$2,0)/W$1,"")</f>
        <v/>
      </c>
      <c r="X29" s="200" t="str">
        <f ca="1">IFERROR(VLOOKUP($B29,RD[[#All],[Date]:[ISInv8]],X$2,0)/X$1,"")</f>
        <v/>
      </c>
      <c r="Y29" s="200" t="str">
        <f ca="1">IFERROR(VLOOKUP($B29,RD[[#All],[Date]:[ISInv8]],Y$2,0)/Y$1,"")</f>
        <v/>
      </c>
      <c r="Z29" s="200" t="str">
        <f ca="1">IFERROR(AVERAGEIF(Inv_SY_B[[#This Row],[IS2Inv1M1]:[IS5Inv2M3]],"&lt;&gt;0",Inv_SY_B[[#This Row],[IS2Inv1M1]:[IS5Inv2M3]]),"")</f>
        <v/>
      </c>
    </row>
    <row r="30" spans="2:26">
      <c r="B30" s="199">
        <f t="shared" ca="1" si="3"/>
        <v>45818</v>
      </c>
      <c r="C30" s="200" t="str">
        <f ca="1">IFERROR(VLOOKUP($B30,RD[[#All],[Date]:[ISInv8]],C$2,0)/C$1,"")</f>
        <v/>
      </c>
      <c r="D30" s="200" t="str">
        <f ca="1">IFERROR(VLOOKUP($B30,RD[[#All],[Date]:[ISInv8]],D$2,0)/D$1,"")</f>
        <v/>
      </c>
      <c r="E30" s="200" t="str">
        <f ca="1">IFERROR(VLOOKUP($B30,RD[[#All],[Date]:[ISInv8]],E$2,0)/E$1,"")</f>
        <v/>
      </c>
      <c r="F30" s="200" t="str">
        <f ca="1">IFERROR(VLOOKUP($B30,RD[[#All],[Date]:[ISInv8]],F$2,0)/F$1,"")</f>
        <v/>
      </c>
      <c r="G30" s="200" t="str">
        <f ca="1">IFERROR(VLOOKUP($B30,RD[[#All],[Date]:[ISInv8]],G$2,0)/G$1,"")</f>
        <v/>
      </c>
      <c r="H30" s="200" t="str">
        <f ca="1">IFERROR(VLOOKUP($B30,RD[[#All],[Date]:[ISInv8]],H$2,0)/H$1,"")</f>
        <v/>
      </c>
      <c r="I30" s="200" t="str">
        <f ca="1">IFERROR(VLOOKUP($B30,RD[[#All],[Date]:[ISInv8]],I$2,0)/I$1,"")</f>
        <v/>
      </c>
      <c r="J30" s="200" t="str">
        <f ca="1">IFERROR(VLOOKUP($B30,RD[[#All],[Date]:[ISInv8]],J$2,0)/J$1,"")</f>
        <v/>
      </c>
      <c r="K30" s="200" t="str">
        <f ca="1">IFERROR(VLOOKUP($B30,RD[[#All],[Date]:[ISInv8]],K$2,0)/K$1,"")</f>
        <v/>
      </c>
      <c r="L30" s="200" t="str">
        <f ca="1">IFERROR(VLOOKUP($B30,RD[[#All],[Date]:[ISInv8]],L$2,0)/L$1,"")</f>
        <v/>
      </c>
      <c r="M30" s="200" t="str">
        <f ca="1">IFERROR(VLOOKUP($B30,RD[[#All],[Date]:[ISInv8]],M$2,0)/M$1,"")</f>
        <v/>
      </c>
      <c r="N30" s="200" t="str">
        <f ca="1">IFERROR(VLOOKUP($B30,RD[[#All],[Date]:[ISInv8]],N$2,0)/N$1,"")</f>
        <v/>
      </c>
      <c r="O30" s="200" t="str">
        <f ca="1">IFERROR(VLOOKUP($B30,RD[[#All],[Date]:[ISInv8]],O$2,0)/O$1,"")</f>
        <v/>
      </c>
      <c r="P30" s="200" t="str">
        <f ca="1">IFERROR(VLOOKUP($B30,RD[[#All],[Date]:[ISInv8]],P$2,0)/P$1,"")</f>
        <v/>
      </c>
      <c r="Q30" s="200" t="str">
        <f ca="1">IFERROR(VLOOKUP($B30,RD[[#All],[Date]:[ISInv8]],Q$2,0)/Q$1,"")</f>
        <v/>
      </c>
      <c r="R30" s="200" t="str">
        <f ca="1">IFERROR(VLOOKUP($B30,RD[[#All],[Date]:[ISInv8]],R$2,0)/R$1,"")</f>
        <v/>
      </c>
      <c r="S30" s="200" t="str">
        <f ca="1">IFERROR(VLOOKUP($B30,RD[[#All],[Date]:[ISInv8]],S$2,0)/S$1,"")</f>
        <v/>
      </c>
      <c r="T30" s="200" t="str">
        <f ca="1">IFERROR(VLOOKUP($B30,RD[[#All],[Date]:[ISInv8]],T$2,0)/T$1,"")</f>
        <v/>
      </c>
      <c r="U30" s="200" t="str">
        <f ca="1">IFERROR(VLOOKUP($B30,RD[[#All],[Date]:[ISInv8]],U$2,0)/U$1,"")</f>
        <v/>
      </c>
      <c r="V30" s="200" t="str">
        <f ca="1">IFERROR(VLOOKUP($B30,RD[[#All],[Date]:[ISInv8]],V$2,0)/V$1,"")</f>
        <v/>
      </c>
      <c r="W30" s="200" t="str">
        <f ca="1">IFERROR(VLOOKUP($B30,RD[[#All],[Date]:[ISInv8]],W$2,0)/W$1,"")</f>
        <v/>
      </c>
      <c r="X30" s="200" t="str">
        <f ca="1">IFERROR(VLOOKUP($B30,RD[[#All],[Date]:[ISInv8]],X$2,0)/X$1,"")</f>
        <v/>
      </c>
      <c r="Y30" s="200" t="str">
        <f ca="1">IFERROR(VLOOKUP($B30,RD[[#All],[Date]:[ISInv8]],Y$2,0)/Y$1,"")</f>
        <v/>
      </c>
      <c r="Z30" s="200" t="str">
        <f ca="1">IFERROR(AVERAGEIF(Inv_SY_B[[#This Row],[IS2Inv1M1]:[IS5Inv2M3]],"&lt;&gt;0",Inv_SY_B[[#This Row],[IS2Inv1M1]:[IS5Inv2M3]]),"")</f>
        <v/>
      </c>
    </row>
    <row r="31" spans="2:26">
      <c r="B31" s="199">
        <f t="shared" ca="1" si="3"/>
        <v>45819</v>
      </c>
      <c r="C31" s="200" t="str">
        <f ca="1">IFERROR(VLOOKUP($B31,RD[[#All],[Date]:[ISInv8]],C$2,0)/C$1,"")</f>
        <v/>
      </c>
      <c r="D31" s="200" t="str">
        <f ca="1">IFERROR(VLOOKUP($B31,RD[[#All],[Date]:[ISInv8]],D$2,0)/D$1,"")</f>
        <v/>
      </c>
      <c r="E31" s="200" t="str">
        <f ca="1">IFERROR(VLOOKUP($B31,RD[[#All],[Date]:[ISInv8]],E$2,0)/E$1,"")</f>
        <v/>
      </c>
      <c r="F31" s="200" t="str">
        <f ca="1">IFERROR(VLOOKUP($B31,RD[[#All],[Date]:[ISInv8]],F$2,0)/F$1,"")</f>
        <v/>
      </c>
      <c r="G31" s="200" t="str">
        <f ca="1">IFERROR(VLOOKUP($B31,RD[[#All],[Date]:[ISInv8]],G$2,0)/G$1,"")</f>
        <v/>
      </c>
      <c r="H31" s="200" t="str">
        <f ca="1">IFERROR(VLOOKUP($B31,RD[[#All],[Date]:[ISInv8]],H$2,0)/H$1,"")</f>
        <v/>
      </c>
      <c r="I31" s="200" t="str">
        <f ca="1">IFERROR(VLOOKUP($B31,RD[[#All],[Date]:[ISInv8]],I$2,0)/I$1,"")</f>
        <v/>
      </c>
      <c r="J31" s="200" t="str">
        <f ca="1">IFERROR(VLOOKUP($B31,RD[[#All],[Date]:[ISInv8]],J$2,0)/J$1,"")</f>
        <v/>
      </c>
      <c r="K31" s="200" t="str">
        <f ca="1">IFERROR(VLOOKUP($B31,RD[[#All],[Date]:[ISInv8]],K$2,0)/K$1,"")</f>
        <v/>
      </c>
      <c r="L31" s="200" t="str">
        <f ca="1">IFERROR(VLOOKUP($B31,RD[[#All],[Date]:[ISInv8]],L$2,0)/L$1,"")</f>
        <v/>
      </c>
      <c r="M31" s="200" t="str">
        <f ca="1">IFERROR(VLOOKUP($B31,RD[[#All],[Date]:[ISInv8]],M$2,0)/M$1,"")</f>
        <v/>
      </c>
      <c r="N31" s="200" t="str">
        <f ca="1">IFERROR(VLOOKUP($B31,RD[[#All],[Date]:[ISInv8]],N$2,0)/N$1,"")</f>
        <v/>
      </c>
      <c r="O31" s="200" t="str">
        <f ca="1">IFERROR(VLOOKUP($B31,RD[[#All],[Date]:[ISInv8]],O$2,0)/O$1,"")</f>
        <v/>
      </c>
      <c r="P31" s="200" t="str">
        <f ca="1">IFERROR(VLOOKUP($B31,RD[[#All],[Date]:[ISInv8]],P$2,0)/P$1,"")</f>
        <v/>
      </c>
      <c r="Q31" s="200" t="str">
        <f ca="1">IFERROR(VLOOKUP($B31,RD[[#All],[Date]:[ISInv8]],Q$2,0)/Q$1,"")</f>
        <v/>
      </c>
      <c r="R31" s="200" t="str">
        <f ca="1">IFERROR(VLOOKUP($B31,RD[[#All],[Date]:[ISInv8]],R$2,0)/R$1,"")</f>
        <v/>
      </c>
      <c r="S31" s="200" t="str">
        <f ca="1">IFERROR(VLOOKUP($B31,RD[[#All],[Date]:[ISInv8]],S$2,0)/S$1,"")</f>
        <v/>
      </c>
      <c r="T31" s="200" t="str">
        <f ca="1">IFERROR(VLOOKUP($B31,RD[[#All],[Date]:[ISInv8]],T$2,0)/T$1,"")</f>
        <v/>
      </c>
      <c r="U31" s="200" t="str">
        <f ca="1">IFERROR(VLOOKUP($B31,RD[[#All],[Date]:[ISInv8]],U$2,0)/U$1,"")</f>
        <v/>
      </c>
      <c r="V31" s="200" t="str">
        <f ca="1">IFERROR(VLOOKUP($B31,RD[[#All],[Date]:[ISInv8]],V$2,0)/V$1,"")</f>
        <v/>
      </c>
      <c r="W31" s="200" t="str">
        <f ca="1">IFERROR(VLOOKUP($B31,RD[[#All],[Date]:[ISInv8]],W$2,0)/W$1,"")</f>
        <v/>
      </c>
      <c r="X31" s="200" t="str">
        <f ca="1">IFERROR(VLOOKUP($B31,RD[[#All],[Date]:[ISInv8]],X$2,0)/X$1,"")</f>
        <v/>
      </c>
      <c r="Y31" s="200" t="str">
        <f ca="1">IFERROR(VLOOKUP($B31,RD[[#All],[Date]:[ISInv8]],Y$2,0)/Y$1,"")</f>
        <v/>
      </c>
      <c r="Z31" s="200" t="str">
        <f ca="1">IFERROR(AVERAGEIF(Inv_SY_B[[#This Row],[IS2Inv1M1]:[IS5Inv2M3]],"&lt;&gt;0",Inv_SY_B[[#This Row],[IS2Inv1M1]:[IS5Inv2M3]]),"")</f>
        <v/>
      </c>
    </row>
    <row r="32" spans="2:26">
      <c r="B32" s="199">
        <f t="shared" ca="1" si="3"/>
        <v>45820</v>
      </c>
      <c r="C32" s="200" t="str">
        <f ca="1">IFERROR(VLOOKUP($B32,RD[[#All],[Date]:[ISInv8]],C$2,0)/C$1,"")</f>
        <v/>
      </c>
      <c r="D32" s="200" t="str">
        <f ca="1">IFERROR(VLOOKUP($B32,RD[[#All],[Date]:[ISInv8]],D$2,0)/D$1,"")</f>
        <v/>
      </c>
      <c r="E32" s="200" t="str">
        <f ca="1">IFERROR(VLOOKUP($B32,RD[[#All],[Date]:[ISInv8]],E$2,0)/E$1,"")</f>
        <v/>
      </c>
      <c r="F32" s="200" t="str">
        <f ca="1">IFERROR(VLOOKUP($B32,RD[[#All],[Date]:[ISInv8]],F$2,0)/F$1,"")</f>
        <v/>
      </c>
      <c r="G32" s="200" t="str">
        <f ca="1">IFERROR(VLOOKUP($B32,RD[[#All],[Date]:[ISInv8]],G$2,0)/G$1,"")</f>
        <v/>
      </c>
      <c r="H32" s="200" t="str">
        <f ca="1">IFERROR(VLOOKUP($B32,RD[[#All],[Date]:[ISInv8]],H$2,0)/H$1,"")</f>
        <v/>
      </c>
      <c r="I32" s="200" t="str">
        <f ca="1">IFERROR(VLOOKUP($B32,RD[[#All],[Date]:[ISInv8]],I$2,0)/I$1,"")</f>
        <v/>
      </c>
      <c r="J32" s="200" t="str">
        <f ca="1">IFERROR(VLOOKUP($B32,RD[[#All],[Date]:[ISInv8]],J$2,0)/J$1,"")</f>
        <v/>
      </c>
      <c r="K32" s="200" t="str">
        <f ca="1">IFERROR(VLOOKUP($B32,RD[[#All],[Date]:[ISInv8]],K$2,0)/K$1,"")</f>
        <v/>
      </c>
      <c r="L32" s="200" t="str">
        <f ca="1">IFERROR(VLOOKUP($B32,RD[[#All],[Date]:[ISInv8]],L$2,0)/L$1,"")</f>
        <v/>
      </c>
      <c r="M32" s="200" t="str">
        <f ca="1">IFERROR(VLOOKUP($B32,RD[[#All],[Date]:[ISInv8]],M$2,0)/M$1,"")</f>
        <v/>
      </c>
      <c r="N32" s="200" t="str">
        <f ca="1">IFERROR(VLOOKUP($B32,RD[[#All],[Date]:[ISInv8]],N$2,0)/N$1,"")</f>
        <v/>
      </c>
      <c r="O32" s="200" t="str">
        <f ca="1">IFERROR(VLOOKUP($B32,RD[[#All],[Date]:[ISInv8]],O$2,0)/O$1,"")</f>
        <v/>
      </c>
      <c r="P32" s="200" t="str">
        <f ca="1">IFERROR(VLOOKUP($B32,RD[[#All],[Date]:[ISInv8]],P$2,0)/P$1,"")</f>
        <v/>
      </c>
      <c r="Q32" s="200" t="str">
        <f ca="1">IFERROR(VLOOKUP($B32,RD[[#All],[Date]:[ISInv8]],Q$2,0)/Q$1,"")</f>
        <v/>
      </c>
      <c r="R32" s="200" t="str">
        <f ca="1">IFERROR(VLOOKUP($B32,RD[[#All],[Date]:[ISInv8]],R$2,0)/R$1,"")</f>
        <v/>
      </c>
      <c r="S32" s="200" t="str">
        <f ca="1">IFERROR(VLOOKUP($B32,RD[[#All],[Date]:[ISInv8]],S$2,0)/S$1,"")</f>
        <v/>
      </c>
      <c r="T32" s="200" t="str">
        <f ca="1">IFERROR(VLOOKUP($B32,RD[[#All],[Date]:[ISInv8]],T$2,0)/T$1,"")</f>
        <v/>
      </c>
      <c r="U32" s="200" t="str">
        <f ca="1">IFERROR(VLOOKUP($B32,RD[[#All],[Date]:[ISInv8]],U$2,0)/U$1,"")</f>
        <v/>
      </c>
      <c r="V32" s="200" t="str">
        <f ca="1">IFERROR(VLOOKUP($B32,RD[[#All],[Date]:[ISInv8]],V$2,0)/V$1,"")</f>
        <v/>
      </c>
      <c r="W32" s="200" t="str">
        <f ca="1">IFERROR(VLOOKUP($B32,RD[[#All],[Date]:[ISInv8]],W$2,0)/W$1,"")</f>
        <v/>
      </c>
      <c r="X32" s="200" t="str">
        <f ca="1">IFERROR(VLOOKUP($B32,RD[[#All],[Date]:[ISInv8]],X$2,0)/X$1,"")</f>
        <v/>
      </c>
      <c r="Y32" s="200" t="str">
        <f ca="1">IFERROR(VLOOKUP($B32,RD[[#All],[Date]:[ISInv8]],Y$2,0)/Y$1,"")</f>
        <v/>
      </c>
      <c r="Z32" s="200" t="str">
        <f ca="1">IFERROR(AVERAGEIF(Inv_SY_B[[#This Row],[IS2Inv1M1]:[IS5Inv2M3]],"&lt;&gt;0",Inv_SY_B[[#This Row],[IS2Inv1M1]:[IS5Inv2M3]]),"")</f>
        <v/>
      </c>
    </row>
    <row r="33" spans="2:26">
      <c r="B33" s="199">
        <f t="shared" ca="1" si="3"/>
        <v>45821</v>
      </c>
      <c r="C33" s="200" t="str">
        <f ca="1">IFERROR(VLOOKUP($B33,RD[[#All],[Date]:[ISInv8]],C$2,0)/C$1,"")</f>
        <v/>
      </c>
      <c r="D33" s="200" t="str">
        <f ca="1">IFERROR(VLOOKUP($B33,RD[[#All],[Date]:[ISInv8]],D$2,0)/D$1,"")</f>
        <v/>
      </c>
      <c r="E33" s="200" t="str">
        <f ca="1">IFERROR(VLOOKUP($B33,RD[[#All],[Date]:[ISInv8]],E$2,0)/E$1,"")</f>
        <v/>
      </c>
      <c r="F33" s="200" t="str">
        <f ca="1">IFERROR(VLOOKUP($B33,RD[[#All],[Date]:[ISInv8]],F$2,0)/F$1,"")</f>
        <v/>
      </c>
      <c r="G33" s="200" t="str">
        <f ca="1">IFERROR(VLOOKUP($B33,RD[[#All],[Date]:[ISInv8]],G$2,0)/G$1,"")</f>
        <v/>
      </c>
      <c r="H33" s="200" t="str">
        <f ca="1">IFERROR(VLOOKUP($B33,RD[[#All],[Date]:[ISInv8]],H$2,0)/H$1,"")</f>
        <v/>
      </c>
      <c r="I33" s="200" t="str">
        <f ca="1">IFERROR(VLOOKUP($B33,RD[[#All],[Date]:[ISInv8]],I$2,0)/I$1,"")</f>
        <v/>
      </c>
      <c r="J33" s="200" t="str">
        <f ca="1">IFERROR(VLOOKUP($B33,RD[[#All],[Date]:[ISInv8]],J$2,0)/J$1,"")</f>
        <v/>
      </c>
      <c r="K33" s="200" t="str">
        <f ca="1">IFERROR(VLOOKUP($B33,RD[[#All],[Date]:[ISInv8]],K$2,0)/K$1,"")</f>
        <v/>
      </c>
      <c r="L33" s="200" t="str">
        <f ca="1">IFERROR(VLOOKUP($B33,RD[[#All],[Date]:[ISInv8]],L$2,0)/L$1,"")</f>
        <v/>
      </c>
      <c r="M33" s="200" t="str">
        <f ca="1">IFERROR(VLOOKUP($B33,RD[[#All],[Date]:[ISInv8]],M$2,0)/M$1,"")</f>
        <v/>
      </c>
      <c r="N33" s="200" t="str">
        <f ca="1">IFERROR(VLOOKUP($B33,RD[[#All],[Date]:[ISInv8]],N$2,0)/N$1,"")</f>
        <v/>
      </c>
      <c r="O33" s="200" t="str">
        <f ca="1">IFERROR(VLOOKUP($B33,RD[[#All],[Date]:[ISInv8]],O$2,0)/O$1,"")</f>
        <v/>
      </c>
      <c r="P33" s="200" t="str">
        <f ca="1">IFERROR(VLOOKUP($B33,RD[[#All],[Date]:[ISInv8]],P$2,0)/P$1,"")</f>
        <v/>
      </c>
      <c r="Q33" s="200" t="str">
        <f ca="1">IFERROR(VLOOKUP($B33,RD[[#All],[Date]:[ISInv8]],Q$2,0)/Q$1,"")</f>
        <v/>
      </c>
      <c r="R33" s="200" t="str">
        <f ca="1">IFERROR(VLOOKUP($B33,RD[[#All],[Date]:[ISInv8]],R$2,0)/R$1,"")</f>
        <v/>
      </c>
      <c r="S33" s="200" t="str">
        <f ca="1">IFERROR(VLOOKUP($B33,RD[[#All],[Date]:[ISInv8]],S$2,0)/S$1,"")</f>
        <v/>
      </c>
      <c r="T33" s="200" t="str">
        <f ca="1">IFERROR(VLOOKUP($B33,RD[[#All],[Date]:[ISInv8]],T$2,0)/T$1,"")</f>
        <v/>
      </c>
      <c r="U33" s="200" t="str">
        <f ca="1">IFERROR(VLOOKUP($B33,RD[[#All],[Date]:[ISInv8]],U$2,0)/U$1,"")</f>
        <v/>
      </c>
      <c r="V33" s="200" t="str">
        <f ca="1">IFERROR(VLOOKUP($B33,RD[[#All],[Date]:[ISInv8]],V$2,0)/V$1,"")</f>
        <v/>
      </c>
      <c r="W33" s="200" t="str">
        <f ca="1">IFERROR(VLOOKUP($B33,RD[[#All],[Date]:[ISInv8]],W$2,0)/W$1,"")</f>
        <v/>
      </c>
      <c r="X33" s="200" t="str">
        <f ca="1">IFERROR(VLOOKUP($B33,RD[[#All],[Date]:[ISInv8]],X$2,0)/X$1,"")</f>
        <v/>
      </c>
      <c r="Y33" s="200" t="str">
        <f ca="1">IFERROR(VLOOKUP($B33,RD[[#All],[Date]:[ISInv8]],Y$2,0)/Y$1,"")</f>
        <v/>
      </c>
      <c r="Z33" s="200" t="str">
        <f ca="1">IFERROR(AVERAGEIF(Inv_SY_B[[#This Row],[IS2Inv1M1]:[IS5Inv2M3]],"&lt;&gt;0",Inv_SY_B[[#This Row],[IS2Inv1M1]:[IS5Inv2M3]]),"")</f>
        <v/>
      </c>
    </row>
    <row r="34" spans="2:26">
      <c r="B34" s="199">
        <f t="shared" ca="1" si="3"/>
        <v>45822</v>
      </c>
      <c r="C34" s="200" t="str">
        <f ca="1">IFERROR(VLOOKUP($B34,RD[[#All],[Date]:[ISInv8]],C$2,0)/C$1,"")</f>
        <v/>
      </c>
      <c r="D34" s="200" t="str">
        <f ca="1">IFERROR(VLOOKUP($B34,RD[[#All],[Date]:[ISInv8]],D$2,0)/D$1,"")</f>
        <v/>
      </c>
      <c r="E34" s="200" t="str">
        <f ca="1">IFERROR(VLOOKUP($B34,RD[[#All],[Date]:[ISInv8]],E$2,0)/E$1,"")</f>
        <v/>
      </c>
      <c r="F34" s="200" t="str">
        <f ca="1">IFERROR(VLOOKUP($B34,RD[[#All],[Date]:[ISInv8]],F$2,0)/F$1,"")</f>
        <v/>
      </c>
      <c r="G34" s="200" t="str">
        <f ca="1">IFERROR(VLOOKUP($B34,RD[[#All],[Date]:[ISInv8]],G$2,0)/G$1,"")</f>
        <v/>
      </c>
      <c r="H34" s="200" t="str">
        <f ca="1">IFERROR(VLOOKUP($B34,RD[[#All],[Date]:[ISInv8]],H$2,0)/H$1,"")</f>
        <v/>
      </c>
      <c r="I34" s="200" t="str">
        <f ca="1">IFERROR(VLOOKUP($B34,RD[[#All],[Date]:[ISInv8]],I$2,0)/I$1,"")</f>
        <v/>
      </c>
      <c r="J34" s="200" t="str">
        <f ca="1">IFERROR(VLOOKUP($B34,RD[[#All],[Date]:[ISInv8]],J$2,0)/J$1,"")</f>
        <v/>
      </c>
      <c r="K34" s="200" t="str">
        <f ca="1">IFERROR(VLOOKUP($B34,RD[[#All],[Date]:[ISInv8]],K$2,0)/K$1,"")</f>
        <v/>
      </c>
      <c r="L34" s="200" t="str">
        <f ca="1">IFERROR(VLOOKUP($B34,RD[[#All],[Date]:[ISInv8]],L$2,0)/L$1,"")</f>
        <v/>
      </c>
      <c r="M34" s="200" t="str">
        <f ca="1">IFERROR(VLOOKUP($B34,RD[[#All],[Date]:[ISInv8]],M$2,0)/M$1,"")</f>
        <v/>
      </c>
      <c r="N34" s="200" t="str">
        <f ca="1">IFERROR(VLOOKUP($B34,RD[[#All],[Date]:[ISInv8]],N$2,0)/N$1,"")</f>
        <v/>
      </c>
      <c r="O34" s="200" t="str">
        <f ca="1">IFERROR(VLOOKUP($B34,RD[[#All],[Date]:[ISInv8]],O$2,0)/O$1,"")</f>
        <v/>
      </c>
      <c r="P34" s="200" t="str">
        <f ca="1">IFERROR(VLOOKUP($B34,RD[[#All],[Date]:[ISInv8]],P$2,0)/P$1,"")</f>
        <v/>
      </c>
      <c r="Q34" s="200" t="str">
        <f ca="1">IFERROR(VLOOKUP($B34,RD[[#All],[Date]:[ISInv8]],Q$2,0)/Q$1,"")</f>
        <v/>
      </c>
      <c r="R34" s="200" t="str">
        <f ca="1">IFERROR(VLOOKUP($B34,RD[[#All],[Date]:[ISInv8]],R$2,0)/R$1,"")</f>
        <v/>
      </c>
      <c r="S34" s="200" t="str">
        <f ca="1">IFERROR(VLOOKUP($B34,RD[[#All],[Date]:[ISInv8]],S$2,0)/S$1,"")</f>
        <v/>
      </c>
      <c r="T34" s="200" t="str">
        <f ca="1">IFERROR(VLOOKUP($B34,RD[[#All],[Date]:[ISInv8]],T$2,0)/T$1,"")</f>
        <v/>
      </c>
      <c r="U34" s="200" t="str">
        <f ca="1">IFERROR(VLOOKUP($B34,RD[[#All],[Date]:[ISInv8]],U$2,0)/U$1,"")</f>
        <v/>
      </c>
      <c r="V34" s="200" t="str">
        <f ca="1">IFERROR(VLOOKUP($B34,RD[[#All],[Date]:[ISInv8]],V$2,0)/V$1,"")</f>
        <v/>
      </c>
      <c r="W34" s="200" t="str">
        <f ca="1">IFERROR(VLOOKUP($B34,RD[[#All],[Date]:[ISInv8]],W$2,0)/W$1,"")</f>
        <v/>
      </c>
      <c r="X34" s="200" t="str">
        <f ca="1">IFERROR(VLOOKUP($B34,RD[[#All],[Date]:[ISInv8]],X$2,0)/X$1,"")</f>
        <v/>
      </c>
      <c r="Y34" s="200" t="str">
        <f ca="1">IFERROR(VLOOKUP($B34,RD[[#All],[Date]:[ISInv8]],Y$2,0)/Y$1,"")</f>
        <v/>
      </c>
      <c r="Z34" s="200" t="str">
        <f ca="1">IFERROR(AVERAGEIF(Inv_SY_B[[#This Row],[IS2Inv1M1]:[IS5Inv2M3]],"&lt;&gt;0",Inv_SY_B[[#This Row],[IS2Inv1M1]:[IS5Inv2M3]]),"")</f>
        <v/>
      </c>
    </row>
    <row r="35" spans="2:26">
      <c r="B35" s="199">
        <f t="shared" ca="1" si="3"/>
        <v>45823</v>
      </c>
      <c r="C35" s="200" t="str">
        <f ca="1">IFERROR(VLOOKUP($B35,RD[[#All],[Date]:[ISInv8]],C$2,0)/C$1,"")</f>
        <v/>
      </c>
      <c r="D35" s="200" t="str">
        <f ca="1">IFERROR(VLOOKUP($B35,RD[[#All],[Date]:[ISInv8]],D$2,0)/D$1,"")</f>
        <v/>
      </c>
      <c r="E35" s="200" t="str">
        <f ca="1">IFERROR(VLOOKUP($B35,RD[[#All],[Date]:[ISInv8]],E$2,0)/E$1,"")</f>
        <v/>
      </c>
      <c r="F35" s="200" t="str">
        <f ca="1">IFERROR(VLOOKUP($B35,RD[[#All],[Date]:[ISInv8]],F$2,0)/F$1,"")</f>
        <v/>
      </c>
      <c r="G35" s="200" t="str">
        <f ca="1">IFERROR(VLOOKUP($B35,RD[[#All],[Date]:[ISInv8]],G$2,0)/G$1,"")</f>
        <v/>
      </c>
      <c r="H35" s="200" t="str">
        <f ca="1">IFERROR(VLOOKUP($B35,RD[[#All],[Date]:[ISInv8]],H$2,0)/H$1,"")</f>
        <v/>
      </c>
      <c r="I35" s="200" t="str">
        <f ca="1">IFERROR(VLOOKUP($B35,RD[[#All],[Date]:[ISInv8]],I$2,0)/I$1,"")</f>
        <v/>
      </c>
      <c r="J35" s="200" t="str">
        <f ca="1">IFERROR(VLOOKUP($B35,RD[[#All],[Date]:[ISInv8]],J$2,0)/J$1,"")</f>
        <v/>
      </c>
      <c r="K35" s="200" t="str">
        <f ca="1">IFERROR(VLOOKUP($B35,RD[[#All],[Date]:[ISInv8]],K$2,0)/K$1,"")</f>
        <v/>
      </c>
      <c r="L35" s="200" t="str">
        <f ca="1">IFERROR(VLOOKUP($B35,RD[[#All],[Date]:[ISInv8]],L$2,0)/L$1,"")</f>
        <v/>
      </c>
      <c r="M35" s="200" t="str">
        <f ca="1">IFERROR(VLOOKUP($B35,RD[[#All],[Date]:[ISInv8]],M$2,0)/M$1,"")</f>
        <v/>
      </c>
      <c r="N35" s="200" t="str">
        <f ca="1">IFERROR(VLOOKUP($B35,RD[[#All],[Date]:[ISInv8]],N$2,0)/N$1,"")</f>
        <v/>
      </c>
      <c r="O35" s="200" t="str">
        <f ca="1">IFERROR(VLOOKUP($B35,RD[[#All],[Date]:[ISInv8]],O$2,0)/O$1,"")</f>
        <v/>
      </c>
      <c r="P35" s="200" t="str">
        <f ca="1">IFERROR(VLOOKUP($B35,RD[[#All],[Date]:[ISInv8]],P$2,0)/P$1,"")</f>
        <v/>
      </c>
      <c r="Q35" s="200" t="str">
        <f ca="1">IFERROR(VLOOKUP($B35,RD[[#All],[Date]:[ISInv8]],Q$2,0)/Q$1,"")</f>
        <v/>
      </c>
      <c r="R35" s="200" t="str">
        <f ca="1">IFERROR(VLOOKUP($B35,RD[[#All],[Date]:[ISInv8]],R$2,0)/R$1,"")</f>
        <v/>
      </c>
      <c r="S35" s="200" t="str">
        <f ca="1">IFERROR(VLOOKUP($B35,RD[[#All],[Date]:[ISInv8]],S$2,0)/S$1,"")</f>
        <v/>
      </c>
      <c r="T35" s="200" t="str">
        <f ca="1">IFERROR(VLOOKUP($B35,RD[[#All],[Date]:[ISInv8]],T$2,0)/T$1,"")</f>
        <v/>
      </c>
      <c r="U35" s="200" t="str">
        <f ca="1">IFERROR(VLOOKUP($B35,RD[[#All],[Date]:[ISInv8]],U$2,0)/U$1,"")</f>
        <v/>
      </c>
      <c r="V35" s="200" t="str">
        <f ca="1">IFERROR(VLOOKUP($B35,RD[[#All],[Date]:[ISInv8]],V$2,0)/V$1,"")</f>
        <v/>
      </c>
      <c r="W35" s="200" t="str">
        <f ca="1">IFERROR(VLOOKUP($B35,RD[[#All],[Date]:[ISInv8]],W$2,0)/W$1,"")</f>
        <v/>
      </c>
      <c r="X35" s="200" t="str">
        <f ca="1">IFERROR(VLOOKUP($B35,RD[[#All],[Date]:[ISInv8]],X$2,0)/X$1,"")</f>
        <v/>
      </c>
      <c r="Y35" s="200" t="str">
        <f ca="1">IFERROR(VLOOKUP($B35,RD[[#All],[Date]:[ISInv8]],Y$2,0)/Y$1,"")</f>
        <v/>
      </c>
      <c r="Z35" s="200" t="str">
        <f ca="1">IFERROR(AVERAGEIF(Inv_SY_B[[#This Row],[IS2Inv1M1]:[IS5Inv2M3]],"&lt;&gt;0",Inv_SY_B[[#This Row],[IS2Inv1M1]:[IS5Inv2M3]]),"")</f>
        <v/>
      </c>
    </row>
    <row r="36" spans="2:26">
      <c r="B36" s="199">
        <f t="shared" ca="1" si="3"/>
        <v>45824</v>
      </c>
      <c r="C36" s="200" t="str">
        <f ca="1">IFERROR(VLOOKUP($B36,RD[[#All],[Date]:[ISInv8]],C$2,0)/C$1,"")</f>
        <v/>
      </c>
      <c r="D36" s="200" t="str">
        <f ca="1">IFERROR(VLOOKUP($B36,RD[[#All],[Date]:[ISInv8]],D$2,0)/D$1,"")</f>
        <v/>
      </c>
      <c r="E36" s="200" t="str">
        <f ca="1">IFERROR(VLOOKUP($B36,RD[[#All],[Date]:[ISInv8]],E$2,0)/E$1,"")</f>
        <v/>
      </c>
      <c r="F36" s="200" t="str">
        <f ca="1">IFERROR(VLOOKUP($B36,RD[[#All],[Date]:[ISInv8]],F$2,0)/F$1,"")</f>
        <v/>
      </c>
      <c r="G36" s="200" t="str">
        <f ca="1">IFERROR(VLOOKUP($B36,RD[[#All],[Date]:[ISInv8]],G$2,0)/G$1,"")</f>
        <v/>
      </c>
      <c r="H36" s="200" t="str">
        <f ca="1">IFERROR(VLOOKUP($B36,RD[[#All],[Date]:[ISInv8]],H$2,0)/H$1,"")</f>
        <v/>
      </c>
      <c r="I36" s="200" t="str">
        <f ca="1">IFERROR(VLOOKUP($B36,RD[[#All],[Date]:[ISInv8]],I$2,0)/I$1,"")</f>
        <v/>
      </c>
      <c r="J36" s="200" t="str">
        <f ca="1">IFERROR(VLOOKUP($B36,RD[[#All],[Date]:[ISInv8]],J$2,0)/J$1,"")</f>
        <v/>
      </c>
      <c r="K36" s="200" t="str">
        <f ca="1">IFERROR(VLOOKUP($B36,RD[[#All],[Date]:[ISInv8]],K$2,0)/K$1,"")</f>
        <v/>
      </c>
      <c r="L36" s="200" t="str">
        <f ca="1">IFERROR(VLOOKUP($B36,RD[[#All],[Date]:[ISInv8]],L$2,0)/L$1,"")</f>
        <v/>
      </c>
      <c r="M36" s="200" t="str">
        <f ca="1">IFERROR(VLOOKUP($B36,RD[[#All],[Date]:[ISInv8]],M$2,0)/M$1,"")</f>
        <v/>
      </c>
      <c r="N36" s="200" t="str">
        <f ca="1">IFERROR(VLOOKUP($B36,RD[[#All],[Date]:[ISInv8]],N$2,0)/N$1,"")</f>
        <v/>
      </c>
      <c r="O36" s="200" t="str">
        <f ca="1">IFERROR(VLOOKUP($B36,RD[[#All],[Date]:[ISInv8]],O$2,0)/O$1,"")</f>
        <v/>
      </c>
      <c r="P36" s="200" t="str">
        <f ca="1">IFERROR(VLOOKUP($B36,RD[[#All],[Date]:[ISInv8]],P$2,0)/P$1,"")</f>
        <v/>
      </c>
      <c r="Q36" s="200" t="str">
        <f ca="1">IFERROR(VLOOKUP($B36,RD[[#All],[Date]:[ISInv8]],Q$2,0)/Q$1,"")</f>
        <v/>
      </c>
      <c r="R36" s="200" t="str">
        <f ca="1">IFERROR(VLOOKUP($B36,RD[[#All],[Date]:[ISInv8]],R$2,0)/R$1,"")</f>
        <v/>
      </c>
      <c r="S36" s="200" t="str">
        <f ca="1">IFERROR(VLOOKUP($B36,RD[[#All],[Date]:[ISInv8]],S$2,0)/S$1,"")</f>
        <v/>
      </c>
      <c r="T36" s="200" t="str">
        <f ca="1">IFERROR(VLOOKUP($B36,RD[[#All],[Date]:[ISInv8]],T$2,0)/T$1,"")</f>
        <v/>
      </c>
      <c r="U36" s="200" t="str">
        <f ca="1">IFERROR(VLOOKUP($B36,RD[[#All],[Date]:[ISInv8]],U$2,0)/U$1,"")</f>
        <v/>
      </c>
      <c r="V36" s="200" t="str">
        <f ca="1">IFERROR(VLOOKUP($B36,RD[[#All],[Date]:[ISInv8]],V$2,0)/V$1,"")</f>
        <v/>
      </c>
      <c r="W36" s="200" t="str">
        <f ca="1">IFERROR(VLOOKUP($B36,RD[[#All],[Date]:[ISInv8]],W$2,0)/W$1,"")</f>
        <v/>
      </c>
      <c r="X36" s="200" t="str">
        <f ca="1">IFERROR(VLOOKUP($B36,RD[[#All],[Date]:[ISInv8]],X$2,0)/X$1,"")</f>
        <v/>
      </c>
      <c r="Y36" s="200" t="str">
        <f ca="1">IFERROR(VLOOKUP($B36,RD[[#All],[Date]:[ISInv8]],Y$2,0)/Y$1,"")</f>
        <v/>
      </c>
      <c r="Z36" s="200" t="str">
        <f ca="1">IFERROR(AVERAGEIF(Inv_SY_B[[#This Row],[IS2Inv1M1]:[IS5Inv2M3]],"&lt;&gt;0",Inv_SY_B[[#This Row],[IS2Inv1M1]:[IS5Inv2M3]]),"")</f>
        <v/>
      </c>
    </row>
    <row r="37" spans="2:26">
      <c r="B37" s="199">
        <f t="shared" ca="1" si="3"/>
        <v>45825</v>
      </c>
      <c r="C37" s="200" t="str">
        <f ca="1">IFERROR(VLOOKUP($B37,RD[[#All],[Date]:[ISInv8]],C$2,0)/C$1,"")</f>
        <v/>
      </c>
      <c r="D37" s="200" t="str">
        <f ca="1">IFERROR(VLOOKUP($B37,RD[[#All],[Date]:[ISInv8]],D$2,0)/D$1,"")</f>
        <v/>
      </c>
      <c r="E37" s="200" t="str">
        <f ca="1">IFERROR(VLOOKUP($B37,RD[[#All],[Date]:[ISInv8]],E$2,0)/E$1,"")</f>
        <v/>
      </c>
      <c r="F37" s="200" t="str">
        <f ca="1">IFERROR(VLOOKUP($B37,RD[[#All],[Date]:[ISInv8]],F$2,0)/F$1,"")</f>
        <v/>
      </c>
      <c r="G37" s="200" t="str">
        <f ca="1">IFERROR(VLOOKUP($B37,RD[[#All],[Date]:[ISInv8]],G$2,0)/G$1,"")</f>
        <v/>
      </c>
      <c r="H37" s="200" t="str">
        <f ca="1">IFERROR(VLOOKUP($B37,RD[[#All],[Date]:[ISInv8]],H$2,0)/H$1,"")</f>
        <v/>
      </c>
      <c r="I37" s="200" t="str">
        <f ca="1">IFERROR(VLOOKUP($B37,RD[[#All],[Date]:[ISInv8]],I$2,0)/I$1,"")</f>
        <v/>
      </c>
      <c r="J37" s="200" t="str">
        <f ca="1">IFERROR(VLOOKUP($B37,RD[[#All],[Date]:[ISInv8]],J$2,0)/J$1,"")</f>
        <v/>
      </c>
      <c r="K37" s="200" t="str">
        <f ca="1">IFERROR(VLOOKUP($B37,RD[[#All],[Date]:[ISInv8]],K$2,0)/K$1,"")</f>
        <v/>
      </c>
      <c r="L37" s="200" t="str">
        <f ca="1">IFERROR(VLOOKUP($B37,RD[[#All],[Date]:[ISInv8]],L$2,0)/L$1,"")</f>
        <v/>
      </c>
      <c r="M37" s="200" t="str">
        <f ca="1">IFERROR(VLOOKUP($B37,RD[[#All],[Date]:[ISInv8]],M$2,0)/M$1,"")</f>
        <v/>
      </c>
      <c r="N37" s="200" t="str">
        <f ca="1">IFERROR(VLOOKUP($B37,RD[[#All],[Date]:[ISInv8]],N$2,0)/N$1,"")</f>
        <v/>
      </c>
      <c r="O37" s="200" t="str">
        <f ca="1">IFERROR(VLOOKUP($B37,RD[[#All],[Date]:[ISInv8]],O$2,0)/O$1,"")</f>
        <v/>
      </c>
      <c r="P37" s="200" t="str">
        <f ca="1">IFERROR(VLOOKUP($B37,RD[[#All],[Date]:[ISInv8]],P$2,0)/P$1,"")</f>
        <v/>
      </c>
      <c r="Q37" s="200" t="str">
        <f ca="1">IFERROR(VLOOKUP($B37,RD[[#All],[Date]:[ISInv8]],Q$2,0)/Q$1,"")</f>
        <v/>
      </c>
      <c r="R37" s="200" t="str">
        <f ca="1">IFERROR(VLOOKUP($B37,RD[[#All],[Date]:[ISInv8]],R$2,0)/R$1,"")</f>
        <v/>
      </c>
      <c r="S37" s="200" t="str">
        <f ca="1">IFERROR(VLOOKUP($B37,RD[[#All],[Date]:[ISInv8]],S$2,0)/S$1,"")</f>
        <v/>
      </c>
      <c r="T37" s="200" t="str">
        <f ca="1">IFERROR(VLOOKUP($B37,RD[[#All],[Date]:[ISInv8]],T$2,0)/T$1,"")</f>
        <v/>
      </c>
      <c r="U37" s="200" t="str">
        <f ca="1">IFERROR(VLOOKUP($B37,RD[[#All],[Date]:[ISInv8]],U$2,0)/U$1,"")</f>
        <v/>
      </c>
      <c r="V37" s="200" t="str">
        <f ca="1">IFERROR(VLOOKUP($B37,RD[[#All],[Date]:[ISInv8]],V$2,0)/V$1,"")</f>
        <v/>
      </c>
      <c r="W37" s="200" t="str">
        <f ca="1">IFERROR(VLOOKUP($B37,RD[[#All],[Date]:[ISInv8]],W$2,0)/W$1,"")</f>
        <v/>
      </c>
      <c r="X37" s="200" t="str">
        <f ca="1">IFERROR(VLOOKUP($B37,RD[[#All],[Date]:[ISInv8]],X$2,0)/X$1,"")</f>
        <v/>
      </c>
      <c r="Y37" s="200" t="str">
        <f ca="1">IFERROR(VLOOKUP($B37,RD[[#All],[Date]:[ISInv8]],Y$2,0)/Y$1,"")</f>
        <v/>
      </c>
      <c r="Z37" s="200" t="str">
        <f ca="1">IFERROR(AVERAGEIF(Inv_SY_B[[#This Row],[IS2Inv1M1]:[IS5Inv2M3]],"&lt;&gt;0",Inv_SY_B[[#This Row],[IS2Inv1M1]:[IS5Inv2M3]]),"")</f>
        <v/>
      </c>
    </row>
    <row r="38" spans="2:26">
      <c r="B38" s="199">
        <f t="shared" ca="1" si="3"/>
        <v>45826</v>
      </c>
      <c r="C38" s="200" t="str">
        <f ca="1">IFERROR(VLOOKUP($B38,RD[[#All],[Date]:[ISInv8]],C$2,0)/C$1,"")</f>
        <v/>
      </c>
      <c r="D38" s="200" t="str">
        <f ca="1">IFERROR(VLOOKUP($B38,RD[[#All],[Date]:[ISInv8]],D$2,0)/D$1,"")</f>
        <v/>
      </c>
      <c r="E38" s="200" t="str">
        <f ca="1">IFERROR(VLOOKUP($B38,RD[[#All],[Date]:[ISInv8]],E$2,0)/E$1,"")</f>
        <v/>
      </c>
      <c r="F38" s="200" t="str">
        <f ca="1">IFERROR(VLOOKUP($B38,RD[[#All],[Date]:[ISInv8]],F$2,0)/F$1,"")</f>
        <v/>
      </c>
      <c r="G38" s="200" t="str">
        <f ca="1">IFERROR(VLOOKUP($B38,RD[[#All],[Date]:[ISInv8]],G$2,0)/G$1,"")</f>
        <v/>
      </c>
      <c r="H38" s="200" t="str">
        <f ca="1">IFERROR(VLOOKUP($B38,RD[[#All],[Date]:[ISInv8]],H$2,0)/H$1,"")</f>
        <v/>
      </c>
      <c r="I38" s="200" t="str">
        <f ca="1">IFERROR(VLOOKUP($B38,RD[[#All],[Date]:[ISInv8]],I$2,0)/I$1,"")</f>
        <v/>
      </c>
      <c r="J38" s="200" t="str">
        <f ca="1">IFERROR(VLOOKUP($B38,RD[[#All],[Date]:[ISInv8]],J$2,0)/J$1,"")</f>
        <v/>
      </c>
      <c r="K38" s="200" t="str">
        <f ca="1">IFERROR(VLOOKUP($B38,RD[[#All],[Date]:[ISInv8]],K$2,0)/K$1,"")</f>
        <v/>
      </c>
      <c r="L38" s="200" t="str">
        <f ca="1">IFERROR(VLOOKUP($B38,RD[[#All],[Date]:[ISInv8]],L$2,0)/L$1,"")</f>
        <v/>
      </c>
      <c r="M38" s="200" t="str">
        <f ca="1">IFERROR(VLOOKUP($B38,RD[[#All],[Date]:[ISInv8]],M$2,0)/M$1,"")</f>
        <v/>
      </c>
      <c r="N38" s="200" t="str">
        <f ca="1">IFERROR(VLOOKUP($B38,RD[[#All],[Date]:[ISInv8]],N$2,0)/N$1,"")</f>
        <v/>
      </c>
      <c r="O38" s="200" t="str">
        <f ca="1">IFERROR(VLOOKUP($B38,RD[[#All],[Date]:[ISInv8]],O$2,0)/O$1,"")</f>
        <v/>
      </c>
      <c r="P38" s="200" t="str">
        <f ca="1">IFERROR(VLOOKUP($B38,RD[[#All],[Date]:[ISInv8]],P$2,0)/P$1,"")</f>
        <v/>
      </c>
      <c r="Q38" s="200" t="str">
        <f ca="1">IFERROR(VLOOKUP($B38,RD[[#All],[Date]:[ISInv8]],Q$2,0)/Q$1,"")</f>
        <v/>
      </c>
      <c r="R38" s="200" t="str">
        <f ca="1">IFERROR(VLOOKUP($B38,RD[[#All],[Date]:[ISInv8]],R$2,0)/R$1,"")</f>
        <v/>
      </c>
      <c r="S38" s="200" t="str">
        <f ca="1">IFERROR(VLOOKUP($B38,RD[[#All],[Date]:[ISInv8]],S$2,0)/S$1,"")</f>
        <v/>
      </c>
      <c r="T38" s="200" t="str">
        <f ca="1">IFERROR(VLOOKUP($B38,RD[[#All],[Date]:[ISInv8]],T$2,0)/T$1,"")</f>
        <v/>
      </c>
      <c r="U38" s="200" t="str">
        <f ca="1">IFERROR(VLOOKUP($B38,RD[[#All],[Date]:[ISInv8]],U$2,0)/U$1,"")</f>
        <v/>
      </c>
      <c r="V38" s="200" t="str">
        <f ca="1">IFERROR(VLOOKUP($B38,RD[[#All],[Date]:[ISInv8]],V$2,0)/V$1,"")</f>
        <v/>
      </c>
      <c r="W38" s="200" t="str">
        <f ca="1">IFERROR(VLOOKUP($B38,RD[[#All],[Date]:[ISInv8]],W$2,0)/W$1,"")</f>
        <v/>
      </c>
      <c r="X38" s="200" t="str">
        <f ca="1">IFERROR(VLOOKUP($B38,RD[[#All],[Date]:[ISInv8]],X$2,0)/X$1,"")</f>
        <v/>
      </c>
      <c r="Y38" s="200" t="str">
        <f ca="1">IFERROR(VLOOKUP($B38,RD[[#All],[Date]:[ISInv8]],Y$2,0)/Y$1,"")</f>
        <v/>
      </c>
      <c r="Z38" s="200" t="str">
        <f ca="1">IFERROR(AVERAGEIF(Inv_SY_B[[#This Row],[IS2Inv1M1]:[IS5Inv2M3]],"&lt;&gt;0",Inv_SY_B[[#This Row],[IS2Inv1M1]:[IS5Inv2M3]]),"")</f>
        <v/>
      </c>
    </row>
    <row r="39" spans="2:26">
      <c r="B39" s="199">
        <f t="shared" ca="1" si="3"/>
        <v>45827</v>
      </c>
      <c r="C39" s="200" t="str">
        <f ca="1">IFERROR(VLOOKUP($B39,RD[[#All],[Date]:[ISInv8]],C$2,0)/C$1,"")</f>
        <v/>
      </c>
      <c r="D39" s="200" t="str">
        <f ca="1">IFERROR(VLOOKUP($B39,RD[[#All],[Date]:[ISInv8]],D$2,0)/D$1,"")</f>
        <v/>
      </c>
      <c r="E39" s="200" t="str">
        <f ca="1">IFERROR(VLOOKUP($B39,RD[[#All],[Date]:[ISInv8]],E$2,0)/E$1,"")</f>
        <v/>
      </c>
      <c r="F39" s="200" t="str">
        <f ca="1">IFERROR(VLOOKUP($B39,RD[[#All],[Date]:[ISInv8]],F$2,0)/F$1,"")</f>
        <v/>
      </c>
      <c r="G39" s="200" t="str">
        <f ca="1">IFERROR(VLOOKUP($B39,RD[[#All],[Date]:[ISInv8]],G$2,0)/G$1,"")</f>
        <v/>
      </c>
      <c r="H39" s="200" t="str">
        <f ca="1">IFERROR(VLOOKUP($B39,RD[[#All],[Date]:[ISInv8]],H$2,0)/H$1,"")</f>
        <v/>
      </c>
      <c r="I39" s="200" t="str">
        <f ca="1">IFERROR(VLOOKUP($B39,RD[[#All],[Date]:[ISInv8]],I$2,0)/I$1,"")</f>
        <v/>
      </c>
      <c r="J39" s="200" t="str">
        <f ca="1">IFERROR(VLOOKUP($B39,RD[[#All],[Date]:[ISInv8]],J$2,0)/J$1,"")</f>
        <v/>
      </c>
      <c r="K39" s="200" t="str">
        <f ca="1">IFERROR(VLOOKUP($B39,RD[[#All],[Date]:[ISInv8]],K$2,0)/K$1,"")</f>
        <v/>
      </c>
      <c r="L39" s="200" t="str">
        <f ca="1">IFERROR(VLOOKUP($B39,RD[[#All],[Date]:[ISInv8]],L$2,0)/L$1,"")</f>
        <v/>
      </c>
      <c r="M39" s="200" t="str">
        <f ca="1">IFERROR(VLOOKUP($B39,RD[[#All],[Date]:[ISInv8]],M$2,0)/M$1,"")</f>
        <v/>
      </c>
      <c r="N39" s="200" t="str">
        <f ca="1">IFERROR(VLOOKUP($B39,RD[[#All],[Date]:[ISInv8]],N$2,0)/N$1,"")</f>
        <v/>
      </c>
      <c r="O39" s="200" t="str">
        <f ca="1">IFERROR(VLOOKUP($B39,RD[[#All],[Date]:[ISInv8]],O$2,0)/O$1,"")</f>
        <v/>
      </c>
      <c r="P39" s="200" t="str">
        <f ca="1">IFERROR(VLOOKUP($B39,RD[[#All],[Date]:[ISInv8]],P$2,0)/P$1,"")</f>
        <v/>
      </c>
      <c r="Q39" s="200" t="str">
        <f ca="1">IFERROR(VLOOKUP($B39,RD[[#All],[Date]:[ISInv8]],Q$2,0)/Q$1,"")</f>
        <v/>
      </c>
      <c r="R39" s="200" t="str">
        <f ca="1">IFERROR(VLOOKUP($B39,RD[[#All],[Date]:[ISInv8]],R$2,0)/R$1,"")</f>
        <v/>
      </c>
      <c r="S39" s="200" t="str">
        <f ca="1">IFERROR(VLOOKUP($B39,RD[[#All],[Date]:[ISInv8]],S$2,0)/S$1,"")</f>
        <v/>
      </c>
      <c r="T39" s="200" t="str">
        <f ca="1">IFERROR(VLOOKUP($B39,RD[[#All],[Date]:[ISInv8]],T$2,0)/T$1,"")</f>
        <v/>
      </c>
      <c r="U39" s="200" t="str">
        <f ca="1">IFERROR(VLOOKUP($B39,RD[[#All],[Date]:[ISInv8]],U$2,0)/U$1,"")</f>
        <v/>
      </c>
      <c r="V39" s="200" t="str">
        <f ca="1">IFERROR(VLOOKUP($B39,RD[[#All],[Date]:[ISInv8]],V$2,0)/V$1,"")</f>
        <v/>
      </c>
      <c r="W39" s="200" t="str">
        <f ca="1">IFERROR(VLOOKUP($B39,RD[[#All],[Date]:[ISInv8]],W$2,0)/W$1,"")</f>
        <v/>
      </c>
      <c r="X39" s="200" t="str">
        <f ca="1">IFERROR(VLOOKUP($B39,RD[[#All],[Date]:[ISInv8]],X$2,0)/X$1,"")</f>
        <v/>
      </c>
      <c r="Y39" s="200" t="str">
        <f ca="1">IFERROR(VLOOKUP($B39,RD[[#All],[Date]:[ISInv8]],Y$2,0)/Y$1,"")</f>
        <v/>
      </c>
      <c r="Z39" s="200" t="str">
        <f ca="1">IFERROR(AVERAGEIF(Inv_SY_B[[#This Row],[IS2Inv1M1]:[IS5Inv2M3]],"&lt;&gt;0",Inv_SY_B[[#This Row],[IS2Inv1M1]:[IS5Inv2M3]]),"")</f>
        <v/>
      </c>
    </row>
    <row r="40" spans="2:26">
      <c r="B40" s="199">
        <f t="shared" ca="1" si="3"/>
        <v>45828</v>
      </c>
      <c r="C40" s="200" t="str">
        <f ca="1">IFERROR(VLOOKUP($B40,RD[[#All],[Date]:[ISInv8]],C$2,0)/C$1,"")</f>
        <v/>
      </c>
      <c r="D40" s="200" t="str">
        <f ca="1">IFERROR(VLOOKUP($B40,RD[[#All],[Date]:[ISInv8]],D$2,0)/D$1,"")</f>
        <v/>
      </c>
      <c r="E40" s="200" t="str">
        <f ca="1">IFERROR(VLOOKUP($B40,RD[[#All],[Date]:[ISInv8]],E$2,0)/E$1,"")</f>
        <v/>
      </c>
      <c r="F40" s="200" t="str">
        <f ca="1">IFERROR(VLOOKUP($B40,RD[[#All],[Date]:[ISInv8]],F$2,0)/F$1,"")</f>
        <v/>
      </c>
      <c r="G40" s="200" t="str">
        <f ca="1">IFERROR(VLOOKUP($B40,RD[[#All],[Date]:[ISInv8]],G$2,0)/G$1,"")</f>
        <v/>
      </c>
      <c r="H40" s="200" t="str">
        <f ca="1">IFERROR(VLOOKUP($B40,RD[[#All],[Date]:[ISInv8]],H$2,0)/H$1,"")</f>
        <v/>
      </c>
      <c r="I40" s="200" t="str">
        <f ca="1">IFERROR(VLOOKUP($B40,RD[[#All],[Date]:[ISInv8]],I$2,0)/I$1,"")</f>
        <v/>
      </c>
      <c r="J40" s="200" t="str">
        <f ca="1">IFERROR(VLOOKUP($B40,RD[[#All],[Date]:[ISInv8]],J$2,0)/J$1,"")</f>
        <v/>
      </c>
      <c r="K40" s="200" t="str">
        <f ca="1">IFERROR(VLOOKUP($B40,RD[[#All],[Date]:[ISInv8]],K$2,0)/K$1,"")</f>
        <v/>
      </c>
      <c r="L40" s="200" t="str">
        <f ca="1">IFERROR(VLOOKUP($B40,RD[[#All],[Date]:[ISInv8]],L$2,0)/L$1,"")</f>
        <v/>
      </c>
      <c r="M40" s="200" t="str">
        <f ca="1">IFERROR(VLOOKUP($B40,RD[[#All],[Date]:[ISInv8]],M$2,0)/M$1,"")</f>
        <v/>
      </c>
      <c r="N40" s="200" t="str">
        <f ca="1">IFERROR(VLOOKUP($B40,RD[[#All],[Date]:[ISInv8]],N$2,0)/N$1,"")</f>
        <v/>
      </c>
      <c r="O40" s="200" t="str">
        <f ca="1">IFERROR(VLOOKUP($B40,RD[[#All],[Date]:[ISInv8]],O$2,0)/O$1,"")</f>
        <v/>
      </c>
      <c r="P40" s="200" t="str">
        <f ca="1">IFERROR(VLOOKUP($B40,RD[[#All],[Date]:[ISInv8]],P$2,0)/P$1,"")</f>
        <v/>
      </c>
      <c r="Q40" s="200" t="str">
        <f ca="1">IFERROR(VLOOKUP($B40,RD[[#All],[Date]:[ISInv8]],Q$2,0)/Q$1,"")</f>
        <v/>
      </c>
      <c r="R40" s="200" t="str">
        <f ca="1">IFERROR(VLOOKUP($B40,RD[[#All],[Date]:[ISInv8]],R$2,0)/R$1,"")</f>
        <v/>
      </c>
      <c r="S40" s="200" t="str">
        <f ca="1">IFERROR(VLOOKUP($B40,RD[[#All],[Date]:[ISInv8]],S$2,0)/S$1,"")</f>
        <v/>
      </c>
      <c r="T40" s="200" t="str">
        <f ca="1">IFERROR(VLOOKUP($B40,RD[[#All],[Date]:[ISInv8]],T$2,0)/T$1,"")</f>
        <v/>
      </c>
      <c r="U40" s="200" t="str">
        <f ca="1">IFERROR(VLOOKUP($B40,RD[[#All],[Date]:[ISInv8]],U$2,0)/U$1,"")</f>
        <v/>
      </c>
      <c r="V40" s="200" t="str">
        <f ca="1">IFERROR(VLOOKUP($B40,RD[[#All],[Date]:[ISInv8]],V$2,0)/V$1,"")</f>
        <v/>
      </c>
      <c r="W40" s="200" t="str">
        <f ca="1">IFERROR(VLOOKUP($B40,RD[[#All],[Date]:[ISInv8]],W$2,0)/W$1,"")</f>
        <v/>
      </c>
      <c r="X40" s="200" t="str">
        <f ca="1">IFERROR(VLOOKUP($B40,RD[[#All],[Date]:[ISInv8]],X$2,0)/X$1,"")</f>
        <v/>
      </c>
      <c r="Y40" s="200" t="str">
        <f ca="1">IFERROR(VLOOKUP($B40,RD[[#All],[Date]:[ISInv8]],Y$2,0)/Y$1,"")</f>
        <v/>
      </c>
      <c r="Z40" s="200" t="str">
        <f ca="1">IFERROR(AVERAGEIF(Inv_SY_B[[#This Row],[IS2Inv1M1]:[IS5Inv2M3]],"&lt;&gt;0",Inv_SY_B[[#This Row],[IS2Inv1M1]:[IS5Inv2M3]]),"")</f>
        <v/>
      </c>
    </row>
    <row r="41" spans="2:26">
      <c r="B41" s="199">
        <f t="shared" ca="1" si="3"/>
        <v>45829</v>
      </c>
      <c r="C41" s="200" t="str">
        <f ca="1">IFERROR(VLOOKUP($B41,RD[[#All],[Date]:[ISInv8]],C$2,0)/C$1,"")</f>
        <v/>
      </c>
      <c r="D41" s="200" t="str">
        <f ca="1">IFERROR(VLOOKUP($B41,RD[[#All],[Date]:[ISInv8]],D$2,0)/D$1,"")</f>
        <v/>
      </c>
      <c r="E41" s="200" t="str">
        <f ca="1">IFERROR(VLOOKUP($B41,RD[[#All],[Date]:[ISInv8]],E$2,0)/E$1,"")</f>
        <v/>
      </c>
      <c r="F41" s="200" t="str">
        <f ca="1">IFERROR(VLOOKUP($B41,RD[[#All],[Date]:[ISInv8]],F$2,0)/F$1,"")</f>
        <v/>
      </c>
      <c r="G41" s="200" t="str">
        <f ca="1">IFERROR(VLOOKUP($B41,RD[[#All],[Date]:[ISInv8]],G$2,0)/G$1,"")</f>
        <v/>
      </c>
      <c r="H41" s="200" t="str">
        <f ca="1">IFERROR(VLOOKUP($B41,RD[[#All],[Date]:[ISInv8]],H$2,0)/H$1,"")</f>
        <v/>
      </c>
      <c r="I41" s="200" t="str">
        <f ca="1">IFERROR(VLOOKUP($B41,RD[[#All],[Date]:[ISInv8]],I$2,0)/I$1,"")</f>
        <v/>
      </c>
      <c r="J41" s="200" t="str">
        <f ca="1">IFERROR(VLOOKUP($B41,RD[[#All],[Date]:[ISInv8]],J$2,0)/J$1,"")</f>
        <v/>
      </c>
      <c r="K41" s="200" t="str">
        <f ca="1">IFERROR(VLOOKUP($B41,RD[[#All],[Date]:[ISInv8]],K$2,0)/K$1,"")</f>
        <v/>
      </c>
      <c r="L41" s="200" t="str">
        <f ca="1">IFERROR(VLOOKUP($B41,RD[[#All],[Date]:[ISInv8]],L$2,0)/L$1,"")</f>
        <v/>
      </c>
      <c r="M41" s="200" t="str">
        <f ca="1">IFERROR(VLOOKUP($B41,RD[[#All],[Date]:[ISInv8]],M$2,0)/M$1,"")</f>
        <v/>
      </c>
      <c r="N41" s="200" t="str">
        <f ca="1">IFERROR(VLOOKUP($B41,RD[[#All],[Date]:[ISInv8]],N$2,0)/N$1,"")</f>
        <v/>
      </c>
      <c r="O41" s="200" t="str">
        <f ca="1">IFERROR(VLOOKUP($B41,RD[[#All],[Date]:[ISInv8]],O$2,0)/O$1,"")</f>
        <v/>
      </c>
      <c r="P41" s="200" t="str">
        <f ca="1">IFERROR(VLOOKUP($B41,RD[[#All],[Date]:[ISInv8]],P$2,0)/P$1,"")</f>
        <v/>
      </c>
      <c r="Q41" s="200" t="str">
        <f ca="1">IFERROR(VLOOKUP($B41,RD[[#All],[Date]:[ISInv8]],Q$2,0)/Q$1,"")</f>
        <v/>
      </c>
      <c r="R41" s="200" t="str">
        <f ca="1">IFERROR(VLOOKUP($B41,RD[[#All],[Date]:[ISInv8]],R$2,0)/R$1,"")</f>
        <v/>
      </c>
      <c r="S41" s="200" t="str">
        <f ca="1">IFERROR(VLOOKUP($B41,RD[[#All],[Date]:[ISInv8]],S$2,0)/S$1,"")</f>
        <v/>
      </c>
      <c r="T41" s="200" t="str">
        <f ca="1">IFERROR(VLOOKUP($B41,RD[[#All],[Date]:[ISInv8]],T$2,0)/T$1,"")</f>
        <v/>
      </c>
      <c r="U41" s="200" t="str">
        <f ca="1">IFERROR(VLOOKUP($B41,RD[[#All],[Date]:[ISInv8]],U$2,0)/U$1,"")</f>
        <v/>
      </c>
      <c r="V41" s="200" t="str">
        <f ca="1">IFERROR(VLOOKUP($B41,RD[[#All],[Date]:[ISInv8]],V$2,0)/V$1,"")</f>
        <v/>
      </c>
      <c r="W41" s="200" t="str">
        <f ca="1">IFERROR(VLOOKUP($B41,RD[[#All],[Date]:[ISInv8]],W$2,0)/W$1,"")</f>
        <v/>
      </c>
      <c r="X41" s="200" t="str">
        <f ca="1">IFERROR(VLOOKUP($B41,RD[[#All],[Date]:[ISInv8]],X$2,0)/X$1,"")</f>
        <v/>
      </c>
      <c r="Y41" s="200" t="str">
        <f ca="1">IFERROR(VLOOKUP($B41,RD[[#All],[Date]:[ISInv8]],Y$2,0)/Y$1,"")</f>
        <v/>
      </c>
      <c r="Z41" s="200" t="str">
        <f ca="1">IFERROR(AVERAGEIF(Inv_SY_B[[#This Row],[IS2Inv1M1]:[IS5Inv2M3]],"&lt;&gt;0",Inv_SY_B[[#This Row],[IS2Inv1M1]:[IS5Inv2M3]]),"")</f>
        <v/>
      </c>
    </row>
    <row r="42" spans="2:26">
      <c r="B42" s="199">
        <f t="shared" ca="1" si="3"/>
        <v>45830</v>
      </c>
      <c r="C42" s="200" t="str">
        <f ca="1">IFERROR(VLOOKUP($B42,RD[[#All],[Date]:[ISInv8]],C$2,0)/C$1,"")</f>
        <v/>
      </c>
      <c r="D42" s="200" t="str">
        <f ca="1">IFERROR(VLOOKUP($B42,RD[[#All],[Date]:[ISInv8]],D$2,0)/D$1,"")</f>
        <v/>
      </c>
      <c r="E42" s="200" t="str">
        <f ca="1">IFERROR(VLOOKUP($B42,RD[[#All],[Date]:[ISInv8]],E$2,0)/E$1,"")</f>
        <v/>
      </c>
      <c r="F42" s="200" t="str">
        <f ca="1">IFERROR(VLOOKUP($B42,RD[[#All],[Date]:[ISInv8]],F$2,0)/F$1,"")</f>
        <v/>
      </c>
      <c r="G42" s="200" t="str">
        <f ca="1">IFERROR(VLOOKUP($B42,RD[[#All],[Date]:[ISInv8]],G$2,0)/G$1,"")</f>
        <v/>
      </c>
      <c r="H42" s="200" t="str">
        <f ca="1">IFERROR(VLOOKUP($B42,RD[[#All],[Date]:[ISInv8]],H$2,0)/H$1,"")</f>
        <v/>
      </c>
      <c r="I42" s="200" t="str">
        <f ca="1">IFERROR(VLOOKUP($B42,RD[[#All],[Date]:[ISInv8]],I$2,0)/I$1,"")</f>
        <v/>
      </c>
      <c r="J42" s="200" t="str">
        <f ca="1">IFERROR(VLOOKUP($B42,RD[[#All],[Date]:[ISInv8]],J$2,0)/J$1,"")</f>
        <v/>
      </c>
      <c r="K42" s="200" t="str">
        <f ca="1">IFERROR(VLOOKUP($B42,RD[[#All],[Date]:[ISInv8]],K$2,0)/K$1,"")</f>
        <v/>
      </c>
      <c r="L42" s="200" t="str">
        <f ca="1">IFERROR(VLOOKUP($B42,RD[[#All],[Date]:[ISInv8]],L$2,0)/L$1,"")</f>
        <v/>
      </c>
      <c r="M42" s="200" t="str">
        <f ca="1">IFERROR(VLOOKUP($B42,RD[[#All],[Date]:[ISInv8]],M$2,0)/M$1,"")</f>
        <v/>
      </c>
      <c r="N42" s="200" t="str">
        <f ca="1">IFERROR(VLOOKUP($B42,RD[[#All],[Date]:[ISInv8]],N$2,0)/N$1,"")</f>
        <v/>
      </c>
      <c r="O42" s="200" t="str">
        <f ca="1">IFERROR(VLOOKUP($B42,RD[[#All],[Date]:[ISInv8]],O$2,0)/O$1,"")</f>
        <v/>
      </c>
      <c r="P42" s="200" t="str">
        <f ca="1">IFERROR(VLOOKUP($B42,RD[[#All],[Date]:[ISInv8]],P$2,0)/P$1,"")</f>
        <v/>
      </c>
      <c r="Q42" s="200" t="str">
        <f ca="1">IFERROR(VLOOKUP($B42,RD[[#All],[Date]:[ISInv8]],Q$2,0)/Q$1,"")</f>
        <v/>
      </c>
      <c r="R42" s="200" t="str">
        <f ca="1">IFERROR(VLOOKUP($B42,RD[[#All],[Date]:[ISInv8]],R$2,0)/R$1,"")</f>
        <v/>
      </c>
      <c r="S42" s="200" t="str">
        <f ca="1">IFERROR(VLOOKUP($B42,RD[[#All],[Date]:[ISInv8]],S$2,0)/S$1,"")</f>
        <v/>
      </c>
      <c r="T42" s="200" t="str">
        <f ca="1">IFERROR(VLOOKUP($B42,RD[[#All],[Date]:[ISInv8]],T$2,0)/T$1,"")</f>
        <v/>
      </c>
      <c r="U42" s="200" t="str">
        <f ca="1">IFERROR(VLOOKUP($B42,RD[[#All],[Date]:[ISInv8]],U$2,0)/U$1,"")</f>
        <v/>
      </c>
      <c r="V42" s="200" t="str">
        <f ca="1">IFERROR(VLOOKUP($B42,RD[[#All],[Date]:[ISInv8]],V$2,0)/V$1,"")</f>
        <v/>
      </c>
      <c r="W42" s="200" t="str">
        <f ca="1">IFERROR(VLOOKUP($B42,RD[[#All],[Date]:[ISInv8]],W$2,0)/W$1,"")</f>
        <v/>
      </c>
      <c r="X42" s="200" t="str">
        <f ca="1">IFERROR(VLOOKUP($B42,RD[[#All],[Date]:[ISInv8]],X$2,0)/X$1,"")</f>
        <v/>
      </c>
      <c r="Y42" s="200" t="str">
        <f ca="1">IFERROR(VLOOKUP($B42,RD[[#All],[Date]:[ISInv8]],Y$2,0)/Y$1,"")</f>
        <v/>
      </c>
      <c r="Z42" s="200" t="str">
        <f ca="1">IFERROR(AVERAGEIF(Inv_SY_B[[#This Row],[IS2Inv1M1]:[IS5Inv2M3]],"&lt;&gt;0",Inv_SY_B[[#This Row],[IS2Inv1M1]:[IS5Inv2M3]]),"")</f>
        <v/>
      </c>
    </row>
    <row r="43" spans="2:26">
      <c r="B43" s="199">
        <f t="shared" ca="1" si="3"/>
        <v>45831</v>
      </c>
      <c r="C43" s="200" t="str">
        <f ca="1">IFERROR(VLOOKUP($B43,RD[[#All],[Date]:[ISInv8]],C$2,0)/C$1,"")</f>
        <v/>
      </c>
      <c r="D43" s="200" t="str">
        <f ca="1">IFERROR(VLOOKUP($B43,RD[[#All],[Date]:[ISInv8]],D$2,0)/D$1,"")</f>
        <v/>
      </c>
      <c r="E43" s="200" t="str">
        <f ca="1">IFERROR(VLOOKUP($B43,RD[[#All],[Date]:[ISInv8]],E$2,0)/E$1,"")</f>
        <v/>
      </c>
      <c r="F43" s="200" t="str">
        <f ca="1">IFERROR(VLOOKUP($B43,RD[[#All],[Date]:[ISInv8]],F$2,0)/F$1,"")</f>
        <v/>
      </c>
      <c r="G43" s="200" t="str">
        <f ca="1">IFERROR(VLOOKUP($B43,RD[[#All],[Date]:[ISInv8]],G$2,0)/G$1,"")</f>
        <v/>
      </c>
      <c r="H43" s="200" t="str">
        <f ca="1">IFERROR(VLOOKUP($B43,RD[[#All],[Date]:[ISInv8]],H$2,0)/H$1,"")</f>
        <v/>
      </c>
      <c r="I43" s="200" t="str">
        <f ca="1">IFERROR(VLOOKUP($B43,RD[[#All],[Date]:[ISInv8]],I$2,0)/I$1,"")</f>
        <v/>
      </c>
      <c r="J43" s="200" t="str">
        <f ca="1">IFERROR(VLOOKUP($B43,RD[[#All],[Date]:[ISInv8]],J$2,0)/J$1,"")</f>
        <v/>
      </c>
      <c r="K43" s="200" t="str">
        <f ca="1">IFERROR(VLOOKUP($B43,RD[[#All],[Date]:[ISInv8]],K$2,0)/K$1,"")</f>
        <v/>
      </c>
      <c r="L43" s="200" t="str">
        <f ca="1">IFERROR(VLOOKUP($B43,RD[[#All],[Date]:[ISInv8]],L$2,0)/L$1,"")</f>
        <v/>
      </c>
      <c r="M43" s="200" t="str">
        <f ca="1">IFERROR(VLOOKUP($B43,RD[[#All],[Date]:[ISInv8]],M$2,0)/M$1,"")</f>
        <v/>
      </c>
      <c r="N43" s="200" t="str">
        <f ca="1">IFERROR(VLOOKUP($B43,RD[[#All],[Date]:[ISInv8]],N$2,0)/N$1,"")</f>
        <v/>
      </c>
      <c r="O43" s="200" t="str">
        <f ca="1">IFERROR(VLOOKUP($B43,RD[[#All],[Date]:[ISInv8]],O$2,0)/O$1,"")</f>
        <v/>
      </c>
      <c r="P43" s="200" t="str">
        <f ca="1">IFERROR(VLOOKUP($B43,RD[[#All],[Date]:[ISInv8]],P$2,0)/P$1,"")</f>
        <v/>
      </c>
      <c r="Q43" s="200" t="str">
        <f ca="1">IFERROR(VLOOKUP($B43,RD[[#All],[Date]:[ISInv8]],Q$2,0)/Q$1,"")</f>
        <v/>
      </c>
      <c r="R43" s="200" t="str">
        <f ca="1">IFERROR(VLOOKUP($B43,RD[[#All],[Date]:[ISInv8]],R$2,0)/R$1,"")</f>
        <v/>
      </c>
      <c r="S43" s="200" t="str">
        <f ca="1">IFERROR(VLOOKUP($B43,RD[[#All],[Date]:[ISInv8]],S$2,0)/S$1,"")</f>
        <v/>
      </c>
      <c r="T43" s="200" t="str">
        <f ca="1">IFERROR(VLOOKUP($B43,RD[[#All],[Date]:[ISInv8]],T$2,0)/T$1,"")</f>
        <v/>
      </c>
      <c r="U43" s="200" t="str">
        <f ca="1">IFERROR(VLOOKUP($B43,RD[[#All],[Date]:[ISInv8]],U$2,0)/U$1,"")</f>
        <v/>
      </c>
      <c r="V43" s="200" t="str">
        <f ca="1">IFERROR(VLOOKUP($B43,RD[[#All],[Date]:[ISInv8]],V$2,0)/V$1,"")</f>
        <v/>
      </c>
      <c r="W43" s="200" t="str">
        <f ca="1">IFERROR(VLOOKUP($B43,RD[[#All],[Date]:[ISInv8]],W$2,0)/W$1,"")</f>
        <v/>
      </c>
      <c r="X43" s="200" t="str">
        <f ca="1">IFERROR(VLOOKUP($B43,RD[[#All],[Date]:[ISInv8]],X$2,0)/X$1,"")</f>
        <v/>
      </c>
      <c r="Y43" s="200" t="str">
        <f ca="1">IFERROR(VLOOKUP($B43,RD[[#All],[Date]:[ISInv8]],Y$2,0)/Y$1,"")</f>
        <v/>
      </c>
      <c r="Z43" s="200" t="str">
        <f ca="1">IFERROR(AVERAGEIF(Inv_SY_B[[#This Row],[IS2Inv1M1]:[IS5Inv2M3]],"&lt;&gt;0",Inv_SY_B[[#This Row],[IS2Inv1M1]:[IS5Inv2M3]]),"")</f>
        <v/>
      </c>
    </row>
    <row r="44" spans="2:26">
      <c r="B44" s="199">
        <f t="shared" ca="1" si="3"/>
        <v>45832</v>
      </c>
      <c r="C44" s="200" t="str">
        <f ca="1">IFERROR(VLOOKUP($B44,RD[[#All],[Date]:[ISInv8]],C$2,0)/C$1,"")</f>
        <v/>
      </c>
      <c r="D44" s="200" t="str">
        <f ca="1">IFERROR(VLOOKUP($B44,RD[[#All],[Date]:[ISInv8]],D$2,0)/D$1,"")</f>
        <v/>
      </c>
      <c r="E44" s="200" t="str">
        <f ca="1">IFERROR(VLOOKUP($B44,RD[[#All],[Date]:[ISInv8]],E$2,0)/E$1,"")</f>
        <v/>
      </c>
      <c r="F44" s="200" t="str">
        <f ca="1">IFERROR(VLOOKUP($B44,RD[[#All],[Date]:[ISInv8]],F$2,0)/F$1,"")</f>
        <v/>
      </c>
      <c r="G44" s="200" t="str">
        <f ca="1">IFERROR(VLOOKUP($B44,RD[[#All],[Date]:[ISInv8]],G$2,0)/G$1,"")</f>
        <v/>
      </c>
      <c r="H44" s="200" t="str">
        <f ca="1">IFERROR(VLOOKUP($B44,RD[[#All],[Date]:[ISInv8]],H$2,0)/H$1,"")</f>
        <v/>
      </c>
      <c r="I44" s="200" t="str">
        <f ca="1">IFERROR(VLOOKUP($B44,RD[[#All],[Date]:[ISInv8]],I$2,0)/I$1,"")</f>
        <v/>
      </c>
      <c r="J44" s="200" t="str">
        <f ca="1">IFERROR(VLOOKUP($B44,RD[[#All],[Date]:[ISInv8]],J$2,0)/J$1,"")</f>
        <v/>
      </c>
      <c r="K44" s="200" t="str">
        <f ca="1">IFERROR(VLOOKUP($B44,RD[[#All],[Date]:[ISInv8]],K$2,0)/K$1,"")</f>
        <v/>
      </c>
      <c r="L44" s="200" t="str">
        <f ca="1">IFERROR(VLOOKUP($B44,RD[[#All],[Date]:[ISInv8]],L$2,0)/L$1,"")</f>
        <v/>
      </c>
      <c r="M44" s="200" t="str">
        <f ca="1">IFERROR(VLOOKUP($B44,RD[[#All],[Date]:[ISInv8]],M$2,0)/M$1,"")</f>
        <v/>
      </c>
      <c r="N44" s="200" t="str">
        <f ca="1">IFERROR(VLOOKUP($B44,RD[[#All],[Date]:[ISInv8]],N$2,0)/N$1,"")</f>
        <v/>
      </c>
      <c r="O44" s="200" t="str">
        <f ca="1">IFERROR(VLOOKUP($B44,RD[[#All],[Date]:[ISInv8]],O$2,0)/O$1,"")</f>
        <v/>
      </c>
      <c r="P44" s="200" t="str">
        <f ca="1">IFERROR(VLOOKUP($B44,RD[[#All],[Date]:[ISInv8]],P$2,0)/P$1,"")</f>
        <v/>
      </c>
      <c r="Q44" s="200" t="str">
        <f ca="1">IFERROR(VLOOKUP($B44,RD[[#All],[Date]:[ISInv8]],Q$2,0)/Q$1,"")</f>
        <v/>
      </c>
      <c r="R44" s="200" t="str">
        <f ca="1">IFERROR(VLOOKUP($B44,RD[[#All],[Date]:[ISInv8]],R$2,0)/R$1,"")</f>
        <v/>
      </c>
      <c r="S44" s="200" t="str">
        <f ca="1">IFERROR(VLOOKUP($B44,RD[[#All],[Date]:[ISInv8]],S$2,0)/S$1,"")</f>
        <v/>
      </c>
      <c r="T44" s="200" t="str">
        <f ca="1">IFERROR(VLOOKUP($B44,RD[[#All],[Date]:[ISInv8]],T$2,0)/T$1,"")</f>
        <v/>
      </c>
      <c r="U44" s="200" t="str">
        <f ca="1">IFERROR(VLOOKUP($B44,RD[[#All],[Date]:[ISInv8]],U$2,0)/U$1,"")</f>
        <v/>
      </c>
      <c r="V44" s="200" t="str">
        <f ca="1">IFERROR(VLOOKUP($B44,RD[[#All],[Date]:[ISInv8]],V$2,0)/V$1,"")</f>
        <v/>
      </c>
      <c r="W44" s="200" t="str">
        <f ca="1">IFERROR(VLOOKUP($B44,RD[[#All],[Date]:[ISInv8]],W$2,0)/W$1,"")</f>
        <v/>
      </c>
      <c r="X44" s="200" t="str">
        <f ca="1">IFERROR(VLOOKUP($B44,RD[[#All],[Date]:[ISInv8]],X$2,0)/X$1,"")</f>
        <v/>
      </c>
      <c r="Y44" s="200" t="str">
        <f ca="1">IFERROR(VLOOKUP($B44,RD[[#All],[Date]:[ISInv8]],Y$2,0)/Y$1,"")</f>
        <v/>
      </c>
      <c r="Z44" s="200" t="str">
        <f ca="1">IFERROR(AVERAGEIF(Inv_SY_B[[#This Row],[IS2Inv1M1]:[IS5Inv2M3]],"&lt;&gt;0",Inv_SY_B[[#This Row],[IS2Inv1M1]:[IS5Inv2M3]]),"")</f>
        <v/>
      </c>
    </row>
    <row r="45" spans="2:26">
      <c r="B45" s="199">
        <f t="shared" ca="1" si="3"/>
        <v>45833</v>
      </c>
      <c r="C45" s="200" t="str">
        <f ca="1">IFERROR(VLOOKUP($B45,RD[[#All],[Date]:[ISInv8]],C$2,0)/C$1,"")</f>
        <v/>
      </c>
      <c r="D45" s="200" t="str">
        <f ca="1">IFERROR(VLOOKUP($B45,RD[[#All],[Date]:[ISInv8]],D$2,0)/D$1,"")</f>
        <v/>
      </c>
      <c r="E45" s="200" t="str">
        <f ca="1">IFERROR(VLOOKUP($B45,RD[[#All],[Date]:[ISInv8]],E$2,0)/E$1,"")</f>
        <v/>
      </c>
      <c r="F45" s="200" t="str">
        <f ca="1">IFERROR(VLOOKUP($B45,RD[[#All],[Date]:[ISInv8]],F$2,0)/F$1,"")</f>
        <v/>
      </c>
      <c r="G45" s="200" t="str">
        <f ca="1">IFERROR(VLOOKUP($B45,RD[[#All],[Date]:[ISInv8]],G$2,0)/G$1,"")</f>
        <v/>
      </c>
      <c r="H45" s="200" t="str">
        <f ca="1">IFERROR(VLOOKUP($B45,RD[[#All],[Date]:[ISInv8]],H$2,0)/H$1,"")</f>
        <v/>
      </c>
      <c r="I45" s="200" t="str">
        <f ca="1">IFERROR(VLOOKUP($B45,RD[[#All],[Date]:[ISInv8]],I$2,0)/I$1,"")</f>
        <v/>
      </c>
      <c r="J45" s="200" t="str">
        <f ca="1">IFERROR(VLOOKUP($B45,RD[[#All],[Date]:[ISInv8]],J$2,0)/J$1,"")</f>
        <v/>
      </c>
      <c r="K45" s="200" t="str">
        <f ca="1">IFERROR(VLOOKUP($B45,RD[[#All],[Date]:[ISInv8]],K$2,0)/K$1,"")</f>
        <v/>
      </c>
      <c r="L45" s="200" t="str">
        <f ca="1">IFERROR(VLOOKUP($B45,RD[[#All],[Date]:[ISInv8]],L$2,0)/L$1,"")</f>
        <v/>
      </c>
      <c r="M45" s="200" t="str">
        <f ca="1">IFERROR(VLOOKUP($B45,RD[[#All],[Date]:[ISInv8]],M$2,0)/M$1,"")</f>
        <v/>
      </c>
      <c r="N45" s="200" t="str">
        <f ca="1">IFERROR(VLOOKUP($B45,RD[[#All],[Date]:[ISInv8]],N$2,0)/N$1,"")</f>
        <v/>
      </c>
      <c r="O45" s="200" t="str">
        <f ca="1">IFERROR(VLOOKUP($B45,RD[[#All],[Date]:[ISInv8]],O$2,0)/O$1,"")</f>
        <v/>
      </c>
      <c r="P45" s="200" t="str">
        <f ca="1">IFERROR(VLOOKUP($B45,RD[[#All],[Date]:[ISInv8]],P$2,0)/P$1,"")</f>
        <v/>
      </c>
      <c r="Q45" s="200" t="str">
        <f ca="1">IFERROR(VLOOKUP($B45,RD[[#All],[Date]:[ISInv8]],Q$2,0)/Q$1,"")</f>
        <v/>
      </c>
      <c r="R45" s="200" t="str">
        <f ca="1">IFERROR(VLOOKUP($B45,RD[[#All],[Date]:[ISInv8]],R$2,0)/R$1,"")</f>
        <v/>
      </c>
      <c r="S45" s="200" t="str">
        <f ca="1">IFERROR(VLOOKUP($B45,RD[[#All],[Date]:[ISInv8]],S$2,0)/S$1,"")</f>
        <v/>
      </c>
      <c r="T45" s="200" t="str">
        <f ca="1">IFERROR(VLOOKUP($B45,RD[[#All],[Date]:[ISInv8]],T$2,0)/T$1,"")</f>
        <v/>
      </c>
      <c r="U45" s="200" t="str">
        <f ca="1">IFERROR(VLOOKUP($B45,RD[[#All],[Date]:[ISInv8]],U$2,0)/U$1,"")</f>
        <v/>
      </c>
      <c r="V45" s="200" t="str">
        <f ca="1">IFERROR(VLOOKUP($B45,RD[[#All],[Date]:[ISInv8]],V$2,0)/V$1,"")</f>
        <v/>
      </c>
      <c r="W45" s="200" t="str">
        <f ca="1">IFERROR(VLOOKUP($B45,RD[[#All],[Date]:[ISInv8]],W$2,0)/W$1,"")</f>
        <v/>
      </c>
      <c r="X45" s="200" t="str">
        <f ca="1">IFERROR(VLOOKUP($B45,RD[[#All],[Date]:[ISInv8]],X$2,0)/X$1,"")</f>
        <v/>
      </c>
      <c r="Y45" s="200" t="str">
        <f ca="1">IFERROR(VLOOKUP($B45,RD[[#All],[Date]:[ISInv8]],Y$2,0)/Y$1,"")</f>
        <v/>
      </c>
      <c r="Z45" s="200" t="str">
        <f ca="1">IFERROR(AVERAGEIF(Inv_SY_B[[#This Row],[IS2Inv1M1]:[IS5Inv2M3]],"&lt;&gt;0",Inv_SY_B[[#This Row],[IS2Inv1M1]:[IS5Inv2M3]]),"")</f>
        <v/>
      </c>
    </row>
    <row r="46" spans="2:26">
      <c r="B46" s="199">
        <f t="shared" ca="1" si="3"/>
        <v>45834</v>
      </c>
      <c r="C46" s="200" t="str">
        <f ca="1">IFERROR(VLOOKUP($B46,RD[[#All],[Date]:[ISInv8]],C$2,0)/C$1,"")</f>
        <v/>
      </c>
      <c r="D46" s="200" t="str">
        <f ca="1">IFERROR(VLOOKUP($B46,RD[[#All],[Date]:[ISInv8]],D$2,0)/D$1,"")</f>
        <v/>
      </c>
      <c r="E46" s="200" t="str">
        <f ca="1">IFERROR(VLOOKUP($B46,RD[[#All],[Date]:[ISInv8]],E$2,0)/E$1,"")</f>
        <v/>
      </c>
      <c r="F46" s="200" t="str">
        <f ca="1">IFERROR(VLOOKUP($B46,RD[[#All],[Date]:[ISInv8]],F$2,0)/F$1,"")</f>
        <v/>
      </c>
      <c r="G46" s="200" t="str">
        <f ca="1">IFERROR(VLOOKUP($B46,RD[[#All],[Date]:[ISInv8]],G$2,0)/G$1,"")</f>
        <v/>
      </c>
      <c r="H46" s="200" t="str">
        <f ca="1">IFERROR(VLOOKUP($B46,RD[[#All],[Date]:[ISInv8]],H$2,0)/H$1,"")</f>
        <v/>
      </c>
      <c r="I46" s="200" t="str">
        <f ca="1">IFERROR(VLOOKUP($B46,RD[[#All],[Date]:[ISInv8]],I$2,0)/I$1,"")</f>
        <v/>
      </c>
      <c r="J46" s="200" t="str">
        <f ca="1">IFERROR(VLOOKUP($B46,RD[[#All],[Date]:[ISInv8]],J$2,0)/J$1,"")</f>
        <v/>
      </c>
      <c r="K46" s="200" t="str">
        <f ca="1">IFERROR(VLOOKUP($B46,RD[[#All],[Date]:[ISInv8]],K$2,0)/K$1,"")</f>
        <v/>
      </c>
      <c r="L46" s="200" t="str">
        <f ca="1">IFERROR(VLOOKUP($B46,RD[[#All],[Date]:[ISInv8]],L$2,0)/L$1,"")</f>
        <v/>
      </c>
      <c r="M46" s="200" t="str">
        <f ca="1">IFERROR(VLOOKUP($B46,RD[[#All],[Date]:[ISInv8]],M$2,0)/M$1,"")</f>
        <v/>
      </c>
      <c r="N46" s="200" t="str">
        <f ca="1">IFERROR(VLOOKUP($B46,RD[[#All],[Date]:[ISInv8]],N$2,0)/N$1,"")</f>
        <v/>
      </c>
      <c r="O46" s="200" t="str">
        <f ca="1">IFERROR(VLOOKUP($B46,RD[[#All],[Date]:[ISInv8]],O$2,0)/O$1,"")</f>
        <v/>
      </c>
      <c r="P46" s="200" t="str">
        <f ca="1">IFERROR(VLOOKUP($B46,RD[[#All],[Date]:[ISInv8]],P$2,0)/P$1,"")</f>
        <v/>
      </c>
      <c r="Q46" s="200" t="str">
        <f ca="1">IFERROR(VLOOKUP($B46,RD[[#All],[Date]:[ISInv8]],Q$2,0)/Q$1,"")</f>
        <v/>
      </c>
      <c r="R46" s="200" t="str">
        <f ca="1">IFERROR(VLOOKUP($B46,RD[[#All],[Date]:[ISInv8]],R$2,0)/R$1,"")</f>
        <v/>
      </c>
      <c r="S46" s="200" t="str">
        <f ca="1">IFERROR(VLOOKUP($B46,RD[[#All],[Date]:[ISInv8]],S$2,0)/S$1,"")</f>
        <v/>
      </c>
      <c r="T46" s="200" t="str">
        <f ca="1">IFERROR(VLOOKUP($B46,RD[[#All],[Date]:[ISInv8]],T$2,0)/T$1,"")</f>
        <v/>
      </c>
      <c r="U46" s="200" t="str">
        <f ca="1">IFERROR(VLOOKUP($B46,RD[[#All],[Date]:[ISInv8]],U$2,0)/U$1,"")</f>
        <v/>
      </c>
      <c r="V46" s="200" t="str">
        <f ca="1">IFERROR(VLOOKUP($B46,RD[[#All],[Date]:[ISInv8]],V$2,0)/V$1,"")</f>
        <v/>
      </c>
      <c r="W46" s="200" t="str">
        <f ca="1">IFERROR(VLOOKUP($B46,RD[[#All],[Date]:[ISInv8]],W$2,0)/W$1,"")</f>
        <v/>
      </c>
      <c r="X46" s="200" t="str">
        <f ca="1">IFERROR(VLOOKUP($B46,RD[[#All],[Date]:[ISInv8]],X$2,0)/X$1,"")</f>
        <v/>
      </c>
      <c r="Y46" s="200" t="str">
        <f ca="1">IFERROR(VLOOKUP($B46,RD[[#All],[Date]:[ISInv8]],Y$2,0)/Y$1,"")</f>
        <v/>
      </c>
      <c r="Z46" s="200" t="str">
        <f ca="1">IFERROR(AVERAGEIF(Inv_SY_B[[#This Row],[IS2Inv1M1]:[IS5Inv2M3]],"&lt;&gt;0",Inv_SY_B[[#This Row],[IS2Inv1M1]:[IS5Inv2M3]]),"")</f>
        <v/>
      </c>
    </row>
    <row r="47" spans="2:26">
      <c r="B47" s="199">
        <f t="shared" ca="1" si="3"/>
        <v>45835</v>
      </c>
      <c r="C47" s="200" t="str">
        <f ca="1">IFERROR(VLOOKUP($B47,RD[[#All],[Date]:[ISInv8]],C$2,0)/C$1,"")</f>
        <v/>
      </c>
      <c r="D47" s="200" t="str">
        <f ca="1">IFERROR(VLOOKUP($B47,RD[[#All],[Date]:[ISInv8]],D$2,0)/D$1,"")</f>
        <v/>
      </c>
      <c r="E47" s="200" t="str">
        <f ca="1">IFERROR(VLOOKUP($B47,RD[[#All],[Date]:[ISInv8]],E$2,0)/E$1,"")</f>
        <v/>
      </c>
      <c r="F47" s="200" t="str">
        <f ca="1">IFERROR(VLOOKUP($B47,RD[[#All],[Date]:[ISInv8]],F$2,0)/F$1,"")</f>
        <v/>
      </c>
      <c r="G47" s="200" t="str">
        <f ca="1">IFERROR(VLOOKUP($B47,RD[[#All],[Date]:[ISInv8]],G$2,0)/G$1,"")</f>
        <v/>
      </c>
      <c r="H47" s="200" t="str">
        <f ca="1">IFERROR(VLOOKUP($B47,RD[[#All],[Date]:[ISInv8]],H$2,0)/H$1,"")</f>
        <v/>
      </c>
      <c r="I47" s="200" t="str">
        <f ca="1">IFERROR(VLOOKUP($B47,RD[[#All],[Date]:[ISInv8]],I$2,0)/I$1,"")</f>
        <v/>
      </c>
      <c r="J47" s="200" t="str">
        <f ca="1">IFERROR(VLOOKUP($B47,RD[[#All],[Date]:[ISInv8]],J$2,0)/J$1,"")</f>
        <v/>
      </c>
      <c r="K47" s="200" t="str">
        <f ca="1">IFERROR(VLOOKUP($B47,RD[[#All],[Date]:[ISInv8]],K$2,0)/K$1,"")</f>
        <v/>
      </c>
      <c r="L47" s="200" t="str">
        <f ca="1">IFERROR(VLOOKUP($B47,RD[[#All],[Date]:[ISInv8]],L$2,0)/L$1,"")</f>
        <v/>
      </c>
      <c r="M47" s="200" t="str">
        <f ca="1">IFERROR(VLOOKUP($B47,RD[[#All],[Date]:[ISInv8]],M$2,0)/M$1,"")</f>
        <v/>
      </c>
      <c r="N47" s="200" t="str">
        <f ca="1">IFERROR(VLOOKUP($B47,RD[[#All],[Date]:[ISInv8]],N$2,0)/N$1,"")</f>
        <v/>
      </c>
      <c r="O47" s="200" t="str">
        <f ca="1">IFERROR(VLOOKUP($B47,RD[[#All],[Date]:[ISInv8]],O$2,0)/O$1,"")</f>
        <v/>
      </c>
      <c r="P47" s="200" t="str">
        <f ca="1">IFERROR(VLOOKUP($B47,RD[[#All],[Date]:[ISInv8]],P$2,0)/P$1,"")</f>
        <v/>
      </c>
      <c r="Q47" s="200" t="str">
        <f ca="1">IFERROR(VLOOKUP($B47,RD[[#All],[Date]:[ISInv8]],Q$2,0)/Q$1,"")</f>
        <v/>
      </c>
      <c r="R47" s="200" t="str">
        <f ca="1">IFERROR(VLOOKUP($B47,RD[[#All],[Date]:[ISInv8]],R$2,0)/R$1,"")</f>
        <v/>
      </c>
      <c r="S47" s="200" t="str">
        <f ca="1">IFERROR(VLOOKUP($B47,RD[[#All],[Date]:[ISInv8]],S$2,0)/S$1,"")</f>
        <v/>
      </c>
      <c r="T47" s="200" t="str">
        <f ca="1">IFERROR(VLOOKUP($B47,RD[[#All],[Date]:[ISInv8]],T$2,0)/T$1,"")</f>
        <v/>
      </c>
      <c r="U47" s="200" t="str">
        <f ca="1">IFERROR(VLOOKUP($B47,RD[[#All],[Date]:[ISInv8]],U$2,0)/U$1,"")</f>
        <v/>
      </c>
      <c r="V47" s="200" t="str">
        <f ca="1">IFERROR(VLOOKUP($B47,RD[[#All],[Date]:[ISInv8]],V$2,0)/V$1,"")</f>
        <v/>
      </c>
      <c r="W47" s="200" t="str">
        <f ca="1">IFERROR(VLOOKUP($B47,RD[[#All],[Date]:[ISInv8]],W$2,0)/W$1,"")</f>
        <v/>
      </c>
      <c r="X47" s="200" t="str">
        <f ca="1">IFERROR(VLOOKUP($B47,RD[[#All],[Date]:[ISInv8]],X$2,0)/X$1,"")</f>
        <v/>
      </c>
      <c r="Y47" s="200" t="str">
        <f ca="1">IFERROR(VLOOKUP($B47,RD[[#All],[Date]:[ISInv8]],Y$2,0)/Y$1,"")</f>
        <v/>
      </c>
      <c r="Z47" s="200" t="str">
        <f ca="1">IFERROR(AVERAGEIF(Inv_SY_B[[#This Row],[IS2Inv1M1]:[IS5Inv2M3]],"&lt;&gt;0",Inv_SY_B[[#This Row],[IS2Inv1M1]:[IS5Inv2M3]]),"")</f>
        <v/>
      </c>
    </row>
    <row r="48" spans="2:26">
      <c r="B48" s="199">
        <f t="shared" ca="1" si="3"/>
        <v>45836</v>
      </c>
      <c r="C48" s="200" t="str">
        <f ca="1">IFERROR(VLOOKUP($B48,RD[[#All],[Date]:[ISInv8]],C$2,0)/C$1,"")</f>
        <v/>
      </c>
      <c r="D48" s="200" t="str">
        <f ca="1">IFERROR(VLOOKUP($B48,RD[[#All],[Date]:[ISInv8]],D$2,0)/D$1,"")</f>
        <v/>
      </c>
      <c r="E48" s="200" t="str">
        <f ca="1">IFERROR(VLOOKUP($B48,RD[[#All],[Date]:[ISInv8]],E$2,0)/E$1,"")</f>
        <v/>
      </c>
      <c r="F48" s="200" t="str">
        <f ca="1">IFERROR(VLOOKUP($B48,RD[[#All],[Date]:[ISInv8]],F$2,0)/F$1,"")</f>
        <v/>
      </c>
      <c r="G48" s="200" t="str">
        <f ca="1">IFERROR(VLOOKUP($B48,RD[[#All],[Date]:[ISInv8]],G$2,0)/G$1,"")</f>
        <v/>
      </c>
      <c r="H48" s="200" t="str">
        <f ca="1">IFERROR(VLOOKUP($B48,RD[[#All],[Date]:[ISInv8]],H$2,0)/H$1,"")</f>
        <v/>
      </c>
      <c r="I48" s="200" t="str">
        <f ca="1">IFERROR(VLOOKUP($B48,RD[[#All],[Date]:[ISInv8]],I$2,0)/I$1,"")</f>
        <v/>
      </c>
      <c r="J48" s="200" t="str">
        <f ca="1">IFERROR(VLOOKUP($B48,RD[[#All],[Date]:[ISInv8]],J$2,0)/J$1,"")</f>
        <v/>
      </c>
      <c r="K48" s="200" t="str">
        <f ca="1">IFERROR(VLOOKUP($B48,RD[[#All],[Date]:[ISInv8]],K$2,0)/K$1,"")</f>
        <v/>
      </c>
      <c r="L48" s="200" t="str">
        <f ca="1">IFERROR(VLOOKUP($B48,RD[[#All],[Date]:[ISInv8]],L$2,0)/L$1,"")</f>
        <v/>
      </c>
      <c r="M48" s="200" t="str">
        <f ca="1">IFERROR(VLOOKUP($B48,RD[[#All],[Date]:[ISInv8]],M$2,0)/M$1,"")</f>
        <v/>
      </c>
      <c r="N48" s="200" t="str">
        <f ca="1">IFERROR(VLOOKUP($B48,RD[[#All],[Date]:[ISInv8]],N$2,0)/N$1,"")</f>
        <v/>
      </c>
      <c r="O48" s="200" t="str">
        <f ca="1">IFERROR(VLOOKUP($B48,RD[[#All],[Date]:[ISInv8]],O$2,0)/O$1,"")</f>
        <v/>
      </c>
      <c r="P48" s="200" t="str">
        <f ca="1">IFERROR(VLOOKUP($B48,RD[[#All],[Date]:[ISInv8]],P$2,0)/P$1,"")</f>
        <v/>
      </c>
      <c r="Q48" s="200" t="str">
        <f ca="1">IFERROR(VLOOKUP($B48,RD[[#All],[Date]:[ISInv8]],Q$2,0)/Q$1,"")</f>
        <v/>
      </c>
      <c r="R48" s="200" t="str">
        <f ca="1">IFERROR(VLOOKUP($B48,RD[[#All],[Date]:[ISInv8]],R$2,0)/R$1,"")</f>
        <v/>
      </c>
      <c r="S48" s="200" t="str">
        <f ca="1">IFERROR(VLOOKUP($B48,RD[[#All],[Date]:[ISInv8]],S$2,0)/S$1,"")</f>
        <v/>
      </c>
      <c r="T48" s="200" t="str">
        <f ca="1">IFERROR(VLOOKUP($B48,RD[[#All],[Date]:[ISInv8]],T$2,0)/T$1,"")</f>
        <v/>
      </c>
      <c r="U48" s="200" t="str">
        <f ca="1">IFERROR(VLOOKUP($B48,RD[[#All],[Date]:[ISInv8]],U$2,0)/U$1,"")</f>
        <v/>
      </c>
      <c r="V48" s="200" t="str">
        <f ca="1">IFERROR(VLOOKUP($B48,RD[[#All],[Date]:[ISInv8]],V$2,0)/V$1,"")</f>
        <v/>
      </c>
      <c r="W48" s="200" t="str">
        <f ca="1">IFERROR(VLOOKUP($B48,RD[[#All],[Date]:[ISInv8]],W$2,0)/W$1,"")</f>
        <v/>
      </c>
      <c r="X48" s="200" t="str">
        <f ca="1">IFERROR(VLOOKUP($B48,RD[[#All],[Date]:[ISInv8]],X$2,0)/X$1,"")</f>
        <v/>
      </c>
      <c r="Y48" s="200" t="str">
        <f ca="1">IFERROR(VLOOKUP($B48,RD[[#All],[Date]:[ISInv8]],Y$2,0)/Y$1,"")</f>
        <v/>
      </c>
      <c r="Z48" s="200" t="str">
        <f ca="1">IFERROR(AVERAGEIF(Inv_SY_B[[#This Row],[IS2Inv1M1]:[IS5Inv2M3]],"&lt;&gt;0",Inv_SY_B[[#This Row],[IS2Inv1M1]:[IS5Inv2M3]]),"")</f>
        <v/>
      </c>
    </row>
    <row r="49" spans="2:26">
      <c r="B49" s="199">
        <f t="shared" ca="1" si="3"/>
        <v>45837</v>
      </c>
      <c r="C49" s="200" t="str">
        <f ca="1">IFERROR(VLOOKUP($B49,RD[[#All],[Date]:[ISInv8]],C$2,0)/C$1,"")</f>
        <v/>
      </c>
      <c r="D49" s="200" t="str">
        <f ca="1">IFERROR(VLOOKUP($B49,RD[[#All],[Date]:[ISInv8]],D$2,0)/D$1,"")</f>
        <v/>
      </c>
      <c r="E49" s="200" t="str">
        <f ca="1">IFERROR(VLOOKUP($B49,RD[[#All],[Date]:[ISInv8]],E$2,0)/E$1,"")</f>
        <v/>
      </c>
      <c r="F49" s="200" t="str">
        <f ca="1">IFERROR(VLOOKUP($B49,RD[[#All],[Date]:[ISInv8]],F$2,0)/F$1,"")</f>
        <v/>
      </c>
      <c r="G49" s="200" t="str">
        <f ca="1">IFERROR(VLOOKUP($B49,RD[[#All],[Date]:[ISInv8]],G$2,0)/G$1,"")</f>
        <v/>
      </c>
      <c r="H49" s="200" t="str">
        <f ca="1">IFERROR(VLOOKUP($B49,RD[[#All],[Date]:[ISInv8]],H$2,0)/H$1,"")</f>
        <v/>
      </c>
      <c r="I49" s="200" t="str">
        <f ca="1">IFERROR(VLOOKUP($B49,RD[[#All],[Date]:[ISInv8]],I$2,0)/I$1,"")</f>
        <v/>
      </c>
      <c r="J49" s="200" t="str">
        <f ca="1">IFERROR(VLOOKUP($B49,RD[[#All],[Date]:[ISInv8]],J$2,0)/J$1,"")</f>
        <v/>
      </c>
      <c r="K49" s="200" t="str">
        <f ca="1">IFERROR(VLOOKUP($B49,RD[[#All],[Date]:[ISInv8]],K$2,0)/K$1,"")</f>
        <v/>
      </c>
      <c r="L49" s="200" t="str">
        <f ca="1">IFERROR(VLOOKUP($B49,RD[[#All],[Date]:[ISInv8]],L$2,0)/L$1,"")</f>
        <v/>
      </c>
      <c r="M49" s="200" t="str">
        <f ca="1">IFERROR(VLOOKUP($B49,RD[[#All],[Date]:[ISInv8]],M$2,0)/M$1,"")</f>
        <v/>
      </c>
      <c r="N49" s="200" t="str">
        <f ca="1">IFERROR(VLOOKUP($B49,RD[[#All],[Date]:[ISInv8]],N$2,0)/N$1,"")</f>
        <v/>
      </c>
      <c r="O49" s="200" t="str">
        <f ca="1">IFERROR(VLOOKUP($B49,RD[[#All],[Date]:[ISInv8]],O$2,0)/O$1,"")</f>
        <v/>
      </c>
      <c r="P49" s="200" t="str">
        <f ca="1">IFERROR(VLOOKUP($B49,RD[[#All],[Date]:[ISInv8]],P$2,0)/P$1,"")</f>
        <v/>
      </c>
      <c r="Q49" s="200" t="str">
        <f ca="1">IFERROR(VLOOKUP($B49,RD[[#All],[Date]:[ISInv8]],Q$2,0)/Q$1,"")</f>
        <v/>
      </c>
      <c r="R49" s="200" t="str">
        <f ca="1">IFERROR(VLOOKUP($B49,RD[[#All],[Date]:[ISInv8]],R$2,0)/R$1,"")</f>
        <v/>
      </c>
      <c r="S49" s="200" t="str">
        <f ca="1">IFERROR(VLOOKUP($B49,RD[[#All],[Date]:[ISInv8]],S$2,0)/S$1,"")</f>
        <v/>
      </c>
      <c r="T49" s="200" t="str">
        <f ca="1">IFERROR(VLOOKUP($B49,RD[[#All],[Date]:[ISInv8]],T$2,0)/T$1,"")</f>
        <v/>
      </c>
      <c r="U49" s="200" t="str">
        <f ca="1">IFERROR(VLOOKUP($B49,RD[[#All],[Date]:[ISInv8]],U$2,0)/U$1,"")</f>
        <v/>
      </c>
      <c r="V49" s="200" t="str">
        <f ca="1">IFERROR(VLOOKUP($B49,RD[[#All],[Date]:[ISInv8]],V$2,0)/V$1,"")</f>
        <v/>
      </c>
      <c r="W49" s="200" t="str">
        <f ca="1">IFERROR(VLOOKUP($B49,RD[[#All],[Date]:[ISInv8]],W$2,0)/W$1,"")</f>
        <v/>
      </c>
      <c r="X49" s="200" t="str">
        <f ca="1">IFERROR(VLOOKUP($B49,RD[[#All],[Date]:[ISInv8]],X$2,0)/X$1,"")</f>
        <v/>
      </c>
      <c r="Y49" s="200" t="str">
        <f ca="1">IFERROR(VLOOKUP($B49,RD[[#All],[Date]:[ISInv8]],Y$2,0)/Y$1,"")</f>
        <v/>
      </c>
      <c r="Z49" s="200" t="str">
        <f ca="1">IFERROR(AVERAGEIF(Inv_SY_B[[#This Row],[IS2Inv1M1]:[IS5Inv2M3]],"&lt;&gt;0",Inv_SY_B[[#This Row],[IS2Inv1M1]:[IS5Inv2M3]]),"")</f>
        <v/>
      </c>
    </row>
    <row r="50" spans="2:26">
      <c r="B50" s="199">
        <f t="shared" ca="1" si="3"/>
        <v>45838</v>
      </c>
      <c r="C50" s="200" t="str">
        <f ca="1">IFERROR(VLOOKUP($B50,RD[[#All],[Date]:[ISInv8]],C$2,0)/C$1,"")</f>
        <v/>
      </c>
      <c r="D50" s="200" t="str">
        <f ca="1">IFERROR(VLOOKUP($B50,RD[[#All],[Date]:[ISInv8]],D$2,0)/D$1,"")</f>
        <v/>
      </c>
      <c r="E50" s="200" t="str">
        <f ca="1">IFERROR(VLOOKUP($B50,RD[[#All],[Date]:[ISInv8]],E$2,0)/E$1,"")</f>
        <v/>
      </c>
      <c r="F50" s="200" t="str">
        <f ca="1">IFERROR(VLOOKUP($B50,RD[[#All],[Date]:[ISInv8]],F$2,0)/F$1,"")</f>
        <v/>
      </c>
      <c r="G50" s="200" t="str">
        <f ca="1">IFERROR(VLOOKUP($B50,RD[[#All],[Date]:[ISInv8]],G$2,0)/G$1,"")</f>
        <v/>
      </c>
      <c r="H50" s="200" t="str">
        <f ca="1">IFERROR(VLOOKUP($B50,RD[[#All],[Date]:[ISInv8]],H$2,0)/H$1,"")</f>
        <v/>
      </c>
      <c r="I50" s="200" t="str">
        <f ca="1">IFERROR(VLOOKUP($B50,RD[[#All],[Date]:[ISInv8]],I$2,0)/I$1,"")</f>
        <v/>
      </c>
      <c r="J50" s="200" t="str">
        <f ca="1">IFERROR(VLOOKUP($B50,RD[[#All],[Date]:[ISInv8]],J$2,0)/J$1,"")</f>
        <v/>
      </c>
      <c r="K50" s="200" t="str">
        <f ca="1">IFERROR(VLOOKUP($B50,RD[[#All],[Date]:[ISInv8]],K$2,0)/K$1,"")</f>
        <v/>
      </c>
      <c r="L50" s="200" t="str">
        <f ca="1">IFERROR(VLOOKUP($B50,RD[[#All],[Date]:[ISInv8]],L$2,0)/L$1,"")</f>
        <v/>
      </c>
      <c r="M50" s="200" t="str">
        <f ca="1">IFERROR(VLOOKUP($B50,RD[[#All],[Date]:[ISInv8]],M$2,0)/M$1,"")</f>
        <v/>
      </c>
      <c r="N50" s="200" t="str">
        <f ca="1">IFERROR(VLOOKUP($B50,RD[[#All],[Date]:[ISInv8]],N$2,0)/N$1,"")</f>
        <v/>
      </c>
      <c r="O50" s="200" t="str">
        <f ca="1">IFERROR(VLOOKUP($B50,RD[[#All],[Date]:[ISInv8]],O$2,0)/O$1,"")</f>
        <v/>
      </c>
      <c r="P50" s="200" t="str">
        <f ca="1">IFERROR(VLOOKUP($B50,RD[[#All],[Date]:[ISInv8]],P$2,0)/P$1,"")</f>
        <v/>
      </c>
      <c r="Q50" s="200" t="str">
        <f ca="1">IFERROR(VLOOKUP($B50,RD[[#All],[Date]:[ISInv8]],Q$2,0)/Q$1,"")</f>
        <v/>
      </c>
      <c r="R50" s="200" t="str">
        <f ca="1">IFERROR(VLOOKUP($B50,RD[[#All],[Date]:[ISInv8]],R$2,0)/R$1,"")</f>
        <v/>
      </c>
      <c r="S50" s="200" t="str">
        <f ca="1">IFERROR(VLOOKUP($B50,RD[[#All],[Date]:[ISInv8]],S$2,0)/S$1,"")</f>
        <v/>
      </c>
      <c r="T50" s="200" t="str">
        <f ca="1">IFERROR(VLOOKUP($B50,RD[[#All],[Date]:[ISInv8]],T$2,0)/T$1,"")</f>
        <v/>
      </c>
      <c r="U50" s="200" t="str">
        <f ca="1">IFERROR(VLOOKUP($B50,RD[[#All],[Date]:[ISInv8]],U$2,0)/U$1,"")</f>
        <v/>
      </c>
      <c r="V50" s="200" t="str">
        <f ca="1">IFERROR(VLOOKUP($B50,RD[[#All],[Date]:[ISInv8]],V$2,0)/V$1,"")</f>
        <v/>
      </c>
      <c r="W50" s="200" t="str">
        <f ca="1">IFERROR(VLOOKUP($B50,RD[[#All],[Date]:[ISInv8]],W$2,0)/W$1,"")</f>
        <v/>
      </c>
      <c r="X50" s="200" t="str">
        <f ca="1">IFERROR(VLOOKUP($B50,RD[[#All],[Date]:[ISInv8]],X$2,0)/X$1,"")</f>
        <v/>
      </c>
      <c r="Y50" s="200" t="str">
        <f ca="1">IFERROR(VLOOKUP($B50,RD[[#All],[Date]:[ISInv8]],Y$2,0)/Y$1,"")</f>
        <v/>
      </c>
      <c r="Z50" s="200" t="str">
        <f ca="1">IFERROR(AVERAGEIF(Inv_SY_B[[#This Row],[IS2Inv1M1]:[IS5Inv2M3]],"&lt;&gt;0",Inv_SY_B[[#This Row],[IS2Inv1M1]:[IS5Inv2M3]]),"")</f>
        <v/>
      </c>
    </row>
    <row r="51" spans="2:26">
      <c r="B51" s="199">
        <f t="shared" ca="1" si="3"/>
        <v>45839</v>
      </c>
      <c r="C51" s="200">
        <f ca="1">IFERROR(VLOOKUP($B51,RD[[#All],[Date]:[ISInv8]],C$2,0)/C$1,"")</f>
        <v>0</v>
      </c>
      <c r="D51" s="200">
        <f ca="1">IFERROR(VLOOKUP($B51,RD[[#All],[Date]:[ISInv8]],D$2,0)/D$1,"")</f>
        <v>0</v>
      </c>
      <c r="E51" s="200">
        <f ca="1">IFERROR(VLOOKUP($B51,RD[[#All],[Date]:[ISInv8]],E$2,0)/E$1,"")</f>
        <v>0</v>
      </c>
      <c r="F51" s="200">
        <f ca="1">IFERROR(VLOOKUP($B51,RD[[#All],[Date]:[ISInv8]],F$2,0)/F$1,"")</f>
        <v>0</v>
      </c>
      <c r="G51" s="200">
        <f ca="1">IFERROR(VLOOKUP($B51,RD[[#All],[Date]:[ISInv8]],G$2,0)/G$1,"")</f>
        <v>0</v>
      </c>
      <c r="H51" s="200">
        <f ca="1">IFERROR(VLOOKUP($B51,RD[[#All],[Date]:[ISInv8]],H$2,0)/H$1,"")</f>
        <v>0</v>
      </c>
      <c r="I51" s="200">
        <f ca="1">IFERROR(VLOOKUP($B51,RD[[#All],[Date]:[ISInv8]],I$2,0)/I$1,"")</f>
        <v>0</v>
      </c>
      <c r="J51" s="200" t="str">
        <f ca="1">IFERROR(VLOOKUP($B51,RD[[#All],[Date]:[ISInv8]],J$2,0)/J$1,"")</f>
        <v/>
      </c>
      <c r="K51" s="200" t="str">
        <f ca="1">IFERROR(VLOOKUP($B51,RD[[#All],[Date]:[ISInv8]],K$2,0)/K$1,"")</f>
        <v/>
      </c>
      <c r="L51" s="200" t="str">
        <f ca="1">IFERROR(VLOOKUP($B51,RD[[#All],[Date]:[ISInv8]],L$2,0)/L$1,"")</f>
        <v/>
      </c>
      <c r="M51" s="200" t="str">
        <f ca="1">IFERROR(VLOOKUP($B51,RD[[#All],[Date]:[ISInv8]],M$2,0)/M$1,"")</f>
        <v/>
      </c>
      <c r="N51" s="200" t="str">
        <f ca="1">IFERROR(VLOOKUP($B51,RD[[#All],[Date]:[ISInv8]],N$2,0)/N$1,"")</f>
        <v/>
      </c>
      <c r="O51" s="200" t="str">
        <f ca="1">IFERROR(VLOOKUP($B51,RD[[#All],[Date]:[ISInv8]],O$2,0)/O$1,"")</f>
        <v/>
      </c>
      <c r="P51" s="200" t="str">
        <f ca="1">IFERROR(VLOOKUP($B51,RD[[#All],[Date]:[ISInv8]],P$2,0)/P$1,"")</f>
        <v/>
      </c>
      <c r="Q51" s="200" t="str">
        <f ca="1">IFERROR(VLOOKUP($B51,RD[[#All],[Date]:[ISInv8]],Q$2,0)/Q$1,"")</f>
        <v/>
      </c>
      <c r="R51" s="200" t="str">
        <f ca="1">IFERROR(VLOOKUP($B51,RD[[#All],[Date]:[ISInv8]],R$2,0)/R$1,"")</f>
        <v/>
      </c>
      <c r="S51" s="200" t="str">
        <f ca="1">IFERROR(VLOOKUP($B51,RD[[#All],[Date]:[ISInv8]],S$2,0)/S$1,"")</f>
        <v/>
      </c>
      <c r="T51" s="200" t="str">
        <f ca="1">IFERROR(VLOOKUP($B51,RD[[#All],[Date]:[ISInv8]],T$2,0)/T$1,"")</f>
        <v/>
      </c>
      <c r="U51" s="200" t="str">
        <f ca="1">IFERROR(VLOOKUP($B51,RD[[#All],[Date]:[ISInv8]],U$2,0)/U$1,"")</f>
        <v/>
      </c>
      <c r="V51" s="200" t="str">
        <f ca="1">IFERROR(VLOOKUP($B51,RD[[#All],[Date]:[ISInv8]],V$2,0)/V$1,"")</f>
        <v/>
      </c>
      <c r="W51" s="200" t="str">
        <f ca="1">IFERROR(VLOOKUP($B51,RD[[#All],[Date]:[ISInv8]],W$2,0)/W$1,"")</f>
        <v/>
      </c>
      <c r="X51" s="200" t="str">
        <f ca="1">IFERROR(VLOOKUP($B51,RD[[#All],[Date]:[ISInv8]],X$2,0)/X$1,"")</f>
        <v/>
      </c>
      <c r="Y51" s="200" t="str">
        <f ca="1">IFERROR(VLOOKUP($B51,RD[[#All],[Date]:[ISInv8]],Y$2,0)/Y$1,"")</f>
        <v/>
      </c>
      <c r="Z51" s="200" t="str">
        <f ca="1">IFERROR(AVERAGEIF(Inv_SY_B[[#This Row],[IS2Inv1M1]:[IS5Inv2M3]],"&lt;&gt;0",Inv_SY_B[[#This Row],[IS2Inv1M1]:[IS5Inv2M3]]),"")</f>
        <v/>
      </c>
    </row>
    <row r="52" spans="2:26">
      <c r="B52" s="199">
        <f t="shared" ca="1" si="3"/>
        <v>45840</v>
      </c>
      <c r="C52" s="200">
        <f ca="1">IFERROR(VLOOKUP($B52,RD[[#All],[Date]:[ISInv8]],C$2,0)/C$1,"")</f>
        <v>0</v>
      </c>
      <c r="D52" s="200">
        <f ca="1">IFERROR(VLOOKUP($B52,RD[[#All],[Date]:[ISInv8]],D$2,0)/D$1,"")</f>
        <v>0</v>
      </c>
      <c r="E52" s="200">
        <f ca="1">IFERROR(VLOOKUP($B52,RD[[#All],[Date]:[ISInv8]],E$2,0)/E$1,"")</f>
        <v>0</v>
      </c>
      <c r="F52" s="200">
        <f ca="1">IFERROR(VLOOKUP($B52,RD[[#All],[Date]:[ISInv8]],F$2,0)/F$1,"")</f>
        <v>0</v>
      </c>
      <c r="G52" s="200">
        <f ca="1">IFERROR(VLOOKUP($B52,RD[[#All],[Date]:[ISInv8]],G$2,0)/G$1,"")</f>
        <v>0</v>
      </c>
      <c r="H52" s="200">
        <f ca="1">IFERROR(VLOOKUP($B52,RD[[#All],[Date]:[ISInv8]],H$2,0)/H$1,"")</f>
        <v>0</v>
      </c>
      <c r="I52" s="200">
        <f ca="1">IFERROR(VLOOKUP($B52,RD[[#All],[Date]:[ISInv8]],I$2,0)/I$1,"")</f>
        <v>0</v>
      </c>
      <c r="J52" s="200" t="str">
        <f ca="1">IFERROR(VLOOKUP($B52,RD[[#All],[Date]:[ISInv8]],J$2,0)/J$1,"")</f>
        <v/>
      </c>
      <c r="K52" s="200" t="str">
        <f ca="1">IFERROR(VLOOKUP($B52,RD[[#All],[Date]:[ISInv8]],K$2,0)/K$1,"")</f>
        <v/>
      </c>
      <c r="L52" s="200" t="str">
        <f ca="1">IFERROR(VLOOKUP($B52,RD[[#All],[Date]:[ISInv8]],L$2,0)/L$1,"")</f>
        <v/>
      </c>
      <c r="M52" s="200" t="str">
        <f ca="1">IFERROR(VLOOKUP($B52,RD[[#All],[Date]:[ISInv8]],M$2,0)/M$1,"")</f>
        <v/>
      </c>
      <c r="N52" s="200" t="str">
        <f ca="1">IFERROR(VLOOKUP($B52,RD[[#All],[Date]:[ISInv8]],N$2,0)/N$1,"")</f>
        <v/>
      </c>
      <c r="O52" s="200" t="str">
        <f ca="1">IFERROR(VLOOKUP($B52,RD[[#All],[Date]:[ISInv8]],O$2,0)/O$1,"")</f>
        <v/>
      </c>
      <c r="P52" s="200" t="str">
        <f ca="1">IFERROR(VLOOKUP($B52,RD[[#All],[Date]:[ISInv8]],P$2,0)/P$1,"")</f>
        <v/>
      </c>
      <c r="Q52" s="200" t="str">
        <f ca="1">IFERROR(VLOOKUP($B52,RD[[#All],[Date]:[ISInv8]],Q$2,0)/Q$1,"")</f>
        <v/>
      </c>
      <c r="R52" s="200" t="str">
        <f ca="1">IFERROR(VLOOKUP($B52,RD[[#All],[Date]:[ISInv8]],R$2,0)/R$1,"")</f>
        <v/>
      </c>
      <c r="S52" s="200" t="str">
        <f ca="1">IFERROR(VLOOKUP($B52,RD[[#All],[Date]:[ISInv8]],S$2,0)/S$1,"")</f>
        <v/>
      </c>
      <c r="T52" s="200" t="str">
        <f ca="1">IFERROR(VLOOKUP($B52,RD[[#All],[Date]:[ISInv8]],T$2,0)/T$1,"")</f>
        <v/>
      </c>
      <c r="U52" s="200" t="str">
        <f ca="1">IFERROR(VLOOKUP($B52,RD[[#All],[Date]:[ISInv8]],U$2,0)/U$1,"")</f>
        <v/>
      </c>
      <c r="V52" s="200" t="str">
        <f ca="1">IFERROR(VLOOKUP($B52,RD[[#All],[Date]:[ISInv8]],V$2,0)/V$1,"")</f>
        <v/>
      </c>
      <c r="W52" s="200" t="str">
        <f ca="1">IFERROR(VLOOKUP($B52,RD[[#All],[Date]:[ISInv8]],W$2,0)/W$1,"")</f>
        <v/>
      </c>
      <c r="X52" s="200" t="str">
        <f ca="1">IFERROR(VLOOKUP($B52,RD[[#All],[Date]:[ISInv8]],X$2,0)/X$1,"")</f>
        <v/>
      </c>
      <c r="Y52" s="200" t="str">
        <f ca="1">IFERROR(VLOOKUP($B52,RD[[#All],[Date]:[ISInv8]],Y$2,0)/Y$1,"")</f>
        <v/>
      </c>
      <c r="Z52" s="200" t="str">
        <f ca="1">IFERROR(AVERAGEIF(Inv_SY_B[[#This Row],[IS2Inv1M1]:[IS5Inv2M3]],"&lt;&gt;0",Inv_SY_B[[#This Row],[IS2Inv1M1]:[IS5Inv2M3]]),"")</f>
        <v/>
      </c>
    </row>
    <row r="53" spans="2:26">
      <c r="B53" s="199">
        <f t="shared" ca="1" si="3"/>
        <v>45841</v>
      </c>
      <c r="C53" s="200">
        <f ca="1">IFERROR(VLOOKUP($B53,RD[[#All],[Date]:[ISInv8]],C$2,0)/C$1,"")</f>
        <v>0</v>
      </c>
      <c r="D53" s="200">
        <f ca="1">IFERROR(VLOOKUP($B53,RD[[#All],[Date]:[ISInv8]],D$2,0)/D$1,"")</f>
        <v>0</v>
      </c>
      <c r="E53" s="200">
        <f ca="1">IFERROR(VLOOKUP($B53,RD[[#All],[Date]:[ISInv8]],E$2,0)/E$1,"")</f>
        <v>0</v>
      </c>
      <c r="F53" s="200">
        <f ca="1">IFERROR(VLOOKUP($B53,RD[[#All],[Date]:[ISInv8]],F$2,0)/F$1,"")</f>
        <v>0</v>
      </c>
      <c r="G53" s="200">
        <f ca="1">IFERROR(VLOOKUP($B53,RD[[#All],[Date]:[ISInv8]],G$2,0)/G$1,"")</f>
        <v>0</v>
      </c>
      <c r="H53" s="200">
        <f ca="1">IFERROR(VLOOKUP($B53,RD[[#All],[Date]:[ISInv8]],H$2,0)/H$1,"")</f>
        <v>0</v>
      </c>
      <c r="I53" s="200">
        <f ca="1">IFERROR(VLOOKUP($B53,RD[[#All],[Date]:[ISInv8]],I$2,0)/I$1,"")</f>
        <v>0</v>
      </c>
      <c r="J53" s="200" t="str">
        <f ca="1">IFERROR(VLOOKUP($B53,RD[[#All],[Date]:[ISInv8]],J$2,0)/J$1,"")</f>
        <v/>
      </c>
      <c r="K53" s="200" t="str">
        <f ca="1">IFERROR(VLOOKUP($B53,RD[[#All],[Date]:[ISInv8]],K$2,0)/K$1,"")</f>
        <v/>
      </c>
      <c r="L53" s="200" t="str">
        <f ca="1">IFERROR(VLOOKUP($B53,RD[[#All],[Date]:[ISInv8]],L$2,0)/L$1,"")</f>
        <v/>
      </c>
      <c r="M53" s="200" t="str">
        <f ca="1">IFERROR(VLOOKUP($B53,RD[[#All],[Date]:[ISInv8]],M$2,0)/M$1,"")</f>
        <v/>
      </c>
      <c r="N53" s="200" t="str">
        <f ca="1">IFERROR(VLOOKUP($B53,RD[[#All],[Date]:[ISInv8]],N$2,0)/N$1,"")</f>
        <v/>
      </c>
      <c r="O53" s="200" t="str">
        <f ca="1">IFERROR(VLOOKUP($B53,RD[[#All],[Date]:[ISInv8]],O$2,0)/O$1,"")</f>
        <v/>
      </c>
      <c r="P53" s="200" t="str">
        <f ca="1">IFERROR(VLOOKUP($B53,RD[[#All],[Date]:[ISInv8]],P$2,0)/P$1,"")</f>
        <v/>
      </c>
      <c r="Q53" s="200" t="str">
        <f ca="1">IFERROR(VLOOKUP($B53,RD[[#All],[Date]:[ISInv8]],Q$2,0)/Q$1,"")</f>
        <v/>
      </c>
      <c r="R53" s="200" t="str">
        <f ca="1">IFERROR(VLOOKUP($B53,RD[[#All],[Date]:[ISInv8]],R$2,0)/R$1,"")</f>
        <v/>
      </c>
      <c r="S53" s="200" t="str">
        <f ca="1">IFERROR(VLOOKUP($B53,RD[[#All],[Date]:[ISInv8]],S$2,0)/S$1,"")</f>
        <v/>
      </c>
      <c r="T53" s="200" t="str">
        <f ca="1">IFERROR(VLOOKUP($B53,RD[[#All],[Date]:[ISInv8]],T$2,0)/T$1,"")</f>
        <v/>
      </c>
      <c r="U53" s="200" t="str">
        <f ca="1">IFERROR(VLOOKUP($B53,RD[[#All],[Date]:[ISInv8]],U$2,0)/U$1,"")</f>
        <v/>
      </c>
      <c r="V53" s="200" t="str">
        <f ca="1">IFERROR(VLOOKUP($B53,RD[[#All],[Date]:[ISInv8]],V$2,0)/V$1,"")</f>
        <v/>
      </c>
      <c r="W53" s="200" t="str">
        <f ca="1">IFERROR(VLOOKUP($B53,RD[[#All],[Date]:[ISInv8]],W$2,0)/W$1,"")</f>
        <v/>
      </c>
      <c r="X53" s="200" t="str">
        <f ca="1">IFERROR(VLOOKUP($B53,RD[[#All],[Date]:[ISInv8]],X$2,0)/X$1,"")</f>
        <v/>
      </c>
      <c r="Y53" s="200" t="str">
        <f ca="1">IFERROR(VLOOKUP($B53,RD[[#All],[Date]:[ISInv8]],Y$2,0)/Y$1,"")</f>
        <v/>
      </c>
      <c r="Z53" s="200" t="str">
        <f ca="1">IFERROR(AVERAGEIF(Inv_SY_B[[#This Row],[IS2Inv1M1]:[IS5Inv2M3]],"&lt;&gt;0",Inv_SY_B[[#This Row],[IS2Inv1M1]:[IS5Inv2M3]]),"")</f>
        <v/>
      </c>
    </row>
    <row r="54" spans="2:26">
      <c r="B54" s="199">
        <f t="shared" ca="1" si="3"/>
        <v>45842</v>
      </c>
      <c r="C54" s="200">
        <f ca="1">IFERROR(VLOOKUP($B54,RD[[#All],[Date]:[ISInv8]],C$2,0)/C$1,"")</f>
        <v>0</v>
      </c>
      <c r="D54" s="200">
        <f ca="1">IFERROR(VLOOKUP($B54,RD[[#All],[Date]:[ISInv8]],D$2,0)/D$1,"")</f>
        <v>0</v>
      </c>
      <c r="E54" s="200">
        <f ca="1">IFERROR(VLOOKUP($B54,RD[[#All],[Date]:[ISInv8]],E$2,0)/E$1,"")</f>
        <v>0</v>
      </c>
      <c r="F54" s="200">
        <f ca="1">IFERROR(VLOOKUP($B54,RD[[#All],[Date]:[ISInv8]],F$2,0)/F$1,"")</f>
        <v>0</v>
      </c>
      <c r="G54" s="200">
        <f ca="1">IFERROR(VLOOKUP($B54,RD[[#All],[Date]:[ISInv8]],G$2,0)/G$1,"")</f>
        <v>0</v>
      </c>
      <c r="H54" s="200">
        <f ca="1">IFERROR(VLOOKUP($B54,RD[[#All],[Date]:[ISInv8]],H$2,0)/H$1,"")</f>
        <v>0</v>
      </c>
      <c r="I54" s="200">
        <f ca="1">IFERROR(VLOOKUP($B54,RD[[#All],[Date]:[ISInv8]],I$2,0)/I$1,"")</f>
        <v>0</v>
      </c>
      <c r="J54" s="200" t="str">
        <f ca="1">IFERROR(VLOOKUP($B54,RD[[#All],[Date]:[ISInv8]],J$2,0)/J$1,"")</f>
        <v/>
      </c>
      <c r="K54" s="200" t="str">
        <f ca="1">IFERROR(VLOOKUP($B54,RD[[#All],[Date]:[ISInv8]],K$2,0)/K$1,"")</f>
        <v/>
      </c>
      <c r="L54" s="200" t="str">
        <f ca="1">IFERROR(VLOOKUP($B54,RD[[#All],[Date]:[ISInv8]],L$2,0)/L$1,"")</f>
        <v/>
      </c>
      <c r="M54" s="200" t="str">
        <f ca="1">IFERROR(VLOOKUP($B54,RD[[#All],[Date]:[ISInv8]],M$2,0)/M$1,"")</f>
        <v/>
      </c>
      <c r="N54" s="200" t="str">
        <f ca="1">IFERROR(VLOOKUP($B54,RD[[#All],[Date]:[ISInv8]],N$2,0)/N$1,"")</f>
        <v/>
      </c>
      <c r="O54" s="200" t="str">
        <f ca="1">IFERROR(VLOOKUP($B54,RD[[#All],[Date]:[ISInv8]],O$2,0)/O$1,"")</f>
        <v/>
      </c>
      <c r="P54" s="200" t="str">
        <f ca="1">IFERROR(VLOOKUP($B54,RD[[#All],[Date]:[ISInv8]],P$2,0)/P$1,"")</f>
        <v/>
      </c>
      <c r="Q54" s="200" t="str">
        <f ca="1">IFERROR(VLOOKUP($B54,RD[[#All],[Date]:[ISInv8]],Q$2,0)/Q$1,"")</f>
        <v/>
      </c>
      <c r="R54" s="200" t="str">
        <f ca="1">IFERROR(VLOOKUP($B54,RD[[#All],[Date]:[ISInv8]],R$2,0)/R$1,"")</f>
        <v/>
      </c>
      <c r="S54" s="200" t="str">
        <f ca="1">IFERROR(VLOOKUP($B54,RD[[#All],[Date]:[ISInv8]],S$2,0)/S$1,"")</f>
        <v/>
      </c>
      <c r="T54" s="200" t="str">
        <f ca="1">IFERROR(VLOOKUP($B54,RD[[#All],[Date]:[ISInv8]],T$2,0)/T$1,"")</f>
        <v/>
      </c>
      <c r="U54" s="200" t="str">
        <f ca="1">IFERROR(VLOOKUP($B54,RD[[#All],[Date]:[ISInv8]],U$2,0)/U$1,"")</f>
        <v/>
      </c>
      <c r="V54" s="200" t="str">
        <f ca="1">IFERROR(VLOOKUP($B54,RD[[#All],[Date]:[ISInv8]],V$2,0)/V$1,"")</f>
        <v/>
      </c>
      <c r="W54" s="200" t="str">
        <f ca="1">IFERROR(VLOOKUP($B54,RD[[#All],[Date]:[ISInv8]],W$2,0)/W$1,"")</f>
        <v/>
      </c>
      <c r="X54" s="200" t="str">
        <f ca="1">IFERROR(VLOOKUP($B54,RD[[#All],[Date]:[ISInv8]],X$2,0)/X$1,"")</f>
        <v/>
      </c>
      <c r="Y54" s="200" t="str">
        <f ca="1">IFERROR(VLOOKUP($B54,RD[[#All],[Date]:[ISInv8]],Y$2,0)/Y$1,"")</f>
        <v/>
      </c>
      <c r="Z54" s="200" t="str">
        <f ca="1">IFERROR(AVERAGEIF(Inv_SY_B[[#This Row],[IS2Inv1M1]:[IS5Inv2M3]],"&lt;&gt;0",Inv_SY_B[[#This Row],[IS2Inv1M1]:[IS5Inv2M3]]),"")</f>
        <v/>
      </c>
    </row>
    <row r="55" spans="2:26">
      <c r="B55" s="199">
        <f t="shared" ca="1" si="3"/>
        <v>45843</v>
      </c>
      <c r="C55" s="200">
        <f ca="1">IFERROR(VLOOKUP($B55,RD[[#All],[Date]:[ISInv8]],C$2,0)/C$1,"")</f>
        <v>0</v>
      </c>
      <c r="D55" s="200">
        <f ca="1">IFERROR(VLOOKUP($B55,RD[[#All],[Date]:[ISInv8]],D$2,0)/D$1,"")</f>
        <v>0</v>
      </c>
      <c r="E55" s="200">
        <f ca="1">IFERROR(VLOOKUP($B55,RD[[#All],[Date]:[ISInv8]],E$2,0)/E$1,"")</f>
        <v>0</v>
      </c>
      <c r="F55" s="200">
        <f ca="1">IFERROR(VLOOKUP($B55,RD[[#All],[Date]:[ISInv8]],F$2,0)/F$1,"")</f>
        <v>0</v>
      </c>
      <c r="G55" s="200">
        <f ca="1">IFERROR(VLOOKUP($B55,RD[[#All],[Date]:[ISInv8]],G$2,0)/G$1,"")</f>
        <v>0</v>
      </c>
      <c r="H55" s="200">
        <f ca="1">IFERROR(VLOOKUP($B55,RD[[#All],[Date]:[ISInv8]],H$2,0)/H$1,"")</f>
        <v>0</v>
      </c>
      <c r="I55" s="200">
        <f ca="1">IFERROR(VLOOKUP($B55,RD[[#All],[Date]:[ISInv8]],I$2,0)/I$1,"")</f>
        <v>0</v>
      </c>
      <c r="J55" s="200" t="str">
        <f ca="1">IFERROR(VLOOKUP($B55,RD[[#All],[Date]:[ISInv8]],J$2,0)/J$1,"")</f>
        <v/>
      </c>
      <c r="K55" s="200" t="str">
        <f ca="1">IFERROR(VLOOKUP($B55,RD[[#All],[Date]:[ISInv8]],K$2,0)/K$1,"")</f>
        <v/>
      </c>
      <c r="L55" s="200" t="str">
        <f ca="1">IFERROR(VLOOKUP($B55,RD[[#All],[Date]:[ISInv8]],L$2,0)/L$1,"")</f>
        <v/>
      </c>
      <c r="M55" s="200" t="str">
        <f ca="1">IFERROR(VLOOKUP($B55,RD[[#All],[Date]:[ISInv8]],M$2,0)/M$1,"")</f>
        <v/>
      </c>
      <c r="N55" s="200" t="str">
        <f ca="1">IFERROR(VLOOKUP($B55,RD[[#All],[Date]:[ISInv8]],N$2,0)/N$1,"")</f>
        <v/>
      </c>
      <c r="O55" s="200" t="str">
        <f ca="1">IFERROR(VLOOKUP($B55,RD[[#All],[Date]:[ISInv8]],O$2,0)/O$1,"")</f>
        <v/>
      </c>
      <c r="P55" s="200" t="str">
        <f ca="1">IFERROR(VLOOKUP($B55,RD[[#All],[Date]:[ISInv8]],P$2,0)/P$1,"")</f>
        <v/>
      </c>
      <c r="Q55" s="200" t="str">
        <f ca="1">IFERROR(VLOOKUP($B55,RD[[#All],[Date]:[ISInv8]],Q$2,0)/Q$1,"")</f>
        <v/>
      </c>
      <c r="R55" s="200" t="str">
        <f ca="1">IFERROR(VLOOKUP($B55,RD[[#All],[Date]:[ISInv8]],R$2,0)/R$1,"")</f>
        <v/>
      </c>
      <c r="S55" s="200" t="str">
        <f ca="1">IFERROR(VLOOKUP($B55,RD[[#All],[Date]:[ISInv8]],S$2,0)/S$1,"")</f>
        <v/>
      </c>
      <c r="T55" s="200" t="str">
        <f ca="1">IFERROR(VLOOKUP($B55,RD[[#All],[Date]:[ISInv8]],T$2,0)/T$1,"")</f>
        <v/>
      </c>
      <c r="U55" s="200" t="str">
        <f ca="1">IFERROR(VLOOKUP($B55,RD[[#All],[Date]:[ISInv8]],U$2,0)/U$1,"")</f>
        <v/>
      </c>
      <c r="V55" s="200" t="str">
        <f ca="1">IFERROR(VLOOKUP($B55,RD[[#All],[Date]:[ISInv8]],V$2,0)/V$1,"")</f>
        <v/>
      </c>
      <c r="W55" s="200" t="str">
        <f ca="1">IFERROR(VLOOKUP($B55,RD[[#All],[Date]:[ISInv8]],W$2,0)/W$1,"")</f>
        <v/>
      </c>
      <c r="X55" s="200" t="str">
        <f ca="1">IFERROR(VLOOKUP($B55,RD[[#All],[Date]:[ISInv8]],X$2,0)/X$1,"")</f>
        <v/>
      </c>
      <c r="Y55" s="200" t="str">
        <f ca="1">IFERROR(VLOOKUP($B55,RD[[#All],[Date]:[ISInv8]],Y$2,0)/Y$1,"")</f>
        <v/>
      </c>
      <c r="Z55" s="200" t="str">
        <f ca="1">IFERROR(AVERAGEIF(Inv_SY_B[[#This Row],[IS2Inv1M1]:[IS5Inv2M3]],"&lt;&gt;0",Inv_SY_B[[#This Row],[IS2Inv1M1]:[IS5Inv2M3]]),"")</f>
        <v/>
      </c>
    </row>
    <row r="56" spans="2:26">
      <c r="B56" s="199">
        <f t="shared" ca="1" si="3"/>
        <v>45844</v>
      </c>
      <c r="C56" s="200">
        <f ca="1">IFERROR(VLOOKUP($B56,RD[[#All],[Date]:[ISInv8]],C$2,0)/C$1,"")</f>
        <v>0</v>
      </c>
      <c r="D56" s="200">
        <f ca="1">IFERROR(VLOOKUP($B56,RD[[#All],[Date]:[ISInv8]],D$2,0)/D$1,"")</f>
        <v>0</v>
      </c>
      <c r="E56" s="200">
        <f ca="1">IFERROR(VLOOKUP($B56,RD[[#All],[Date]:[ISInv8]],E$2,0)/E$1,"")</f>
        <v>0</v>
      </c>
      <c r="F56" s="200">
        <f ca="1">IFERROR(VLOOKUP($B56,RD[[#All],[Date]:[ISInv8]],F$2,0)/F$1,"")</f>
        <v>0</v>
      </c>
      <c r="G56" s="200">
        <f ca="1">IFERROR(VLOOKUP($B56,RD[[#All],[Date]:[ISInv8]],G$2,0)/G$1,"")</f>
        <v>0</v>
      </c>
      <c r="H56" s="200">
        <f ca="1">IFERROR(VLOOKUP($B56,RD[[#All],[Date]:[ISInv8]],H$2,0)/H$1,"")</f>
        <v>0</v>
      </c>
      <c r="I56" s="200">
        <f ca="1">IFERROR(VLOOKUP($B56,RD[[#All],[Date]:[ISInv8]],I$2,0)/I$1,"")</f>
        <v>0</v>
      </c>
      <c r="J56" s="200" t="str">
        <f ca="1">IFERROR(VLOOKUP($B56,RD[[#All],[Date]:[ISInv8]],J$2,0)/J$1,"")</f>
        <v/>
      </c>
      <c r="K56" s="200" t="str">
        <f ca="1">IFERROR(VLOOKUP($B56,RD[[#All],[Date]:[ISInv8]],K$2,0)/K$1,"")</f>
        <v/>
      </c>
      <c r="L56" s="200" t="str">
        <f ca="1">IFERROR(VLOOKUP($B56,RD[[#All],[Date]:[ISInv8]],L$2,0)/L$1,"")</f>
        <v/>
      </c>
      <c r="M56" s="200" t="str">
        <f ca="1">IFERROR(VLOOKUP($B56,RD[[#All],[Date]:[ISInv8]],M$2,0)/M$1,"")</f>
        <v/>
      </c>
      <c r="N56" s="200" t="str">
        <f ca="1">IFERROR(VLOOKUP($B56,RD[[#All],[Date]:[ISInv8]],N$2,0)/N$1,"")</f>
        <v/>
      </c>
      <c r="O56" s="200" t="str">
        <f ca="1">IFERROR(VLOOKUP($B56,RD[[#All],[Date]:[ISInv8]],O$2,0)/O$1,"")</f>
        <v/>
      </c>
      <c r="P56" s="200" t="str">
        <f ca="1">IFERROR(VLOOKUP($B56,RD[[#All],[Date]:[ISInv8]],P$2,0)/P$1,"")</f>
        <v/>
      </c>
      <c r="Q56" s="200" t="str">
        <f ca="1">IFERROR(VLOOKUP($B56,RD[[#All],[Date]:[ISInv8]],Q$2,0)/Q$1,"")</f>
        <v/>
      </c>
      <c r="R56" s="200" t="str">
        <f ca="1">IFERROR(VLOOKUP($B56,RD[[#All],[Date]:[ISInv8]],R$2,0)/R$1,"")</f>
        <v/>
      </c>
      <c r="S56" s="200" t="str">
        <f ca="1">IFERROR(VLOOKUP($B56,RD[[#All],[Date]:[ISInv8]],S$2,0)/S$1,"")</f>
        <v/>
      </c>
      <c r="T56" s="200" t="str">
        <f ca="1">IFERROR(VLOOKUP($B56,RD[[#All],[Date]:[ISInv8]],T$2,0)/T$1,"")</f>
        <v/>
      </c>
      <c r="U56" s="200" t="str">
        <f ca="1">IFERROR(VLOOKUP($B56,RD[[#All],[Date]:[ISInv8]],U$2,0)/U$1,"")</f>
        <v/>
      </c>
      <c r="V56" s="200" t="str">
        <f ca="1">IFERROR(VLOOKUP($B56,RD[[#All],[Date]:[ISInv8]],V$2,0)/V$1,"")</f>
        <v/>
      </c>
      <c r="W56" s="200" t="str">
        <f ca="1">IFERROR(VLOOKUP($B56,RD[[#All],[Date]:[ISInv8]],W$2,0)/W$1,"")</f>
        <v/>
      </c>
      <c r="X56" s="200" t="str">
        <f ca="1">IFERROR(VLOOKUP($B56,RD[[#All],[Date]:[ISInv8]],X$2,0)/X$1,"")</f>
        <v/>
      </c>
      <c r="Y56" s="200" t="str">
        <f ca="1">IFERROR(VLOOKUP($B56,RD[[#All],[Date]:[ISInv8]],Y$2,0)/Y$1,"")</f>
        <v/>
      </c>
      <c r="Z56" s="200" t="str">
        <f ca="1">IFERROR(AVERAGEIF(Inv_SY_B[[#This Row],[IS2Inv1M1]:[IS5Inv2M3]],"&lt;&gt;0",Inv_SY_B[[#This Row],[IS2Inv1M1]:[IS5Inv2M3]]),"")</f>
        <v/>
      </c>
    </row>
    <row r="57" spans="2:26">
      <c r="B57" s="199">
        <f t="shared" ca="1" si="3"/>
        <v>45845</v>
      </c>
      <c r="C57" s="200">
        <f ca="1">IFERROR(VLOOKUP($B57,RD[[#All],[Date]:[ISInv8]],C$2,0)/C$1,"")</f>
        <v>0</v>
      </c>
      <c r="D57" s="200">
        <f ca="1">IFERROR(VLOOKUP($B57,RD[[#All],[Date]:[ISInv8]],D$2,0)/D$1,"")</f>
        <v>0</v>
      </c>
      <c r="E57" s="200">
        <f ca="1">IFERROR(VLOOKUP($B57,RD[[#All],[Date]:[ISInv8]],E$2,0)/E$1,"")</f>
        <v>0</v>
      </c>
      <c r="F57" s="200">
        <f ca="1">IFERROR(VLOOKUP($B57,RD[[#All],[Date]:[ISInv8]],F$2,0)/F$1,"")</f>
        <v>0</v>
      </c>
      <c r="G57" s="200">
        <f ca="1">IFERROR(VLOOKUP($B57,RD[[#All],[Date]:[ISInv8]],G$2,0)/G$1,"")</f>
        <v>0</v>
      </c>
      <c r="H57" s="200">
        <f ca="1">IFERROR(VLOOKUP($B57,RD[[#All],[Date]:[ISInv8]],H$2,0)/H$1,"")</f>
        <v>0</v>
      </c>
      <c r="I57" s="200">
        <f ca="1">IFERROR(VLOOKUP($B57,RD[[#All],[Date]:[ISInv8]],I$2,0)/I$1,"")</f>
        <v>0</v>
      </c>
      <c r="J57" s="200" t="str">
        <f ca="1">IFERROR(VLOOKUP($B57,RD[[#All],[Date]:[ISInv8]],J$2,0)/J$1,"")</f>
        <v/>
      </c>
      <c r="K57" s="200" t="str">
        <f ca="1">IFERROR(VLOOKUP($B57,RD[[#All],[Date]:[ISInv8]],K$2,0)/K$1,"")</f>
        <v/>
      </c>
      <c r="L57" s="200" t="str">
        <f ca="1">IFERROR(VLOOKUP($B57,RD[[#All],[Date]:[ISInv8]],L$2,0)/L$1,"")</f>
        <v/>
      </c>
      <c r="M57" s="200" t="str">
        <f ca="1">IFERROR(VLOOKUP($B57,RD[[#All],[Date]:[ISInv8]],M$2,0)/M$1,"")</f>
        <v/>
      </c>
      <c r="N57" s="200" t="str">
        <f ca="1">IFERROR(VLOOKUP($B57,RD[[#All],[Date]:[ISInv8]],N$2,0)/N$1,"")</f>
        <v/>
      </c>
      <c r="O57" s="200" t="str">
        <f ca="1">IFERROR(VLOOKUP($B57,RD[[#All],[Date]:[ISInv8]],O$2,0)/O$1,"")</f>
        <v/>
      </c>
      <c r="P57" s="200" t="str">
        <f ca="1">IFERROR(VLOOKUP($B57,RD[[#All],[Date]:[ISInv8]],P$2,0)/P$1,"")</f>
        <v/>
      </c>
      <c r="Q57" s="200" t="str">
        <f ca="1">IFERROR(VLOOKUP($B57,RD[[#All],[Date]:[ISInv8]],Q$2,0)/Q$1,"")</f>
        <v/>
      </c>
      <c r="R57" s="200" t="str">
        <f ca="1">IFERROR(VLOOKUP($B57,RD[[#All],[Date]:[ISInv8]],R$2,0)/R$1,"")</f>
        <v/>
      </c>
      <c r="S57" s="200" t="str">
        <f ca="1">IFERROR(VLOOKUP($B57,RD[[#All],[Date]:[ISInv8]],S$2,0)/S$1,"")</f>
        <v/>
      </c>
      <c r="T57" s="200" t="str">
        <f ca="1">IFERROR(VLOOKUP($B57,RD[[#All],[Date]:[ISInv8]],T$2,0)/T$1,"")</f>
        <v/>
      </c>
      <c r="U57" s="200" t="str">
        <f ca="1">IFERROR(VLOOKUP($B57,RD[[#All],[Date]:[ISInv8]],U$2,0)/U$1,"")</f>
        <v/>
      </c>
      <c r="V57" s="200" t="str">
        <f ca="1">IFERROR(VLOOKUP($B57,RD[[#All],[Date]:[ISInv8]],V$2,0)/V$1,"")</f>
        <v/>
      </c>
      <c r="W57" s="200" t="str">
        <f ca="1">IFERROR(VLOOKUP($B57,RD[[#All],[Date]:[ISInv8]],W$2,0)/W$1,"")</f>
        <v/>
      </c>
      <c r="X57" s="200" t="str">
        <f ca="1">IFERROR(VLOOKUP($B57,RD[[#All],[Date]:[ISInv8]],X$2,0)/X$1,"")</f>
        <v/>
      </c>
      <c r="Y57" s="200" t="str">
        <f ca="1">IFERROR(VLOOKUP($B57,RD[[#All],[Date]:[ISInv8]],Y$2,0)/Y$1,"")</f>
        <v/>
      </c>
      <c r="Z57" s="200" t="str">
        <f ca="1">IFERROR(AVERAGEIF(Inv_SY_B[[#This Row],[IS2Inv1M1]:[IS5Inv2M3]],"&lt;&gt;0",Inv_SY_B[[#This Row],[IS2Inv1M1]:[IS5Inv2M3]]),"")</f>
        <v/>
      </c>
    </row>
    <row r="58" spans="2:26">
      <c r="B58" s="199">
        <f t="shared" ca="1" si="3"/>
        <v>45846</v>
      </c>
      <c r="C58" s="200">
        <f ca="1">IFERROR(VLOOKUP($B58,RD[[#All],[Date]:[ISInv8]],C$2,0)/C$1,"")</f>
        <v>0</v>
      </c>
      <c r="D58" s="200">
        <f ca="1">IFERROR(VLOOKUP($B58,RD[[#All],[Date]:[ISInv8]],D$2,0)/D$1,"")</f>
        <v>0</v>
      </c>
      <c r="E58" s="200">
        <f ca="1">IFERROR(VLOOKUP($B58,RD[[#All],[Date]:[ISInv8]],E$2,0)/E$1,"")</f>
        <v>0</v>
      </c>
      <c r="F58" s="200">
        <f ca="1">IFERROR(VLOOKUP($B58,RD[[#All],[Date]:[ISInv8]],F$2,0)/F$1,"")</f>
        <v>0</v>
      </c>
      <c r="G58" s="200">
        <f ca="1">IFERROR(VLOOKUP($B58,RD[[#All],[Date]:[ISInv8]],G$2,0)/G$1,"")</f>
        <v>0</v>
      </c>
      <c r="H58" s="200">
        <f ca="1">IFERROR(VLOOKUP($B58,RD[[#All],[Date]:[ISInv8]],H$2,0)/H$1,"")</f>
        <v>0</v>
      </c>
      <c r="I58" s="200">
        <f ca="1">IFERROR(VLOOKUP($B58,RD[[#All],[Date]:[ISInv8]],I$2,0)/I$1,"")</f>
        <v>0</v>
      </c>
      <c r="J58" s="200" t="str">
        <f ca="1">IFERROR(VLOOKUP($B58,RD[[#All],[Date]:[ISInv8]],J$2,0)/J$1,"")</f>
        <v/>
      </c>
      <c r="K58" s="200" t="str">
        <f ca="1">IFERROR(VLOOKUP($B58,RD[[#All],[Date]:[ISInv8]],K$2,0)/K$1,"")</f>
        <v/>
      </c>
      <c r="L58" s="200" t="str">
        <f ca="1">IFERROR(VLOOKUP($B58,RD[[#All],[Date]:[ISInv8]],L$2,0)/L$1,"")</f>
        <v/>
      </c>
      <c r="M58" s="200" t="str">
        <f ca="1">IFERROR(VLOOKUP($B58,RD[[#All],[Date]:[ISInv8]],M$2,0)/M$1,"")</f>
        <v/>
      </c>
      <c r="N58" s="200" t="str">
        <f ca="1">IFERROR(VLOOKUP($B58,RD[[#All],[Date]:[ISInv8]],N$2,0)/N$1,"")</f>
        <v/>
      </c>
      <c r="O58" s="200" t="str">
        <f ca="1">IFERROR(VLOOKUP($B58,RD[[#All],[Date]:[ISInv8]],O$2,0)/O$1,"")</f>
        <v/>
      </c>
      <c r="P58" s="200" t="str">
        <f ca="1">IFERROR(VLOOKUP($B58,RD[[#All],[Date]:[ISInv8]],P$2,0)/P$1,"")</f>
        <v/>
      </c>
      <c r="Q58" s="200" t="str">
        <f ca="1">IFERROR(VLOOKUP($B58,RD[[#All],[Date]:[ISInv8]],Q$2,0)/Q$1,"")</f>
        <v/>
      </c>
      <c r="R58" s="200" t="str">
        <f ca="1">IFERROR(VLOOKUP($B58,RD[[#All],[Date]:[ISInv8]],R$2,0)/R$1,"")</f>
        <v/>
      </c>
      <c r="S58" s="200" t="str">
        <f ca="1">IFERROR(VLOOKUP($B58,RD[[#All],[Date]:[ISInv8]],S$2,0)/S$1,"")</f>
        <v/>
      </c>
      <c r="T58" s="200" t="str">
        <f ca="1">IFERROR(VLOOKUP($B58,RD[[#All],[Date]:[ISInv8]],T$2,0)/T$1,"")</f>
        <v/>
      </c>
      <c r="U58" s="200" t="str">
        <f ca="1">IFERROR(VLOOKUP($B58,RD[[#All],[Date]:[ISInv8]],U$2,0)/U$1,"")</f>
        <v/>
      </c>
      <c r="V58" s="200" t="str">
        <f ca="1">IFERROR(VLOOKUP($B58,RD[[#All],[Date]:[ISInv8]],V$2,0)/V$1,"")</f>
        <v/>
      </c>
      <c r="W58" s="200" t="str">
        <f ca="1">IFERROR(VLOOKUP($B58,RD[[#All],[Date]:[ISInv8]],W$2,0)/W$1,"")</f>
        <v/>
      </c>
      <c r="X58" s="200" t="str">
        <f ca="1">IFERROR(VLOOKUP($B58,RD[[#All],[Date]:[ISInv8]],X$2,0)/X$1,"")</f>
        <v/>
      </c>
      <c r="Y58" s="200" t="str">
        <f ca="1">IFERROR(VLOOKUP($B58,RD[[#All],[Date]:[ISInv8]],Y$2,0)/Y$1,"")</f>
        <v/>
      </c>
      <c r="Z58" s="200" t="str">
        <f ca="1">IFERROR(AVERAGEIF(Inv_SY_B[[#This Row],[IS2Inv1M1]:[IS5Inv2M3]],"&lt;&gt;0",Inv_SY_B[[#This Row],[IS2Inv1M1]:[IS5Inv2M3]]),"")</f>
        <v/>
      </c>
    </row>
    <row r="59" spans="2:26">
      <c r="B59" s="199">
        <f t="shared" ca="1" si="3"/>
        <v>45847</v>
      </c>
      <c r="C59" s="200">
        <f ca="1">IFERROR(VLOOKUP($B59,RD[[#All],[Date]:[ISInv8]],C$2,0)/C$1,"")</f>
        <v>0</v>
      </c>
      <c r="D59" s="200">
        <f ca="1">IFERROR(VLOOKUP($B59,RD[[#All],[Date]:[ISInv8]],D$2,0)/D$1,"")</f>
        <v>0</v>
      </c>
      <c r="E59" s="200">
        <f ca="1">IFERROR(VLOOKUP($B59,RD[[#All],[Date]:[ISInv8]],E$2,0)/E$1,"")</f>
        <v>0</v>
      </c>
      <c r="F59" s="200">
        <f ca="1">IFERROR(VLOOKUP($B59,RD[[#All],[Date]:[ISInv8]],F$2,0)/F$1,"")</f>
        <v>0</v>
      </c>
      <c r="G59" s="200">
        <f ca="1">IFERROR(VLOOKUP($B59,RD[[#All],[Date]:[ISInv8]],G$2,0)/G$1,"")</f>
        <v>0</v>
      </c>
      <c r="H59" s="200">
        <f ca="1">IFERROR(VLOOKUP($B59,RD[[#All],[Date]:[ISInv8]],H$2,0)/H$1,"")</f>
        <v>0</v>
      </c>
      <c r="I59" s="200">
        <f ca="1">IFERROR(VLOOKUP($B59,RD[[#All],[Date]:[ISInv8]],I$2,0)/I$1,"")</f>
        <v>0</v>
      </c>
      <c r="J59" s="200" t="str">
        <f ca="1">IFERROR(VLOOKUP($B59,RD[[#All],[Date]:[ISInv8]],J$2,0)/J$1,"")</f>
        <v/>
      </c>
      <c r="K59" s="200" t="str">
        <f ca="1">IFERROR(VLOOKUP($B59,RD[[#All],[Date]:[ISInv8]],K$2,0)/K$1,"")</f>
        <v/>
      </c>
      <c r="L59" s="200" t="str">
        <f ca="1">IFERROR(VLOOKUP($B59,RD[[#All],[Date]:[ISInv8]],L$2,0)/L$1,"")</f>
        <v/>
      </c>
      <c r="M59" s="200" t="str">
        <f ca="1">IFERROR(VLOOKUP($B59,RD[[#All],[Date]:[ISInv8]],M$2,0)/M$1,"")</f>
        <v/>
      </c>
      <c r="N59" s="200" t="str">
        <f ca="1">IFERROR(VLOOKUP($B59,RD[[#All],[Date]:[ISInv8]],N$2,0)/N$1,"")</f>
        <v/>
      </c>
      <c r="O59" s="200" t="str">
        <f ca="1">IFERROR(VLOOKUP($B59,RD[[#All],[Date]:[ISInv8]],O$2,0)/O$1,"")</f>
        <v/>
      </c>
      <c r="P59" s="200" t="str">
        <f ca="1">IFERROR(VLOOKUP($B59,RD[[#All],[Date]:[ISInv8]],P$2,0)/P$1,"")</f>
        <v/>
      </c>
      <c r="Q59" s="200" t="str">
        <f ca="1">IFERROR(VLOOKUP($B59,RD[[#All],[Date]:[ISInv8]],Q$2,0)/Q$1,"")</f>
        <v/>
      </c>
      <c r="R59" s="200" t="str">
        <f ca="1">IFERROR(VLOOKUP($B59,RD[[#All],[Date]:[ISInv8]],R$2,0)/R$1,"")</f>
        <v/>
      </c>
      <c r="S59" s="200" t="str">
        <f ca="1">IFERROR(VLOOKUP($B59,RD[[#All],[Date]:[ISInv8]],S$2,0)/S$1,"")</f>
        <v/>
      </c>
      <c r="T59" s="200" t="str">
        <f ca="1">IFERROR(VLOOKUP($B59,RD[[#All],[Date]:[ISInv8]],T$2,0)/T$1,"")</f>
        <v/>
      </c>
      <c r="U59" s="200" t="str">
        <f ca="1">IFERROR(VLOOKUP($B59,RD[[#All],[Date]:[ISInv8]],U$2,0)/U$1,"")</f>
        <v/>
      </c>
      <c r="V59" s="200" t="str">
        <f ca="1">IFERROR(VLOOKUP($B59,RD[[#All],[Date]:[ISInv8]],V$2,0)/V$1,"")</f>
        <v/>
      </c>
      <c r="W59" s="200" t="str">
        <f ca="1">IFERROR(VLOOKUP($B59,RD[[#All],[Date]:[ISInv8]],W$2,0)/W$1,"")</f>
        <v/>
      </c>
      <c r="X59" s="200" t="str">
        <f ca="1">IFERROR(VLOOKUP($B59,RD[[#All],[Date]:[ISInv8]],X$2,0)/X$1,"")</f>
        <v/>
      </c>
      <c r="Y59" s="200" t="str">
        <f ca="1">IFERROR(VLOOKUP($B59,RD[[#All],[Date]:[ISInv8]],Y$2,0)/Y$1,"")</f>
        <v/>
      </c>
      <c r="Z59" s="200" t="str">
        <f ca="1">IFERROR(AVERAGEIF(Inv_SY_B[[#This Row],[IS2Inv1M1]:[IS5Inv2M3]],"&lt;&gt;0",Inv_SY_B[[#This Row],[IS2Inv1M1]:[IS5Inv2M3]]),"")</f>
        <v/>
      </c>
    </row>
    <row r="60" spans="2:26">
      <c r="B60" s="199">
        <f t="shared" ca="1" si="3"/>
        <v>45848</v>
      </c>
      <c r="C60" s="200">
        <f ca="1">IFERROR(VLOOKUP($B60,RD[[#All],[Date]:[ISInv8]],C$2,0)/C$1,"")</f>
        <v>0</v>
      </c>
      <c r="D60" s="200">
        <f ca="1">IFERROR(VLOOKUP($B60,RD[[#All],[Date]:[ISInv8]],D$2,0)/D$1,"")</f>
        <v>0</v>
      </c>
      <c r="E60" s="200">
        <f ca="1">IFERROR(VLOOKUP($B60,RD[[#All],[Date]:[ISInv8]],E$2,0)/E$1,"")</f>
        <v>0</v>
      </c>
      <c r="F60" s="200">
        <f ca="1">IFERROR(VLOOKUP($B60,RD[[#All],[Date]:[ISInv8]],F$2,0)/F$1,"")</f>
        <v>0</v>
      </c>
      <c r="G60" s="200">
        <f ca="1">IFERROR(VLOOKUP($B60,RD[[#All],[Date]:[ISInv8]],G$2,0)/G$1,"")</f>
        <v>0</v>
      </c>
      <c r="H60" s="200">
        <f ca="1">IFERROR(VLOOKUP($B60,RD[[#All],[Date]:[ISInv8]],H$2,0)/H$1,"")</f>
        <v>0</v>
      </c>
      <c r="I60" s="200">
        <f ca="1">IFERROR(VLOOKUP($B60,RD[[#All],[Date]:[ISInv8]],I$2,0)/I$1,"")</f>
        <v>0</v>
      </c>
      <c r="J60" s="200" t="str">
        <f ca="1">IFERROR(VLOOKUP($B60,RD[[#All],[Date]:[ISInv8]],J$2,0)/J$1,"")</f>
        <v/>
      </c>
      <c r="K60" s="200" t="str">
        <f ca="1">IFERROR(VLOOKUP($B60,RD[[#All],[Date]:[ISInv8]],K$2,0)/K$1,"")</f>
        <v/>
      </c>
      <c r="L60" s="200" t="str">
        <f ca="1">IFERROR(VLOOKUP($B60,RD[[#All],[Date]:[ISInv8]],L$2,0)/L$1,"")</f>
        <v/>
      </c>
      <c r="M60" s="200" t="str">
        <f ca="1">IFERROR(VLOOKUP($B60,RD[[#All],[Date]:[ISInv8]],M$2,0)/M$1,"")</f>
        <v/>
      </c>
      <c r="N60" s="200" t="str">
        <f ca="1">IFERROR(VLOOKUP($B60,RD[[#All],[Date]:[ISInv8]],N$2,0)/N$1,"")</f>
        <v/>
      </c>
      <c r="O60" s="200" t="str">
        <f ca="1">IFERROR(VLOOKUP($B60,RD[[#All],[Date]:[ISInv8]],O$2,0)/O$1,"")</f>
        <v/>
      </c>
      <c r="P60" s="200" t="str">
        <f ca="1">IFERROR(VLOOKUP($B60,RD[[#All],[Date]:[ISInv8]],P$2,0)/P$1,"")</f>
        <v/>
      </c>
      <c r="Q60" s="200" t="str">
        <f ca="1">IFERROR(VLOOKUP($B60,RD[[#All],[Date]:[ISInv8]],Q$2,0)/Q$1,"")</f>
        <v/>
      </c>
      <c r="R60" s="200" t="str">
        <f ca="1">IFERROR(VLOOKUP($B60,RD[[#All],[Date]:[ISInv8]],R$2,0)/R$1,"")</f>
        <v/>
      </c>
      <c r="S60" s="200" t="str">
        <f ca="1">IFERROR(VLOOKUP($B60,RD[[#All],[Date]:[ISInv8]],S$2,0)/S$1,"")</f>
        <v/>
      </c>
      <c r="T60" s="200" t="str">
        <f ca="1">IFERROR(VLOOKUP($B60,RD[[#All],[Date]:[ISInv8]],T$2,0)/T$1,"")</f>
        <v/>
      </c>
      <c r="U60" s="200" t="str">
        <f ca="1">IFERROR(VLOOKUP($B60,RD[[#All],[Date]:[ISInv8]],U$2,0)/U$1,"")</f>
        <v/>
      </c>
      <c r="V60" s="200" t="str">
        <f ca="1">IFERROR(VLOOKUP($B60,RD[[#All],[Date]:[ISInv8]],V$2,0)/V$1,"")</f>
        <v/>
      </c>
      <c r="W60" s="200" t="str">
        <f ca="1">IFERROR(VLOOKUP($B60,RD[[#All],[Date]:[ISInv8]],W$2,0)/W$1,"")</f>
        <v/>
      </c>
      <c r="X60" s="200" t="str">
        <f ca="1">IFERROR(VLOOKUP($B60,RD[[#All],[Date]:[ISInv8]],X$2,0)/X$1,"")</f>
        <v/>
      </c>
      <c r="Y60" s="200" t="str">
        <f ca="1">IFERROR(VLOOKUP($B60,RD[[#All],[Date]:[ISInv8]],Y$2,0)/Y$1,"")</f>
        <v/>
      </c>
      <c r="Z60" s="200" t="str">
        <f ca="1">IFERROR(AVERAGEIF(Inv_SY_B[[#This Row],[IS2Inv1M1]:[IS5Inv2M3]],"&lt;&gt;0",Inv_SY_B[[#This Row],[IS2Inv1M1]:[IS5Inv2M3]]),"")</f>
        <v/>
      </c>
    </row>
    <row r="61" spans="2:26">
      <c r="B61" s="199">
        <f t="shared" ca="1" si="3"/>
        <v>45849</v>
      </c>
      <c r="C61" s="200">
        <f ca="1">IFERROR(VLOOKUP($B61,RD[[#All],[Date]:[ISInv8]],C$2,0)/C$1,"")</f>
        <v>0</v>
      </c>
      <c r="D61" s="200">
        <f ca="1">IFERROR(VLOOKUP($B61,RD[[#All],[Date]:[ISInv8]],D$2,0)/D$1,"")</f>
        <v>0</v>
      </c>
      <c r="E61" s="200">
        <f ca="1">IFERROR(VLOOKUP($B61,RD[[#All],[Date]:[ISInv8]],E$2,0)/E$1,"")</f>
        <v>0</v>
      </c>
      <c r="F61" s="200">
        <f ca="1">IFERROR(VLOOKUP($B61,RD[[#All],[Date]:[ISInv8]],F$2,0)/F$1,"")</f>
        <v>0</v>
      </c>
      <c r="G61" s="200">
        <f ca="1">IFERROR(VLOOKUP($B61,RD[[#All],[Date]:[ISInv8]],G$2,0)/G$1,"")</f>
        <v>0</v>
      </c>
      <c r="H61" s="200">
        <f ca="1">IFERROR(VLOOKUP($B61,RD[[#All],[Date]:[ISInv8]],H$2,0)/H$1,"")</f>
        <v>0</v>
      </c>
      <c r="I61" s="200">
        <f ca="1">IFERROR(VLOOKUP($B61,RD[[#All],[Date]:[ISInv8]],I$2,0)/I$1,"")</f>
        <v>0</v>
      </c>
      <c r="J61" s="200" t="str">
        <f ca="1">IFERROR(VLOOKUP($B61,RD[[#All],[Date]:[ISInv8]],J$2,0)/J$1,"")</f>
        <v/>
      </c>
      <c r="K61" s="200" t="str">
        <f ca="1">IFERROR(VLOOKUP($B61,RD[[#All],[Date]:[ISInv8]],K$2,0)/K$1,"")</f>
        <v/>
      </c>
      <c r="L61" s="200" t="str">
        <f ca="1">IFERROR(VLOOKUP($B61,RD[[#All],[Date]:[ISInv8]],L$2,0)/L$1,"")</f>
        <v/>
      </c>
      <c r="M61" s="200" t="str">
        <f ca="1">IFERROR(VLOOKUP($B61,RD[[#All],[Date]:[ISInv8]],M$2,0)/M$1,"")</f>
        <v/>
      </c>
      <c r="N61" s="200" t="str">
        <f ca="1">IFERROR(VLOOKUP($B61,RD[[#All],[Date]:[ISInv8]],N$2,0)/N$1,"")</f>
        <v/>
      </c>
      <c r="O61" s="200" t="str">
        <f ca="1">IFERROR(VLOOKUP($B61,RD[[#All],[Date]:[ISInv8]],O$2,0)/O$1,"")</f>
        <v/>
      </c>
      <c r="P61" s="200" t="str">
        <f ca="1">IFERROR(VLOOKUP($B61,RD[[#All],[Date]:[ISInv8]],P$2,0)/P$1,"")</f>
        <v/>
      </c>
      <c r="Q61" s="200" t="str">
        <f ca="1">IFERROR(VLOOKUP($B61,RD[[#All],[Date]:[ISInv8]],Q$2,0)/Q$1,"")</f>
        <v/>
      </c>
      <c r="R61" s="200" t="str">
        <f ca="1">IFERROR(VLOOKUP($B61,RD[[#All],[Date]:[ISInv8]],R$2,0)/R$1,"")</f>
        <v/>
      </c>
      <c r="S61" s="200" t="str">
        <f ca="1">IFERROR(VLOOKUP($B61,RD[[#All],[Date]:[ISInv8]],S$2,0)/S$1,"")</f>
        <v/>
      </c>
      <c r="T61" s="200" t="str">
        <f ca="1">IFERROR(VLOOKUP($B61,RD[[#All],[Date]:[ISInv8]],T$2,0)/T$1,"")</f>
        <v/>
      </c>
      <c r="U61" s="200" t="str">
        <f ca="1">IFERROR(VLOOKUP($B61,RD[[#All],[Date]:[ISInv8]],U$2,0)/U$1,"")</f>
        <v/>
      </c>
      <c r="V61" s="200" t="str">
        <f ca="1">IFERROR(VLOOKUP($B61,RD[[#All],[Date]:[ISInv8]],V$2,0)/V$1,"")</f>
        <v/>
      </c>
      <c r="W61" s="200" t="str">
        <f ca="1">IFERROR(VLOOKUP($B61,RD[[#All],[Date]:[ISInv8]],W$2,0)/W$1,"")</f>
        <v/>
      </c>
      <c r="X61" s="200" t="str">
        <f ca="1">IFERROR(VLOOKUP($B61,RD[[#All],[Date]:[ISInv8]],X$2,0)/X$1,"")</f>
        <v/>
      </c>
      <c r="Y61" s="200" t="str">
        <f ca="1">IFERROR(VLOOKUP($B61,RD[[#All],[Date]:[ISInv8]],Y$2,0)/Y$1,"")</f>
        <v/>
      </c>
      <c r="Z61" s="200" t="str">
        <f ca="1">IFERROR(AVERAGEIF(Inv_SY_B[[#This Row],[IS2Inv1M1]:[IS5Inv2M3]],"&lt;&gt;0",Inv_SY_B[[#This Row],[IS2Inv1M1]:[IS5Inv2M3]]),"")</f>
        <v/>
      </c>
    </row>
    <row r="62" spans="2:26">
      <c r="B62" s="199">
        <f t="shared" ca="1" si="3"/>
        <v>45850</v>
      </c>
      <c r="C62" s="200">
        <f ca="1">IFERROR(VLOOKUP($B62,RD[[#All],[Date]:[ISInv8]],C$2,0)/C$1,"")</f>
        <v>0.12642602926787308</v>
      </c>
      <c r="D62" s="200">
        <f ca="1">IFERROR(VLOOKUP($B62,RD[[#All],[Date]:[ISInv8]],D$2,0)/D$1,"")</f>
        <v>0.11485316275154289</v>
      </c>
      <c r="E62" s="200">
        <f ca="1">IFERROR(VLOOKUP($B62,RD[[#All],[Date]:[ISInv8]],E$2,0)/E$1,"")</f>
        <v>7.5463926961535824E-2</v>
      </c>
      <c r="F62" s="200">
        <f ca="1">IFERROR(VLOOKUP($B62,RD[[#All],[Date]:[ISInv8]],F$2,0)/F$1,"")</f>
        <v>7.2967708555254598E-2</v>
      </c>
      <c r="G62" s="200">
        <f ca="1">IFERROR(VLOOKUP($B62,RD[[#All],[Date]:[ISInv8]],G$2,0)/G$1,"")</f>
        <v>6.9269866390723439E-2</v>
      </c>
      <c r="H62" s="200">
        <f ca="1">IFERROR(VLOOKUP($B62,RD[[#All],[Date]:[ISInv8]],H$2,0)/H$1,"")</f>
        <v>0.12214809598443285</v>
      </c>
      <c r="I62" s="200">
        <f ca="1">IFERROR(VLOOKUP($B62,RD[[#All],[Date]:[ISInv8]],I$2,0)/I$1,"")</f>
        <v>0.23405172413793102</v>
      </c>
      <c r="J62" s="200" t="str">
        <f ca="1">IFERROR(VLOOKUP($B62,RD[[#All],[Date]:[ISInv8]],J$2,0)/J$1,"")</f>
        <v/>
      </c>
      <c r="K62" s="200" t="str">
        <f ca="1">IFERROR(VLOOKUP($B62,RD[[#All],[Date]:[ISInv8]],K$2,0)/K$1,"")</f>
        <v/>
      </c>
      <c r="L62" s="200" t="str">
        <f ca="1">IFERROR(VLOOKUP($B62,RD[[#All],[Date]:[ISInv8]],L$2,0)/L$1,"")</f>
        <v/>
      </c>
      <c r="M62" s="200" t="str">
        <f ca="1">IFERROR(VLOOKUP($B62,RD[[#All],[Date]:[ISInv8]],M$2,0)/M$1,"")</f>
        <v/>
      </c>
      <c r="N62" s="200" t="str">
        <f ca="1">IFERROR(VLOOKUP($B62,RD[[#All],[Date]:[ISInv8]],N$2,0)/N$1,"")</f>
        <v/>
      </c>
      <c r="O62" s="200" t="str">
        <f ca="1">IFERROR(VLOOKUP($B62,RD[[#All],[Date]:[ISInv8]],O$2,0)/O$1,"")</f>
        <v/>
      </c>
      <c r="P62" s="200" t="str">
        <f ca="1">IFERROR(VLOOKUP($B62,RD[[#All],[Date]:[ISInv8]],P$2,0)/P$1,"")</f>
        <v/>
      </c>
      <c r="Q62" s="200" t="str">
        <f ca="1">IFERROR(VLOOKUP($B62,RD[[#All],[Date]:[ISInv8]],Q$2,0)/Q$1,"")</f>
        <v/>
      </c>
      <c r="R62" s="200" t="str">
        <f ca="1">IFERROR(VLOOKUP($B62,RD[[#All],[Date]:[ISInv8]],R$2,0)/R$1,"")</f>
        <v/>
      </c>
      <c r="S62" s="200" t="str">
        <f ca="1">IFERROR(VLOOKUP($B62,RD[[#All],[Date]:[ISInv8]],S$2,0)/S$1,"")</f>
        <v/>
      </c>
      <c r="T62" s="200" t="str">
        <f ca="1">IFERROR(VLOOKUP($B62,RD[[#All],[Date]:[ISInv8]],T$2,0)/T$1,"")</f>
        <v/>
      </c>
      <c r="U62" s="200" t="str">
        <f ca="1">IFERROR(VLOOKUP($B62,RD[[#All],[Date]:[ISInv8]],U$2,0)/U$1,"")</f>
        <v/>
      </c>
      <c r="V62" s="200" t="str">
        <f ca="1">IFERROR(VLOOKUP($B62,RD[[#All],[Date]:[ISInv8]],V$2,0)/V$1,"")</f>
        <v/>
      </c>
      <c r="W62" s="200" t="str">
        <f ca="1">IFERROR(VLOOKUP($B62,RD[[#All],[Date]:[ISInv8]],W$2,0)/W$1,"")</f>
        <v/>
      </c>
      <c r="X62" s="200" t="str">
        <f ca="1">IFERROR(VLOOKUP($B62,RD[[#All],[Date]:[ISInv8]],X$2,0)/X$1,"")</f>
        <v/>
      </c>
      <c r="Y62" s="200" t="str">
        <f ca="1">IFERROR(VLOOKUP($B62,RD[[#All],[Date]:[ISInv8]],Y$2,0)/Y$1,"")</f>
        <v/>
      </c>
      <c r="Z62" s="200">
        <f ca="1">IFERROR(AVERAGEIF(Inv_SY_B[[#This Row],[IS2Inv1M1]:[IS5Inv2M3]],"&lt;&gt;0",Inv_SY_B[[#This Row],[IS2Inv1M1]:[IS5Inv2M3]]),"")</f>
        <v>0.11645435914989911</v>
      </c>
    </row>
    <row r="63" spans="2:26">
      <c r="B63" s="199">
        <f t="shared" ca="1" si="3"/>
        <v>45851</v>
      </c>
      <c r="C63" s="200">
        <f ca="1">IFERROR(VLOOKUP($B63,RD[[#All],[Date]:[ISInv8]],C$2,0)/C$1,"")</f>
        <v>0.23293872240680411</v>
      </c>
      <c r="D63" s="200">
        <f ca="1">IFERROR(VLOOKUP($B63,RD[[#All],[Date]:[ISInv8]],D$2,0)/D$1,"")</f>
        <v>0.12950203486345768</v>
      </c>
      <c r="E63" s="200">
        <f ca="1">IFERROR(VLOOKUP($B63,RD[[#All],[Date]:[ISInv8]],E$2,0)/E$1,"")</f>
        <v>6.2070490965532493E-2</v>
      </c>
      <c r="F63" s="200">
        <f ca="1">IFERROR(VLOOKUP($B63,RD[[#All],[Date]:[ISInv8]],F$2,0)/F$1,"")</f>
        <v>6.3867668989865178E-2</v>
      </c>
      <c r="G63" s="200">
        <f ca="1">IFERROR(VLOOKUP($B63,RD[[#All],[Date]:[ISInv8]],G$2,0)/G$1,"")</f>
        <v>7.2450315001369572E-2</v>
      </c>
      <c r="H63" s="200">
        <f ca="1">IFERROR(VLOOKUP($B63,RD[[#All],[Date]:[ISInv8]],H$2,0)/H$1,"")</f>
        <v>0.2579292298216328</v>
      </c>
      <c r="I63" s="200">
        <f ca="1">IFERROR(VLOOKUP($B63,RD[[#All],[Date]:[ISInv8]],I$2,0)/I$1,"")</f>
        <v>0.27866379310344824</v>
      </c>
      <c r="J63" s="200" t="str">
        <f ca="1">IFERROR(VLOOKUP($B63,RD[[#All],[Date]:[ISInv8]],J$2,0)/J$1,"")</f>
        <v/>
      </c>
      <c r="K63" s="200" t="str">
        <f ca="1">IFERROR(VLOOKUP($B63,RD[[#All],[Date]:[ISInv8]],K$2,0)/K$1,"")</f>
        <v/>
      </c>
      <c r="L63" s="200" t="str">
        <f ca="1">IFERROR(VLOOKUP($B63,RD[[#All],[Date]:[ISInv8]],L$2,0)/L$1,"")</f>
        <v/>
      </c>
      <c r="M63" s="200" t="str">
        <f ca="1">IFERROR(VLOOKUP($B63,RD[[#All],[Date]:[ISInv8]],M$2,0)/M$1,"")</f>
        <v/>
      </c>
      <c r="N63" s="200" t="str">
        <f ca="1">IFERROR(VLOOKUP($B63,RD[[#All],[Date]:[ISInv8]],N$2,0)/N$1,"")</f>
        <v/>
      </c>
      <c r="O63" s="200" t="str">
        <f ca="1">IFERROR(VLOOKUP($B63,RD[[#All],[Date]:[ISInv8]],O$2,0)/O$1,"")</f>
        <v/>
      </c>
      <c r="P63" s="200" t="str">
        <f ca="1">IFERROR(VLOOKUP($B63,RD[[#All],[Date]:[ISInv8]],P$2,0)/P$1,"")</f>
        <v/>
      </c>
      <c r="Q63" s="200" t="str">
        <f ca="1">IFERROR(VLOOKUP($B63,RD[[#All],[Date]:[ISInv8]],Q$2,0)/Q$1,"")</f>
        <v/>
      </c>
      <c r="R63" s="200" t="str">
        <f ca="1">IFERROR(VLOOKUP($B63,RD[[#All],[Date]:[ISInv8]],R$2,0)/R$1,"")</f>
        <v/>
      </c>
      <c r="S63" s="200" t="str">
        <f ca="1">IFERROR(VLOOKUP($B63,RD[[#All],[Date]:[ISInv8]],S$2,0)/S$1,"")</f>
        <v/>
      </c>
      <c r="T63" s="200" t="str">
        <f ca="1">IFERROR(VLOOKUP($B63,RD[[#All],[Date]:[ISInv8]],T$2,0)/T$1,"")</f>
        <v/>
      </c>
      <c r="U63" s="200" t="str">
        <f ca="1">IFERROR(VLOOKUP($B63,RD[[#All],[Date]:[ISInv8]],U$2,0)/U$1,"")</f>
        <v/>
      </c>
      <c r="V63" s="200" t="str">
        <f ca="1">IFERROR(VLOOKUP($B63,RD[[#All],[Date]:[ISInv8]],V$2,0)/V$1,"")</f>
        <v/>
      </c>
      <c r="W63" s="200" t="str">
        <f ca="1">IFERROR(VLOOKUP($B63,RD[[#All],[Date]:[ISInv8]],W$2,0)/W$1,"")</f>
        <v/>
      </c>
      <c r="X63" s="200" t="str">
        <f ca="1">IFERROR(VLOOKUP($B63,RD[[#All],[Date]:[ISInv8]],X$2,0)/X$1,"")</f>
        <v/>
      </c>
      <c r="Y63" s="200" t="str">
        <f ca="1">IFERROR(VLOOKUP($B63,RD[[#All],[Date]:[ISInv8]],Y$2,0)/Y$1,"")</f>
        <v/>
      </c>
      <c r="Z63" s="200">
        <f ca="1">IFERROR(AVERAGEIF(Inv_SY_B[[#This Row],[IS2Inv1M1]:[IS5Inv2M3]],"&lt;&gt;0",Inv_SY_B[[#This Row],[IS2Inv1M1]:[IS5Inv2M3]]),"")</f>
        <v>0.15677460787887285</v>
      </c>
    </row>
    <row r="64" spans="2:26">
      <c r="B64" s="199">
        <f t="shared" ca="1" si="3"/>
        <v>45852</v>
      </c>
      <c r="C64" s="200">
        <f ca="1">IFERROR(VLOOKUP($B64,RD[[#All],[Date]:[ISInv8]],C$2,0)/C$1,"")</f>
        <v>0</v>
      </c>
      <c r="D64" s="200">
        <f ca="1">IFERROR(VLOOKUP($B64,RD[[#All],[Date]:[ISInv8]],D$2,0)/D$1,"")</f>
        <v>0</v>
      </c>
      <c r="E64" s="200">
        <f ca="1">IFERROR(VLOOKUP($B64,RD[[#All],[Date]:[ISInv8]],E$2,0)/E$1,"")</f>
        <v>0</v>
      </c>
      <c r="F64" s="200">
        <f ca="1">IFERROR(VLOOKUP($B64,RD[[#All],[Date]:[ISInv8]],F$2,0)/F$1,"")</f>
        <v>0</v>
      </c>
      <c r="G64" s="200">
        <f ca="1">IFERROR(VLOOKUP($B64,RD[[#All],[Date]:[ISInv8]],G$2,0)/G$1,"")</f>
        <v>0</v>
      </c>
      <c r="H64" s="200">
        <f ca="1">IFERROR(VLOOKUP($B64,RD[[#All],[Date]:[ISInv8]],H$2,0)/H$1,"")</f>
        <v>0</v>
      </c>
      <c r="I64" s="200">
        <f ca="1">IFERROR(VLOOKUP($B64,RD[[#All],[Date]:[ISInv8]],I$2,0)/I$1,"")</f>
        <v>0</v>
      </c>
      <c r="J64" s="200" t="str">
        <f ca="1">IFERROR(VLOOKUP($B64,RD[[#All],[Date]:[ISInv8]],J$2,0)/J$1,"")</f>
        <v/>
      </c>
      <c r="K64" s="200" t="str">
        <f ca="1">IFERROR(VLOOKUP($B64,RD[[#All],[Date]:[ISInv8]],K$2,0)/K$1,"")</f>
        <v/>
      </c>
      <c r="L64" s="200" t="str">
        <f ca="1">IFERROR(VLOOKUP($B64,RD[[#All],[Date]:[ISInv8]],L$2,0)/L$1,"")</f>
        <v/>
      </c>
      <c r="M64" s="200" t="str">
        <f ca="1">IFERROR(VLOOKUP($B64,RD[[#All],[Date]:[ISInv8]],M$2,0)/M$1,"")</f>
        <v/>
      </c>
      <c r="N64" s="200" t="str">
        <f ca="1">IFERROR(VLOOKUP($B64,RD[[#All],[Date]:[ISInv8]],N$2,0)/N$1,"")</f>
        <v/>
      </c>
      <c r="O64" s="200" t="str">
        <f ca="1">IFERROR(VLOOKUP($B64,RD[[#All],[Date]:[ISInv8]],O$2,0)/O$1,"")</f>
        <v/>
      </c>
      <c r="P64" s="200" t="str">
        <f ca="1">IFERROR(VLOOKUP($B64,RD[[#All],[Date]:[ISInv8]],P$2,0)/P$1,"")</f>
        <v/>
      </c>
      <c r="Q64" s="200" t="str">
        <f ca="1">IFERROR(VLOOKUP($B64,RD[[#All],[Date]:[ISInv8]],Q$2,0)/Q$1,"")</f>
        <v/>
      </c>
      <c r="R64" s="200" t="str">
        <f ca="1">IFERROR(VLOOKUP($B64,RD[[#All],[Date]:[ISInv8]],R$2,0)/R$1,"")</f>
        <v/>
      </c>
      <c r="S64" s="200" t="str">
        <f ca="1">IFERROR(VLOOKUP($B64,RD[[#All],[Date]:[ISInv8]],S$2,0)/S$1,"")</f>
        <v/>
      </c>
      <c r="T64" s="200" t="str">
        <f ca="1">IFERROR(VLOOKUP($B64,RD[[#All],[Date]:[ISInv8]],T$2,0)/T$1,"")</f>
        <v/>
      </c>
      <c r="U64" s="200" t="str">
        <f ca="1">IFERROR(VLOOKUP($B64,RD[[#All],[Date]:[ISInv8]],U$2,0)/U$1,"")</f>
        <v/>
      </c>
      <c r="V64" s="200" t="str">
        <f ca="1">IFERROR(VLOOKUP($B64,RD[[#All],[Date]:[ISInv8]],V$2,0)/V$1,"")</f>
        <v/>
      </c>
      <c r="W64" s="200" t="str">
        <f ca="1">IFERROR(VLOOKUP($B64,RD[[#All],[Date]:[ISInv8]],W$2,0)/W$1,"")</f>
        <v/>
      </c>
      <c r="X64" s="200" t="str">
        <f ca="1">IFERROR(VLOOKUP($B64,RD[[#All],[Date]:[ISInv8]],X$2,0)/X$1,"")</f>
        <v/>
      </c>
      <c r="Y64" s="200" t="str">
        <f ca="1">IFERROR(VLOOKUP($B64,RD[[#All],[Date]:[ISInv8]],Y$2,0)/Y$1,"")</f>
        <v/>
      </c>
      <c r="Z64" s="320" t="str">
        <f ca="1">IFERROR(AVERAGEIF(Inv_SY_B[[#This Row],[IS2Inv1M1]:[IS5Inv2M3]],"&lt;&gt;0",Inv_SY_B[[#This Row],[IS2Inv1M1]:[IS5Inv2M3]]),"")</f>
        <v/>
      </c>
    </row>
  </sheetData>
  <phoneticPr fontId="59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Y63"/>
  <sheetViews>
    <sheetView topLeftCell="A2" workbookViewId="0">
      <pane xSplit="2" ySplit="1" topLeftCell="C3" activePane="bottomRight" state="frozen"/>
      <selection pane="topRight" activeCell="L73" sqref="L73"/>
      <selection pane="bottomLeft" activeCell="L73" sqref="L73"/>
      <selection pane="bottomRight" activeCell="D3" sqref="D3"/>
    </sheetView>
  </sheetViews>
  <sheetFormatPr defaultColWidth="8.81640625" defaultRowHeight="14.5"/>
  <cols>
    <col min="1" max="1" width="1.1796875" customWidth="1"/>
    <col min="2" max="2" width="12.453125" bestFit="1" customWidth="1"/>
    <col min="3" max="3" width="13.81640625" bestFit="1" customWidth="1"/>
    <col min="4" max="5" width="12.453125" bestFit="1" customWidth="1"/>
    <col min="6" max="6" width="14.453125" bestFit="1" customWidth="1"/>
    <col min="7" max="9" width="12.453125" bestFit="1" customWidth="1"/>
  </cols>
  <sheetData>
    <row r="1" spans="2:25" hidden="1"/>
    <row r="2" spans="2:25">
      <c r="B2" s="198" t="s">
        <v>77</v>
      </c>
      <c r="C2" s="195" t="s">
        <v>469</v>
      </c>
      <c r="D2" s="195" t="s">
        <v>471</v>
      </c>
      <c r="E2" s="195" t="s">
        <v>473</v>
      </c>
      <c r="F2" s="195" t="s">
        <v>476</v>
      </c>
      <c r="G2" s="195" t="s">
        <v>478</v>
      </c>
      <c r="H2" s="195" t="s">
        <v>480</v>
      </c>
      <c r="I2" s="195" t="s">
        <v>482</v>
      </c>
      <c r="J2" s="321" t="s">
        <v>485</v>
      </c>
      <c r="K2" s="321" t="s">
        <v>487</v>
      </c>
      <c r="L2" s="321" t="s">
        <v>489</v>
      </c>
      <c r="M2" s="321" t="s">
        <v>607</v>
      </c>
      <c r="N2" s="321" t="s">
        <v>608</v>
      </c>
      <c r="O2" s="321" t="s">
        <v>609</v>
      </c>
      <c r="P2" s="321" t="s">
        <v>621</v>
      </c>
      <c r="Q2" s="321" t="s">
        <v>491</v>
      </c>
      <c r="R2" s="321" t="s">
        <v>493</v>
      </c>
      <c r="S2" s="321" t="s">
        <v>495</v>
      </c>
      <c r="T2" s="321" t="s">
        <v>610</v>
      </c>
      <c r="U2" s="321" t="s">
        <v>611</v>
      </c>
      <c r="V2" s="321" t="s">
        <v>612</v>
      </c>
      <c r="W2" s="321" t="s">
        <v>613</v>
      </c>
      <c r="X2" s="321" t="s">
        <v>614</v>
      </c>
      <c r="Y2" s="321" t="s">
        <v>615</v>
      </c>
    </row>
    <row r="3" spans="2:25">
      <c r="B3" s="199">
        <f t="shared" ref="B3" ca="1" si="0">TODAY()-60</f>
        <v>45792</v>
      </c>
      <c r="C3" s="201" t="str">
        <f ca="1">IFERROR((Inv_SY_B!C4/Inv_SY_B!$Z4)-1,"")</f>
        <v/>
      </c>
      <c r="D3" s="201" t="str">
        <f ca="1">IFERROR((Inv_SY_B!D4/Inv_SY_B!$Z4)-1,"")</f>
        <v/>
      </c>
      <c r="E3" s="201" t="str">
        <f ca="1">IFERROR((Inv_SY_B!E4/Inv_SY_B!$Z4)-1,"")</f>
        <v/>
      </c>
      <c r="F3" s="201" t="str">
        <f ca="1">IFERROR((Inv_SY_B!F4/Inv_SY_B!$Z4)-1,"")</f>
        <v/>
      </c>
      <c r="G3" s="201" t="str">
        <f ca="1">IFERROR((Inv_SY_B!G4/Inv_SY_B!$Z4)-1,"")</f>
        <v/>
      </c>
      <c r="H3" s="201" t="str">
        <f ca="1">IFERROR((Inv_SY_B!H4/Inv_SY_B!$Z4)-1,"")</f>
        <v/>
      </c>
      <c r="I3" s="201" t="str">
        <f ca="1">IFERROR((Inv_SY_B!I4/Inv_SY_B!$Z4)-1,"")</f>
        <v/>
      </c>
      <c r="J3" s="201" t="str">
        <f ca="1">IFERROR((Inv_SY_B!J4/Inv_SY_B!$Z4)-1,"")</f>
        <v/>
      </c>
      <c r="K3" s="201" t="str">
        <f ca="1">IFERROR((Inv_SY_B!K4/Inv_SY_B!$Z4)-1,"")</f>
        <v/>
      </c>
      <c r="L3" s="201" t="str">
        <f ca="1">IFERROR((Inv_SY_B!L4/Inv_SY_B!$Z4)-1,"")</f>
        <v/>
      </c>
      <c r="M3" s="201" t="str">
        <f ca="1">IFERROR((Inv_SY_B!M4/Inv_SY_B!$Z4)-1,"")</f>
        <v/>
      </c>
      <c r="N3" s="201" t="str">
        <f ca="1">IFERROR((Inv_SY_B!N4/Inv_SY_B!$Z4)-1,"")</f>
        <v/>
      </c>
      <c r="O3" s="201" t="str">
        <f ca="1">IFERROR((Inv_SY_B!O4/Inv_SY_B!$Z4)-1,"")</f>
        <v/>
      </c>
      <c r="P3" s="201" t="str">
        <f ca="1">IFERROR((Inv_SY_B!P4/Inv_SY_B!$Z4)-1,"")</f>
        <v/>
      </c>
      <c r="Q3" s="201" t="str">
        <f ca="1">IFERROR((Inv_SY_B!Q4/Inv_SY_B!$Z4)-1,"")</f>
        <v/>
      </c>
      <c r="R3" s="201" t="str">
        <f ca="1">IFERROR((Inv_SY_B!R4/Inv_SY_B!$Z4)-1,"")</f>
        <v/>
      </c>
      <c r="S3" s="201" t="str">
        <f ca="1">IFERROR((Inv_SY_B!S4/Inv_SY_B!$Z4)-1,"")</f>
        <v/>
      </c>
      <c r="T3" s="201" t="str">
        <f ca="1">IFERROR((Inv_SY_B!T4/Inv_SY_B!$Z4)-1,"")</f>
        <v/>
      </c>
      <c r="U3" s="201" t="str">
        <f ca="1">IFERROR((Inv_SY_B!U4/Inv_SY_B!$Z4)-1,"")</f>
        <v/>
      </c>
      <c r="V3" s="201" t="str">
        <f ca="1">IFERROR((Inv_SY_B!V4/Inv_SY_B!$Z4)-1,"")</f>
        <v/>
      </c>
      <c r="W3" s="201" t="str">
        <f ca="1">IFERROR((Inv_SY_B!W4/Inv_SY_B!$Z4)-1,"")</f>
        <v/>
      </c>
      <c r="X3" s="201" t="str">
        <f ca="1">IFERROR((Inv_SY_B!X4/Inv_SY_B!$Z4)-1,"")</f>
        <v/>
      </c>
      <c r="Y3" s="201" t="str">
        <f ca="1">IFERROR((Inv_SY_B!Y4/Inv_SY_B!$Z4)-1,"")</f>
        <v/>
      </c>
    </row>
    <row r="4" spans="2:25">
      <c r="B4" s="199">
        <f ca="1">B3+1</f>
        <v>45793</v>
      </c>
      <c r="C4" s="201" t="str">
        <f ca="1">IFERROR((Inv_SY_B!C5/Inv_SY_B!$Z5)-1,"")</f>
        <v/>
      </c>
      <c r="D4" s="201" t="str">
        <f ca="1">IFERROR((Inv_SY_B!D5/Inv_SY_B!$Z5)-1,"")</f>
        <v/>
      </c>
      <c r="E4" s="201" t="str">
        <f ca="1">IFERROR((Inv_SY_B!E5/Inv_SY_B!$Z5)-1,"")</f>
        <v/>
      </c>
      <c r="F4" s="201" t="str">
        <f ca="1">IFERROR((Inv_SY_B!F5/Inv_SY_B!$Z5)-1,"")</f>
        <v/>
      </c>
      <c r="G4" s="201" t="str">
        <f ca="1">IFERROR((Inv_SY_B!G5/Inv_SY_B!$Z5)-1,"")</f>
        <v/>
      </c>
      <c r="H4" s="201" t="str">
        <f ca="1">IFERROR((Inv_SY_B!H5/Inv_SY_B!$Z5)-1,"")</f>
        <v/>
      </c>
      <c r="I4" s="201" t="str">
        <f ca="1">IFERROR((Inv_SY_B!I5/Inv_SY_B!$Z5)-1,"")</f>
        <v/>
      </c>
      <c r="J4" s="201" t="str">
        <f ca="1">IFERROR((Inv_SY_B!J5/Inv_SY_B!$Z5)-1,"")</f>
        <v/>
      </c>
      <c r="K4" s="201" t="str">
        <f ca="1">IFERROR((Inv_SY_B!K5/Inv_SY_B!$Z5)-1,"")</f>
        <v/>
      </c>
      <c r="L4" s="201" t="str">
        <f ca="1">IFERROR((Inv_SY_B!L5/Inv_SY_B!$Z5)-1,"")</f>
        <v/>
      </c>
      <c r="M4" s="201" t="str">
        <f ca="1">IFERROR((Inv_SY_B!M5/Inv_SY_B!$Z5)-1,"")</f>
        <v/>
      </c>
      <c r="N4" s="201" t="str">
        <f ca="1">IFERROR((Inv_SY_B!N5/Inv_SY_B!$Z5)-1,"")</f>
        <v/>
      </c>
      <c r="O4" s="201" t="str">
        <f ca="1">IFERROR((Inv_SY_B!O5/Inv_SY_B!$Z5)-1,"")</f>
        <v/>
      </c>
      <c r="P4" s="201" t="str">
        <f ca="1">IFERROR((Inv_SY_B!P5/Inv_SY_B!$Z5)-1,"")</f>
        <v/>
      </c>
      <c r="Q4" s="201" t="str">
        <f ca="1">IFERROR((Inv_SY_B!Q5/Inv_SY_B!$Z5)-1,"")</f>
        <v/>
      </c>
      <c r="R4" s="201" t="str">
        <f ca="1">IFERROR((Inv_SY_B!R5/Inv_SY_B!$Z5)-1,"")</f>
        <v/>
      </c>
      <c r="S4" s="201" t="str">
        <f ca="1">IFERROR((Inv_SY_B!S5/Inv_SY_B!$Z5)-1,"")</f>
        <v/>
      </c>
      <c r="T4" s="201" t="str">
        <f ca="1">IFERROR((Inv_SY_B!T5/Inv_SY_B!$Z5)-1,"")</f>
        <v/>
      </c>
      <c r="U4" s="201" t="str">
        <f ca="1">IFERROR((Inv_SY_B!U5/Inv_SY_B!$Z5)-1,"")</f>
        <v/>
      </c>
      <c r="V4" s="201" t="str">
        <f ca="1">IFERROR((Inv_SY_B!V5/Inv_SY_B!$Z5)-1,"")</f>
        <v/>
      </c>
      <c r="W4" s="201" t="str">
        <f ca="1">IFERROR((Inv_SY_B!W5/Inv_SY_B!$Z5)-1,"")</f>
        <v/>
      </c>
      <c r="X4" s="201" t="str">
        <f ca="1">IFERROR((Inv_SY_B!X5/Inv_SY_B!$Z5)-1,"")</f>
        <v/>
      </c>
      <c r="Y4" s="201" t="str">
        <f ca="1">IFERROR((Inv_SY_B!Y5/Inv_SY_B!$Z5)-1,"")</f>
        <v/>
      </c>
    </row>
    <row r="5" spans="2:25">
      <c r="B5" s="199">
        <f t="shared" ref="B5:B63" ca="1" si="1">B4+1</f>
        <v>45794</v>
      </c>
      <c r="C5" s="201" t="str">
        <f ca="1">IFERROR((Inv_SY_B!C6/Inv_SY_B!$Z6)-1,"")</f>
        <v/>
      </c>
      <c r="D5" s="201" t="str">
        <f ca="1">IFERROR((Inv_SY_B!D6/Inv_SY_B!$Z6)-1,"")</f>
        <v/>
      </c>
      <c r="E5" s="201" t="str">
        <f ca="1">IFERROR((Inv_SY_B!E6/Inv_SY_B!$Z6)-1,"")</f>
        <v/>
      </c>
      <c r="F5" s="201" t="str">
        <f ca="1">IFERROR((Inv_SY_B!F6/Inv_SY_B!$Z6)-1,"")</f>
        <v/>
      </c>
      <c r="G5" s="201" t="str">
        <f ca="1">IFERROR((Inv_SY_B!G6/Inv_SY_B!$Z6)-1,"")</f>
        <v/>
      </c>
      <c r="H5" s="201" t="str">
        <f ca="1">IFERROR((Inv_SY_B!H6/Inv_SY_B!$Z6)-1,"")</f>
        <v/>
      </c>
      <c r="I5" s="201" t="str">
        <f ca="1">IFERROR((Inv_SY_B!I6/Inv_SY_B!$Z6)-1,"")</f>
        <v/>
      </c>
      <c r="J5" s="201" t="str">
        <f ca="1">IFERROR((Inv_SY_B!J6/Inv_SY_B!$Z6)-1,"")</f>
        <v/>
      </c>
      <c r="K5" s="201" t="str">
        <f ca="1">IFERROR((Inv_SY_B!K6/Inv_SY_B!$Z6)-1,"")</f>
        <v/>
      </c>
      <c r="L5" s="201" t="str">
        <f ca="1">IFERROR((Inv_SY_B!L6/Inv_SY_B!$Z6)-1,"")</f>
        <v/>
      </c>
      <c r="M5" s="201" t="str">
        <f ca="1">IFERROR((Inv_SY_B!M6/Inv_SY_B!$Z6)-1,"")</f>
        <v/>
      </c>
      <c r="N5" s="201" t="str">
        <f ca="1">IFERROR((Inv_SY_B!N6/Inv_SY_B!$Z6)-1,"")</f>
        <v/>
      </c>
      <c r="O5" s="201" t="str">
        <f ca="1">IFERROR((Inv_SY_B!O6/Inv_SY_B!$Z6)-1,"")</f>
        <v/>
      </c>
      <c r="P5" s="201" t="str">
        <f ca="1">IFERROR((Inv_SY_B!P6/Inv_SY_B!$Z6)-1,"")</f>
        <v/>
      </c>
      <c r="Q5" s="201" t="str">
        <f ca="1">IFERROR((Inv_SY_B!Q6/Inv_SY_B!$Z6)-1,"")</f>
        <v/>
      </c>
      <c r="R5" s="201" t="str">
        <f ca="1">IFERROR((Inv_SY_B!R6/Inv_SY_B!$Z6)-1,"")</f>
        <v/>
      </c>
      <c r="S5" s="201" t="str">
        <f ca="1">IFERROR((Inv_SY_B!S6/Inv_SY_B!$Z6)-1,"")</f>
        <v/>
      </c>
      <c r="T5" s="201" t="str">
        <f ca="1">IFERROR((Inv_SY_B!T6/Inv_SY_B!$Z6)-1,"")</f>
        <v/>
      </c>
      <c r="U5" s="201" t="str">
        <f ca="1">IFERROR((Inv_SY_B!U6/Inv_SY_B!$Z6)-1,"")</f>
        <v/>
      </c>
      <c r="V5" s="201" t="str">
        <f ca="1">IFERROR((Inv_SY_B!V6/Inv_SY_B!$Z6)-1,"")</f>
        <v/>
      </c>
      <c r="W5" s="201" t="str">
        <f ca="1">IFERROR((Inv_SY_B!W6/Inv_SY_B!$Z6)-1,"")</f>
        <v/>
      </c>
      <c r="X5" s="201" t="str">
        <f ca="1">IFERROR((Inv_SY_B!X6/Inv_SY_B!$Z6)-1,"")</f>
        <v/>
      </c>
      <c r="Y5" s="201" t="str">
        <f ca="1">IFERROR((Inv_SY_B!Y6/Inv_SY_B!$Z6)-1,"")</f>
        <v/>
      </c>
    </row>
    <row r="6" spans="2:25">
      <c r="B6" s="199">
        <f t="shared" ca="1" si="1"/>
        <v>45795</v>
      </c>
      <c r="C6" s="201" t="str">
        <f ca="1">IFERROR((Inv_SY_B!C7/Inv_SY_B!$Z7)-1,"")</f>
        <v/>
      </c>
      <c r="D6" s="201" t="str">
        <f ca="1">IFERROR((Inv_SY_B!D7/Inv_SY_B!$Z7)-1,"")</f>
        <v/>
      </c>
      <c r="E6" s="201" t="str">
        <f ca="1">IFERROR((Inv_SY_B!E7/Inv_SY_B!$Z7)-1,"")</f>
        <v/>
      </c>
      <c r="F6" s="201" t="str">
        <f ca="1">IFERROR((Inv_SY_B!F7/Inv_SY_B!$Z7)-1,"")</f>
        <v/>
      </c>
      <c r="G6" s="201" t="str">
        <f ca="1">IFERROR((Inv_SY_B!G7/Inv_SY_B!$Z7)-1,"")</f>
        <v/>
      </c>
      <c r="H6" s="201" t="str">
        <f ca="1">IFERROR((Inv_SY_B!H7/Inv_SY_B!$Z7)-1,"")</f>
        <v/>
      </c>
      <c r="I6" s="201" t="str">
        <f ca="1">IFERROR((Inv_SY_B!I7/Inv_SY_B!$Z7)-1,"")</f>
        <v/>
      </c>
      <c r="J6" s="201" t="str">
        <f ca="1">IFERROR((Inv_SY_B!J7/Inv_SY_B!$Z7)-1,"")</f>
        <v/>
      </c>
      <c r="K6" s="201" t="str">
        <f ca="1">IFERROR((Inv_SY_B!K7/Inv_SY_B!$Z7)-1,"")</f>
        <v/>
      </c>
      <c r="L6" s="201" t="str">
        <f ca="1">IFERROR((Inv_SY_B!L7/Inv_SY_B!$Z7)-1,"")</f>
        <v/>
      </c>
      <c r="M6" s="201" t="str">
        <f ca="1">IFERROR((Inv_SY_B!M7/Inv_SY_B!$Z7)-1,"")</f>
        <v/>
      </c>
      <c r="N6" s="201" t="str">
        <f ca="1">IFERROR((Inv_SY_B!N7/Inv_SY_B!$Z7)-1,"")</f>
        <v/>
      </c>
      <c r="O6" s="201" t="str">
        <f ca="1">IFERROR((Inv_SY_B!O7/Inv_SY_B!$Z7)-1,"")</f>
        <v/>
      </c>
      <c r="P6" s="201" t="str">
        <f ca="1">IFERROR((Inv_SY_B!P7/Inv_SY_B!$Z7)-1,"")</f>
        <v/>
      </c>
      <c r="Q6" s="201" t="str">
        <f ca="1">IFERROR((Inv_SY_B!Q7/Inv_SY_B!$Z7)-1,"")</f>
        <v/>
      </c>
      <c r="R6" s="201" t="str">
        <f ca="1">IFERROR((Inv_SY_B!R7/Inv_SY_B!$Z7)-1,"")</f>
        <v/>
      </c>
      <c r="S6" s="201" t="str">
        <f ca="1">IFERROR((Inv_SY_B!S7/Inv_SY_B!$Z7)-1,"")</f>
        <v/>
      </c>
      <c r="T6" s="201" t="str">
        <f ca="1">IFERROR((Inv_SY_B!T7/Inv_SY_B!$Z7)-1,"")</f>
        <v/>
      </c>
      <c r="U6" s="201" t="str">
        <f ca="1">IFERROR((Inv_SY_B!U7/Inv_SY_B!$Z7)-1,"")</f>
        <v/>
      </c>
      <c r="V6" s="201" t="str">
        <f ca="1">IFERROR((Inv_SY_B!V7/Inv_SY_B!$Z7)-1,"")</f>
        <v/>
      </c>
      <c r="W6" s="201" t="str">
        <f ca="1">IFERROR((Inv_SY_B!W7/Inv_SY_B!$Z7)-1,"")</f>
        <v/>
      </c>
      <c r="X6" s="201" t="str">
        <f ca="1">IFERROR((Inv_SY_B!X7/Inv_SY_B!$Z7)-1,"")</f>
        <v/>
      </c>
      <c r="Y6" s="201" t="str">
        <f ca="1">IFERROR((Inv_SY_B!Y7/Inv_SY_B!$Z7)-1,"")</f>
        <v/>
      </c>
    </row>
    <row r="7" spans="2:25">
      <c r="B7" s="199">
        <f t="shared" ca="1" si="1"/>
        <v>45796</v>
      </c>
      <c r="C7" s="201" t="str">
        <f ca="1">IFERROR((Inv_SY_B!C8/Inv_SY_B!$Z8)-1,"")</f>
        <v/>
      </c>
      <c r="D7" s="201" t="str">
        <f ca="1">IFERROR((Inv_SY_B!D8/Inv_SY_B!$Z8)-1,"")</f>
        <v/>
      </c>
      <c r="E7" s="201" t="str">
        <f ca="1">IFERROR((Inv_SY_B!E8/Inv_SY_B!$Z8)-1,"")</f>
        <v/>
      </c>
      <c r="F7" s="201" t="str">
        <f ca="1">IFERROR((Inv_SY_B!F8/Inv_SY_B!$Z8)-1,"")</f>
        <v/>
      </c>
      <c r="G7" s="201" t="str">
        <f ca="1">IFERROR((Inv_SY_B!G8/Inv_SY_B!$Z8)-1,"")</f>
        <v/>
      </c>
      <c r="H7" s="201" t="str">
        <f ca="1">IFERROR((Inv_SY_B!H8/Inv_SY_B!$Z8)-1,"")</f>
        <v/>
      </c>
      <c r="I7" s="201" t="str">
        <f ca="1">IFERROR((Inv_SY_B!I8/Inv_SY_B!$Z8)-1,"")</f>
        <v/>
      </c>
      <c r="J7" s="201" t="str">
        <f ca="1">IFERROR((Inv_SY_B!J8/Inv_SY_B!$Z8)-1,"")</f>
        <v/>
      </c>
      <c r="K7" s="201" t="str">
        <f ca="1">IFERROR((Inv_SY_B!K8/Inv_SY_B!$Z8)-1,"")</f>
        <v/>
      </c>
      <c r="L7" s="201" t="str">
        <f ca="1">IFERROR((Inv_SY_B!L8/Inv_SY_B!$Z8)-1,"")</f>
        <v/>
      </c>
      <c r="M7" s="201" t="str">
        <f ca="1">IFERROR((Inv_SY_B!M8/Inv_SY_B!$Z8)-1,"")</f>
        <v/>
      </c>
      <c r="N7" s="201" t="str">
        <f ca="1">IFERROR((Inv_SY_B!N8/Inv_SY_B!$Z8)-1,"")</f>
        <v/>
      </c>
      <c r="O7" s="201" t="str">
        <f ca="1">IFERROR((Inv_SY_B!O8/Inv_SY_B!$Z8)-1,"")</f>
        <v/>
      </c>
      <c r="P7" s="201" t="str">
        <f ca="1">IFERROR((Inv_SY_B!P8/Inv_SY_B!$Z8)-1,"")</f>
        <v/>
      </c>
      <c r="Q7" s="201" t="str">
        <f ca="1">IFERROR((Inv_SY_B!Q8/Inv_SY_B!$Z8)-1,"")</f>
        <v/>
      </c>
      <c r="R7" s="201" t="str">
        <f ca="1">IFERROR((Inv_SY_B!R8/Inv_SY_B!$Z8)-1,"")</f>
        <v/>
      </c>
      <c r="S7" s="201" t="str">
        <f ca="1">IFERROR((Inv_SY_B!S8/Inv_SY_B!$Z8)-1,"")</f>
        <v/>
      </c>
      <c r="T7" s="201" t="str">
        <f ca="1">IFERROR((Inv_SY_B!T8/Inv_SY_B!$Z8)-1,"")</f>
        <v/>
      </c>
      <c r="U7" s="201" t="str">
        <f ca="1">IFERROR((Inv_SY_B!U8/Inv_SY_B!$Z8)-1,"")</f>
        <v/>
      </c>
      <c r="V7" s="201" t="str">
        <f ca="1">IFERROR((Inv_SY_B!V8/Inv_SY_B!$Z8)-1,"")</f>
        <v/>
      </c>
      <c r="W7" s="201" t="str">
        <f ca="1">IFERROR((Inv_SY_B!W8/Inv_SY_B!$Z8)-1,"")</f>
        <v/>
      </c>
      <c r="X7" s="201" t="str">
        <f ca="1">IFERROR((Inv_SY_B!X8/Inv_SY_B!$Z8)-1,"")</f>
        <v/>
      </c>
      <c r="Y7" s="201" t="str">
        <f ca="1">IFERROR((Inv_SY_B!Y8/Inv_SY_B!$Z8)-1,"")</f>
        <v/>
      </c>
    </row>
    <row r="8" spans="2:25">
      <c r="B8" s="199">
        <f t="shared" ca="1" si="1"/>
        <v>45797</v>
      </c>
      <c r="C8" s="201" t="str">
        <f ca="1">IFERROR((Inv_SY_B!C9/Inv_SY_B!$Z9)-1,"")</f>
        <v/>
      </c>
      <c r="D8" s="201" t="str">
        <f ca="1">IFERROR((Inv_SY_B!D9/Inv_SY_B!$Z9)-1,"")</f>
        <v/>
      </c>
      <c r="E8" s="201" t="str">
        <f ca="1">IFERROR((Inv_SY_B!E9/Inv_SY_B!$Z9)-1,"")</f>
        <v/>
      </c>
      <c r="F8" s="201" t="str">
        <f ca="1">IFERROR((Inv_SY_B!F9/Inv_SY_B!$Z9)-1,"")</f>
        <v/>
      </c>
      <c r="G8" s="201" t="str">
        <f ca="1">IFERROR((Inv_SY_B!G9/Inv_SY_B!$Z9)-1,"")</f>
        <v/>
      </c>
      <c r="H8" s="201" t="str">
        <f ca="1">IFERROR((Inv_SY_B!H9/Inv_SY_B!$Z9)-1,"")</f>
        <v/>
      </c>
      <c r="I8" s="201" t="str">
        <f ca="1">IFERROR((Inv_SY_B!I9/Inv_SY_B!$Z9)-1,"")</f>
        <v/>
      </c>
      <c r="J8" s="201" t="str">
        <f ca="1">IFERROR((Inv_SY_B!J9/Inv_SY_B!$Z9)-1,"")</f>
        <v/>
      </c>
      <c r="K8" s="201" t="str">
        <f ca="1">IFERROR((Inv_SY_B!K9/Inv_SY_B!$Z9)-1,"")</f>
        <v/>
      </c>
      <c r="L8" s="201" t="str">
        <f ca="1">IFERROR((Inv_SY_B!L9/Inv_SY_B!$Z9)-1,"")</f>
        <v/>
      </c>
      <c r="M8" s="201" t="str">
        <f ca="1">IFERROR((Inv_SY_B!M9/Inv_SY_B!$Z9)-1,"")</f>
        <v/>
      </c>
      <c r="N8" s="201" t="str">
        <f ca="1">IFERROR((Inv_SY_B!N9/Inv_SY_B!$Z9)-1,"")</f>
        <v/>
      </c>
      <c r="O8" s="201" t="str">
        <f ca="1">IFERROR((Inv_SY_B!O9/Inv_SY_B!$Z9)-1,"")</f>
        <v/>
      </c>
      <c r="P8" s="201" t="str">
        <f ca="1">IFERROR((Inv_SY_B!P9/Inv_SY_B!$Z9)-1,"")</f>
        <v/>
      </c>
      <c r="Q8" s="201" t="str">
        <f ca="1">IFERROR((Inv_SY_B!Q9/Inv_SY_B!$Z9)-1,"")</f>
        <v/>
      </c>
      <c r="R8" s="201" t="str">
        <f ca="1">IFERROR((Inv_SY_B!R9/Inv_SY_B!$Z9)-1,"")</f>
        <v/>
      </c>
      <c r="S8" s="201" t="str">
        <f ca="1">IFERROR((Inv_SY_B!S9/Inv_SY_B!$Z9)-1,"")</f>
        <v/>
      </c>
      <c r="T8" s="201" t="str">
        <f ca="1">IFERROR((Inv_SY_B!T9/Inv_SY_B!$Z9)-1,"")</f>
        <v/>
      </c>
      <c r="U8" s="201" t="str">
        <f ca="1">IFERROR((Inv_SY_B!U9/Inv_SY_B!$Z9)-1,"")</f>
        <v/>
      </c>
      <c r="V8" s="201" t="str">
        <f ca="1">IFERROR((Inv_SY_B!V9/Inv_SY_B!$Z9)-1,"")</f>
        <v/>
      </c>
      <c r="W8" s="201" t="str">
        <f ca="1">IFERROR((Inv_SY_B!W9/Inv_SY_B!$Z9)-1,"")</f>
        <v/>
      </c>
      <c r="X8" s="201" t="str">
        <f ca="1">IFERROR((Inv_SY_B!X9/Inv_SY_B!$Z9)-1,"")</f>
        <v/>
      </c>
      <c r="Y8" s="201" t="str">
        <f ca="1">IFERROR((Inv_SY_B!Y9/Inv_SY_B!$Z9)-1,"")</f>
        <v/>
      </c>
    </row>
    <row r="9" spans="2:25">
      <c r="B9" s="199">
        <f t="shared" ca="1" si="1"/>
        <v>45798</v>
      </c>
      <c r="C9" s="201" t="str">
        <f ca="1">IFERROR((Inv_SY_B!C10/Inv_SY_B!$Z10)-1,"")</f>
        <v/>
      </c>
      <c r="D9" s="201" t="str">
        <f ca="1">IFERROR((Inv_SY_B!D10/Inv_SY_B!$Z10)-1,"")</f>
        <v/>
      </c>
      <c r="E9" s="201" t="str">
        <f ca="1">IFERROR((Inv_SY_B!E10/Inv_SY_B!$Z10)-1,"")</f>
        <v/>
      </c>
      <c r="F9" s="201" t="str">
        <f ca="1">IFERROR((Inv_SY_B!F10/Inv_SY_B!$Z10)-1,"")</f>
        <v/>
      </c>
      <c r="G9" s="201" t="str">
        <f ca="1">IFERROR((Inv_SY_B!G10/Inv_SY_B!$Z10)-1,"")</f>
        <v/>
      </c>
      <c r="H9" s="201" t="str">
        <f ca="1">IFERROR((Inv_SY_B!H10/Inv_SY_B!$Z10)-1,"")</f>
        <v/>
      </c>
      <c r="I9" s="201" t="str">
        <f ca="1">IFERROR((Inv_SY_B!I10/Inv_SY_B!$Z10)-1,"")</f>
        <v/>
      </c>
      <c r="J9" s="201" t="str">
        <f ca="1">IFERROR((Inv_SY_B!J10/Inv_SY_B!$Z10)-1,"")</f>
        <v/>
      </c>
      <c r="K9" s="201" t="str">
        <f ca="1">IFERROR((Inv_SY_B!K10/Inv_SY_B!$Z10)-1,"")</f>
        <v/>
      </c>
      <c r="L9" s="201" t="str">
        <f ca="1">IFERROR((Inv_SY_B!L10/Inv_SY_B!$Z10)-1,"")</f>
        <v/>
      </c>
      <c r="M9" s="201" t="str">
        <f ca="1">IFERROR((Inv_SY_B!M10/Inv_SY_B!$Z10)-1,"")</f>
        <v/>
      </c>
      <c r="N9" s="201" t="str">
        <f ca="1">IFERROR((Inv_SY_B!N10/Inv_SY_B!$Z10)-1,"")</f>
        <v/>
      </c>
      <c r="O9" s="201" t="str">
        <f ca="1">IFERROR((Inv_SY_B!O10/Inv_SY_B!$Z10)-1,"")</f>
        <v/>
      </c>
      <c r="P9" s="201" t="str">
        <f ca="1">IFERROR((Inv_SY_B!P10/Inv_SY_B!$Z10)-1,"")</f>
        <v/>
      </c>
      <c r="Q9" s="201" t="str">
        <f ca="1">IFERROR((Inv_SY_B!Q10/Inv_SY_B!$Z10)-1,"")</f>
        <v/>
      </c>
      <c r="R9" s="201" t="str">
        <f ca="1">IFERROR((Inv_SY_B!R10/Inv_SY_B!$Z10)-1,"")</f>
        <v/>
      </c>
      <c r="S9" s="201" t="str">
        <f ca="1">IFERROR((Inv_SY_B!S10/Inv_SY_B!$Z10)-1,"")</f>
        <v/>
      </c>
      <c r="T9" s="201" t="str">
        <f ca="1">IFERROR((Inv_SY_B!T10/Inv_SY_B!$Z10)-1,"")</f>
        <v/>
      </c>
      <c r="U9" s="201" t="str">
        <f ca="1">IFERROR((Inv_SY_B!U10/Inv_SY_B!$Z10)-1,"")</f>
        <v/>
      </c>
      <c r="V9" s="201" t="str">
        <f ca="1">IFERROR((Inv_SY_B!V10/Inv_SY_B!$Z10)-1,"")</f>
        <v/>
      </c>
      <c r="W9" s="201" t="str">
        <f ca="1">IFERROR((Inv_SY_B!W10/Inv_SY_B!$Z10)-1,"")</f>
        <v/>
      </c>
      <c r="X9" s="201" t="str">
        <f ca="1">IFERROR((Inv_SY_B!X10/Inv_SY_B!$Z10)-1,"")</f>
        <v/>
      </c>
      <c r="Y9" s="201" t="str">
        <f ca="1">IFERROR((Inv_SY_B!Y10/Inv_SY_B!$Z10)-1,"")</f>
        <v/>
      </c>
    </row>
    <row r="10" spans="2:25">
      <c r="B10" s="199">
        <f t="shared" ca="1" si="1"/>
        <v>45799</v>
      </c>
      <c r="C10" s="201" t="str">
        <f ca="1">IFERROR((Inv_SY_B!C11/Inv_SY_B!$Z11)-1,"")</f>
        <v/>
      </c>
      <c r="D10" s="201" t="str">
        <f ca="1">IFERROR((Inv_SY_B!D11/Inv_SY_B!$Z11)-1,"")</f>
        <v/>
      </c>
      <c r="E10" s="201" t="str">
        <f ca="1">IFERROR((Inv_SY_B!E11/Inv_SY_B!$Z11)-1,"")</f>
        <v/>
      </c>
      <c r="F10" s="201" t="str">
        <f ca="1">IFERROR((Inv_SY_B!F11/Inv_SY_B!$Z11)-1,"")</f>
        <v/>
      </c>
      <c r="G10" s="201" t="str">
        <f ca="1">IFERROR((Inv_SY_B!G11/Inv_SY_B!$Z11)-1,"")</f>
        <v/>
      </c>
      <c r="H10" s="201" t="str">
        <f ca="1">IFERROR((Inv_SY_B!H11/Inv_SY_B!$Z11)-1,"")</f>
        <v/>
      </c>
      <c r="I10" s="201" t="str">
        <f ca="1">IFERROR((Inv_SY_B!I11/Inv_SY_B!$Z11)-1,"")</f>
        <v/>
      </c>
      <c r="J10" s="201" t="str">
        <f ca="1">IFERROR((Inv_SY_B!J11/Inv_SY_B!$Z11)-1,"")</f>
        <v/>
      </c>
      <c r="K10" s="201" t="str">
        <f ca="1">IFERROR((Inv_SY_B!K11/Inv_SY_B!$Z11)-1,"")</f>
        <v/>
      </c>
      <c r="L10" s="201" t="str">
        <f ca="1">IFERROR((Inv_SY_B!L11/Inv_SY_B!$Z11)-1,"")</f>
        <v/>
      </c>
      <c r="M10" s="201" t="str">
        <f ca="1">IFERROR((Inv_SY_B!M11/Inv_SY_B!$Z11)-1,"")</f>
        <v/>
      </c>
      <c r="N10" s="201" t="str">
        <f ca="1">IFERROR((Inv_SY_B!N11/Inv_SY_B!$Z11)-1,"")</f>
        <v/>
      </c>
      <c r="O10" s="201" t="str">
        <f ca="1">IFERROR((Inv_SY_B!O11/Inv_SY_B!$Z11)-1,"")</f>
        <v/>
      </c>
      <c r="P10" s="201" t="str">
        <f ca="1">IFERROR((Inv_SY_B!P11/Inv_SY_B!$Z11)-1,"")</f>
        <v/>
      </c>
      <c r="Q10" s="201" t="str">
        <f ca="1">IFERROR((Inv_SY_B!Q11/Inv_SY_B!$Z11)-1,"")</f>
        <v/>
      </c>
      <c r="R10" s="201" t="str">
        <f ca="1">IFERROR((Inv_SY_B!R11/Inv_SY_B!$Z11)-1,"")</f>
        <v/>
      </c>
      <c r="S10" s="201" t="str">
        <f ca="1">IFERROR((Inv_SY_B!S11/Inv_SY_B!$Z11)-1,"")</f>
        <v/>
      </c>
      <c r="T10" s="201" t="str">
        <f ca="1">IFERROR((Inv_SY_B!T11/Inv_SY_B!$Z11)-1,"")</f>
        <v/>
      </c>
      <c r="U10" s="201" t="str">
        <f ca="1">IFERROR((Inv_SY_B!U11/Inv_SY_B!$Z11)-1,"")</f>
        <v/>
      </c>
      <c r="V10" s="201" t="str">
        <f ca="1">IFERROR((Inv_SY_B!V11/Inv_SY_B!$Z11)-1,"")</f>
        <v/>
      </c>
      <c r="W10" s="201" t="str">
        <f ca="1">IFERROR((Inv_SY_B!W11/Inv_SY_B!$Z11)-1,"")</f>
        <v/>
      </c>
      <c r="X10" s="201" t="str">
        <f ca="1">IFERROR((Inv_SY_B!X11/Inv_SY_B!$Z11)-1,"")</f>
        <v/>
      </c>
      <c r="Y10" s="201" t="str">
        <f ca="1">IFERROR((Inv_SY_B!Y11/Inv_SY_B!$Z11)-1,"")</f>
        <v/>
      </c>
    </row>
    <row r="11" spans="2:25">
      <c r="B11" s="199">
        <f t="shared" ca="1" si="1"/>
        <v>45800</v>
      </c>
      <c r="C11" s="201" t="str">
        <f ca="1">IFERROR((Inv_SY_B!C12/Inv_SY_B!$Z12)-1,"")</f>
        <v/>
      </c>
      <c r="D11" s="201" t="str">
        <f ca="1">IFERROR((Inv_SY_B!D12/Inv_SY_B!$Z12)-1,"")</f>
        <v/>
      </c>
      <c r="E11" s="201" t="str">
        <f ca="1">IFERROR((Inv_SY_B!E12/Inv_SY_B!$Z12)-1,"")</f>
        <v/>
      </c>
      <c r="F11" s="201" t="str">
        <f ca="1">IFERROR((Inv_SY_B!F12/Inv_SY_B!$Z12)-1,"")</f>
        <v/>
      </c>
      <c r="G11" s="201" t="str">
        <f ca="1">IFERROR((Inv_SY_B!G12/Inv_SY_B!$Z12)-1,"")</f>
        <v/>
      </c>
      <c r="H11" s="201" t="str">
        <f ca="1">IFERROR((Inv_SY_B!H12/Inv_SY_B!$Z12)-1,"")</f>
        <v/>
      </c>
      <c r="I11" s="201" t="str">
        <f ca="1">IFERROR((Inv_SY_B!I12/Inv_SY_B!$Z12)-1,"")</f>
        <v/>
      </c>
      <c r="J11" s="201" t="str">
        <f ca="1">IFERROR((Inv_SY_B!J12/Inv_SY_B!$Z12)-1,"")</f>
        <v/>
      </c>
      <c r="K11" s="201" t="str">
        <f ca="1">IFERROR((Inv_SY_B!K12/Inv_SY_B!$Z12)-1,"")</f>
        <v/>
      </c>
      <c r="L11" s="201" t="str">
        <f ca="1">IFERROR((Inv_SY_B!L12/Inv_SY_B!$Z12)-1,"")</f>
        <v/>
      </c>
      <c r="M11" s="201" t="str">
        <f ca="1">IFERROR((Inv_SY_B!M12/Inv_SY_B!$Z12)-1,"")</f>
        <v/>
      </c>
      <c r="N11" s="201" t="str">
        <f ca="1">IFERROR((Inv_SY_B!N12/Inv_SY_B!$Z12)-1,"")</f>
        <v/>
      </c>
      <c r="O11" s="201" t="str">
        <f ca="1">IFERROR((Inv_SY_B!O12/Inv_SY_B!$Z12)-1,"")</f>
        <v/>
      </c>
      <c r="P11" s="201" t="str">
        <f ca="1">IFERROR((Inv_SY_B!P12/Inv_SY_B!$Z12)-1,"")</f>
        <v/>
      </c>
      <c r="Q11" s="201" t="str">
        <f ca="1">IFERROR((Inv_SY_B!Q12/Inv_SY_B!$Z12)-1,"")</f>
        <v/>
      </c>
      <c r="R11" s="201" t="str">
        <f ca="1">IFERROR((Inv_SY_B!R12/Inv_SY_B!$Z12)-1,"")</f>
        <v/>
      </c>
      <c r="S11" s="201" t="str">
        <f ca="1">IFERROR((Inv_SY_B!S12/Inv_SY_B!$Z12)-1,"")</f>
        <v/>
      </c>
      <c r="T11" s="201" t="str">
        <f ca="1">IFERROR((Inv_SY_B!T12/Inv_SY_B!$Z12)-1,"")</f>
        <v/>
      </c>
      <c r="U11" s="201" t="str">
        <f ca="1">IFERROR((Inv_SY_B!U12/Inv_SY_B!$Z12)-1,"")</f>
        <v/>
      </c>
      <c r="V11" s="201" t="str">
        <f ca="1">IFERROR((Inv_SY_B!V12/Inv_SY_B!$Z12)-1,"")</f>
        <v/>
      </c>
      <c r="W11" s="201" t="str">
        <f ca="1">IFERROR((Inv_SY_B!W12/Inv_SY_B!$Z12)-1,"")</f>
        <v/>
      </c>
      <c r="X11" s="201" t="str">
        <f ca="1">IFERROR((Inv_SY_B!X12/Inv_SY_B!$Z12)-1,"")</f>
        <v/>
      </c>
      <c r="Y11" s="201" t="str">
        <f ca="1">IFERROR((Inv_SY_B!Y12/Inv_SY_B!$Z12)-1,"")</f>
        <v/>
      </c>
    </row>
    <row r="12" spans="2:25">
      <c r="B12" s="199">
        <f t="shared" ca="1" si="1"/>
        <v>45801</v>
      </c>
      <c r="C12" s="201" t="str">
        <f ca="1">IFERROR((Inv_SY_B!C13/Inv_SY_B!$Z13)-1,"")</f>
        <v/>
      </c>
      <c r="D12" s="201" t="str">
        <f ca="1">IFERROR((Inv_SY_B!D13/Inv_SY_B!$Z13)-1,"")</f>
        <v/>
      </c>
      <c r="E12" s="201" t="str">
        <f ca="1">IFERROR((Inv_SY_B!E13/Inv_SY_B!$Z13)-1,"")</f>
        <v/>
      </c>
      <c r="F12" s="201" t="str">
        <f ca="1">IFERROR((Inv_SY_B!F13/Inv_SY_B!$Z13)-1,"")</f>
        <v/>
      </c>
      <c r="G12" s="201" t="str">
        <f ca="1">IFERROR((Inv_SY_B!G13/Inv_SY_B!$Z13)-1,"")</f>
        <v/>
      </c>
      <c r="H12" s="201" t="str">
        <f ca="1">IFERROR((Inv_SY_B!H13/Inv_SY_B!$Z13)-1,"")</f>
        <v/>
      </c>
      <c r="I12" s="201" t="str">
        <f ca="1">IFERROR((Inv_SY_B!I13/Inv_SY_B!$Z13)-1,"")</f>
        <v/>
      </c>
      <c r="J12" s="201" t="str">
        <f ca="1">IFERROR((Inv_SY_B!J13/Inv_SY_B!$Z13)-1,"")</f>
        <v/>
      </c>
      <c r="K12" s="201" t="str">
        <f ca="1">IFERROR((Inv_SY_B!K13/Inv_SY_B!$Z13)-1,"")</f>
        <v/>
      </c>
      <c r="L12" s="201" t="str">
        <f ca="1">IFERROR((Inv_SY_B!L13/Inv_SY_B!$Z13)-1,"")</f>
        <v/>
      </c>
      <c r="M12" s="201" t="str">
        <f ca="1">IFERROR((Inv_SY_B!M13/Inv_SY_B!$Z13)-1,"")</f>
        <v/>
      </c>
      <c r="N12" s="201" t="str">
        <f ca="1">IFERROR((Inv_SY_B!N13/Inv_SY_B!$Z13)-1,"")</f>
        <v/>
      </c>
      <c r="O12" s="201" t="str">
        <f ca="1">IFERROR((Inv_SY_B!O13/Inv_SY_B!$Z13)-1,"")</f>
        <v/>
      </c>
      <c r="P12" s="201" t="str">
        <f ca="1">IFERROR((Inv_SY_B!P13/Inv_SY_B!$Z13)-1,"")</f>
        <v/>
      </c>
      <c r="Q12" s="201" t="str">
        <f ca="1">IFERROR((Inv_SY_B!Q13/Inv_SY_B!$Z13)-1,"")</f>
        <v/>
      </c>
      <c r="R12" s="201" t="str">
        <f ca="1">IFERROR((Inv_SY_B!R13/Inv_SY_B!$Z13)-1,"")</f>
        <v/>
      </c>
      <c r="S12" s="201" t="str">
        <f ca="1">IFERROR((Inv_SY_B!S13/Inv_SY_B!$Z13)-1,"")</f>
        <v/>
      </c>
      <c r="T12" s="201" t="str">
        <f ca="1">IFERROR((Inv_SY_B!T13/Inv_SY_B!$Z13)-1,"")</f>
        <v/>
      </c>
      <c r="U12" s="201" t="str">
        <f ca="1">IFERROR((Inv_SY_B!U13/Inv_SY_B!$Z13)-1,"")</f>
        <v/>
      </c>
      <c r="V12" s="201" t="str">
        <f ca="1">IFERROR((Inv_SY_B!V13/Inv_SY_B!$Z13)-1,"")</f>
        <v/>
      </c>
      <c r="W12" s="201" t="str">
        <f ca="1">IFERROR((Inv_SY_B!W13/Inv_SY_B!$Z13)-1,"")</f>
        <v/>
      </c>
      <c r="X12" s="201" t="str">
        <f ca="1">IFERROR((Inv_SY_B!X13/Inv_SY_B!$Z13)-1,"")</f>
        <v/>
      </c>
      <c r="Y12" s="201" t="str">
        <f ca="1">IFERROR((Inv_SY_B!Y13/Inv_SY_B!$Z13)-1,"")</f>
        <v/>
      </c>
    </row>
    <row r="13" spans="2:25">
      <c r="B13" s="199">
        <f t="shared" ca="1" si="1"/>
        <v>45802</v>
      </c>
      <c r="C13" s="201" t="str">
        <f ca="1">IFERROR((Inv_SY_B!C14/Inv_SY_B!$Z14)-1,"")</f>
        <v/>
      </c>
      <c r="D13" s="201" t="str">
        <f ca="1">IFERROR((Inv_SY_B!D14/Inv_SY_B!$Z14)-1,"")</f>
        <v/>
      </c>
      <c r="E13" s="201" t="str">
        <f ca="1">IFERROR((Inv_SY_B!E14/Inv_SY_B!$Z14)-1,"")</f>
        <v/>
      </c>
      <c r="F13" s="201" t="str">
        <f ca="1">IFERROR((Inv_SY_B!F14/Inv_SY_B!$Z14)-1,"")</f>
        <v/>
      </c>
      <c r="G13" s="201" t="str">
        <f ca="1">IFERROR((Inv_SY_B!G14/Inv_SY_B!$Z14)-1,"")</f>
        <v/>
      </c>
      <c r="H13" s="201" t="str">
        <f ca="1">IFERROR((Inv_SY_B!H14/Inv_SY_B!$Z14)-1,"")</f>
        <v/>
      </c>
      <c r="I13" s="201" t="str">
        <f ca="1">IFERROR((Inv_SY_B!I14/Inv_SY_B!$Z14)-1,"")</f>
        <v/>
      </c>
      <c r="J13" s="201" t="str">
        <f ca="1">IFERROR((Inv_SY_B!J14/Inv_SY_B!$Z14)-1,"")</f>
        <v/>
      </c>
      <c r="K13" s="201" t="str">
        <f ca="1">IFERROR((Inv_SY_B!K14/Inv_SY_B!$Z14)-1,"")</f>
        <v/>
      </c>
      <c r="L13" s="201" t="str">
        <f ca="1">IFERROR((Inv_SY_B!L14/Inv_SY_B!$Z14)-1,"")</f>
        <v/>
      </c>
      <c r="M13" s="201" t="str">
        <f ca="1">IFERROR((Inv_SY_B!M14/Inv_SY_B!$Z14)-1,"")</f>
        <v/>
      </c>
      <c r="N13" s="201" t="str">
        <f ca="1">IFERROR((Inv_SY_B!N14/Inv_SY_B!$Z14)-1,"")</f>
        <v/>
      </c>
      <c r="O13" s="201" t="str">
        <f ca="1">IFERROR((Inv_SY_B!O14/Inv_SY_B!$Z14)-1,"")</f>
        <v/>
      </c>
      <c r="P13" s="201" t="str">
        <f ca="1">IFERROR((Inv_SY_B!P14/Inv_SY_B!$Z14)-1,"")</f>
        <v/>
      </c>
      <c r="Q13" s="201" t="str">
        <f ca="1">IFERROR((Inv_SY_B!Q14/Inv_SY_B!$Z14)-1,"")</f>
        <v/>
      </c>
      <c r="R13" s="201" t="str">
        <f ca="1">IFERROR((Inv_SY_B!R14/Inv_SY_B!$Z14)-1,"")</f>
        <v/>
      </c>
      <c r="S13" s="201" t="str">
        <f ca="1">IFERROR((Inv_SY_B!S14/Inv_SY_B!$Z14)-1,"")</f>
        <v/>
      </c>
      <c r="T13" s="201" t="str">
        <f ca="1">IFERROR((Inv_SY_B!T14/Inv_SY_B!$Z14)-1,"")</f>
        <v/>
      </c>
      <c r="U13" s="201" t="str">
        <f ca="1">IFERROR((Inv_SY_B!U14/Inv_SY_B!$Z14)-1,"")</f>
        <v/>
      </c>
      <c r="V13" s="201" t="str">
        <f ca="1">IFERROR((Inv_SY_B!V14/Inv_SY_B!$Z14)-1,"")</f>
        <v/>
      </c>
      <c r="W13" s="201" t="str">
        <f ca="1">IFERROR((Inv_SY_B!W14/Inv_SY_B!$Z14)-1,"")</f>
        <v/>
      </c>
      <c r="X13" s="201" t="str">
        <f ca="1">IFERROR((Inv_SY_B!X14/Inv_SY_B!$Z14)-1,"")</f>
        <v/>
      </c>
      <c r="Y13" s="201" t="str">
        <f ca="1">IFERROR((Inv_SY_B!Y14/Inv_SY_B!$Z14)-1,"")</f>
        <v/>
      </c>
    </row>
    <row r="14" spans="2:25">
      <c r="B14" s="199">
        <f t="shared" ca="1" si="1"/>
        <v>45803</v>
      </c>
      <c r="C14" s="201" t="str">
        <f ca="1">IFERROR((Inv_SY_B!C15/Inv_SY_B!$Z15)-1,"")</f>
        <v/>
      </c>
      <c r="D14" s="201" t="str">
        <f ca="1">IFERROR((Inv_SY_B!D15/Inv_SY_B!$Z15)-1,"")</f>
        <v/>
      </c>
      <c r="E14" s="201" t="str">
        <f ca="1">IFERROR((Inv_SY_B!E15/Inv_SY_B!$Z15)-1,"")</f>
        <v/>
      </c>
      <c r="F14" s="201" t="str">
        <f ca="1">IFERROR((Inv_SY_B!F15/Inv_SY_B!$Z15)-1,"")</f>
        <v/>
      </c>
      <c r="G14" s="201" t="str">
        <f ca="1">IFERROR((Inv_SY_B!G15/Inv_SY_B!$Z15)-1,"")</f>
        <v/>
      </c>
      <c r="H14" s="201" t="str">
        <f ca="1">IFERROR((Inv_SY_B!H15/Inv_SY_B!$Z15)-1,"")</f>
        <v/>
      </c>
      <c r="I14" s="201" t="str">
        <f ca="1">IFERROR((Inv_SY_B!I15/Inv_SY_B!$Z15)-1,"")</f>
        <v/>
      </c>
      <c r="J14" s="201" t="str">
        <f ca="1">IFERROR((Inv_SY_B!J15/Inv_SY_B!$Z15)-1,"")</f>
        <v/>
      </c>
      <c r="K14" s="201" t="str">
        <f ca="1">IFERROR((Inv_SY_B!K15/Inv_SY_B!$Z15)-1,"")</f>
        <v/>
      </c>
      <c r="L14" s="201" t="str">
        <f ca="1">IFERROR((Inv_SY_B!L15/Inv_SY_B!$Z15)-1,"")</f>
        <v/>
      </c>
      <c r="M14" s="201" t="str">
        <f ca="1">IFERROR((Inv_SY_B!M15/Inv_SY_B!$Z15)-1,"")</f>
        <v/>
      </c>
      <c r="N14" s="201" t="str">
        <f ca="1">IFERROR((Inv_SY_B!N15/Inv_SY_B!$Z15)-1,"")</f>
        <v/>
      </c>
      <c r="O14" s="201" t="str">
        <f ca="1">IFERROR((Inv_SY_B!O15/Inv_SY_B!$Z15)-1,"")</f>
        <v/>
      </c>
      <c r="P14" s="201" t="str">
        <f ca="1">IFERROR((Inv_SY_B!P15/Inv_SY_B!$Z15)-1,"")</f>
        <v/>
      </c>
      <c r="Q14" s="201" t="str">
        <f ca="1">IFERROR((Inv_SY_B!Q15/Inv_SY_B!$Z15)-1,"")</f>
        <v/>
      </c>
      <c r="R14" s="201" t="str">
        <f ca="1">IFERROR((Inv_SY_B!R15/Inv_SY_B!$Z15)-1,"")</f>
        <v/>
      </c>
      <c r="S14" s="201" t="str">
        <f ca="1">IFERROR((Inv_SY_B!S15/Inv_SY_B!$Z15)-1,"")</f>
        <v/>
      </c>
      <c r="T14" s="201" t="str">
        <f ca="1">IFERROR((Inv_SY_B!T15/Inv_SY_B!$Z15)-1,"")</f>
        <v/>
      </c>
      <c r="U14" s="201" t="str">
        <f ca="1">IFERROR((Inv_SY_B!U15/Inv_SY_B!$Z15)-1,"")</f>
        <v/>
      </c>
      <c r="V14" s="201" t="str">
        <f ca="1">IFERROR((Inv_SY_B!V15/Inv_SY_B!$Z15)-1,"")</f>
        <v/>
      </c>
      <c r="W14" s="201" t="str">
        <f ca="1">IFERROR((Inv_SY_B!W15/Inv_SY_B!$Z15)-1,"")</f>
        <v/>
      </c>
      <c r="X14" s="201" t="str">
        <f ca="1">IFERROR((Inv_SY_B!X15/Inv_SY_B!$Z15)-1,"")</f>
        <v/>
      </c>
      <c r="Y14" s="201" t="str">
        <f ca="1">IFERROR((Inv_SY_B!Y15/Inv_SY_B!$Z15)-1,"")</f>
        <v/>
      </c>
    </row>
    <row r="15" spans="2:25">
      <c r="B15" s="199">
        <f t="shared" ca="1" si="1"/>
        <v>45804</v>
      </c>
      <c r="C15" s="201" t="str">
        <f ca="1">IFERROR((Inv_SY_B!C16/Inv_SY_B!$Z16)-1,"")</f>
        <v/>
      </c>
      <c r="D15" s="201" t="str">
        <f ca="1">IFERROR((Inv_SY_B!D16/Inv_SY_B!$Z16)-1,"")</f>
        <v/>
      </c>
      <c r="E15" s="201" t="str">
        <f ca="1">IFERROR((Inv_SY_B!E16/Inv_SY_B!$Z16)-1,"")</f>
        <v/>
      </c>
      <c r="F15" s="201" t="str">
        <f ca="1">IFERROR((Inv_SY_B!F16/Inv_SY_B!$Z16)-1,"")</f>
        <v/>
      </c>
      <c r="G15" s="201" t="str">
        <f ca="1">IFERROR((Inv_SY_B!G16/Inv_SY_B!$Z16)-1,"")</f>
        <v/>
      </c>
      <c r="H15" s="201" t="str">
        <f ca="1">IFERROR((Inv_SY_B!H16/Inv_SY_B!$Z16)-1,"")</f>
        <v/>
      </c>
      <c r="I15" s="201" t="str">
        <f ca="1">IFERROR((Inv_SY_B!I16/Inv_SY_B!$Z16)-1,"")</f>
        <v/>
      </c>
      <c r="J15" s="201" t="str">
        <f ca="1">IFERROR((Inv_SY_B!J16/Inv_SY_B!$Z16)-1,"")</f>
        <v/>
      </c>
      <c r="K15" s="201" t="str">
        <f ca="1">IFERROR((Inv_SY_B!K16/Inv_SY_B!$Z16)-1,"")</f>
        <v/>
      </c>
      <c r="L15" s="201" t="str">
        <f ca="1">IFERROR((Inv_SY_B!L16/Inv_SY_B!$Z16)-1,"")</f>
        <v/>
      </c>
      <c r="M15" s="201" t="str">
        <f ca="1">IFERROR((Inv_SY_B!M16/Inv_SY_B!$Z16)-1,"")</f>
        <v/>
      </c>
      <c r="N15" s="201" t="str">
        <f ca="1">IFERROR((Inv_SY_B!N16/Inv_SY_B!$Z16)-1,"")</f>
        <v/>
      </c>
      <c r="O15" s="201" t="str">
        <f ca="1">IFERROR((Inv_SY_B!O16/Inv_SY_B!$Z16)-1,"")</f>
        <v/>
      </c>
      <c r="P15" s="201" t="str">
        <f ca="1">IFERROR((Inv_SY_B!P16/Inv_SY_B!$Z16)-1,"")</f>
        <v/>
      </c>
      <c r="Q15" s="201" t="str">
        <f ca="1">IFERROR((Inv_SY_B!Q16/Inv_SY_B!$Z16)-1,"")</f>
        <v/>
      </c>
      <c r="R15" s="201" t="str">
        <f ca="1">IFERROR((Inv_SY_B!R16/Inv_SY_B!$Z16)-1,"")</f>
        <v/>
      </c>
      <c r="S15" s="201" t="str">
        <f ca="1">IFERROR((Inv_SY_B!S16/Inv_SY_B!$Z16)-1,"")</f>
        <v/>
      </c>
      <c r="T15" s="201" t="str">
        <f ca="1">IFERROR((Inv_SY_B!T16/Inv_SY_B!$Z16)-1,"")</f>
        <v/>
      </c>
      <c r="U15" s="201" t="str">
        <f ca="1">IFERROR((Inv_SY_B!U16/Inv_SY_B!$Z16)-1,"")</f>
        <v/>
      </c>
      <c r="V15" s="201" t="str">
        <f ca="1">IFERROR((Inv_SY_B!V16/Inv_SY_B!$Z16)-1,"")</f>
        <v/>
      </c>
      <c r="W15" s="201" t="str">
        <f ca="1">IFERROR((Inv_SY_B!W16/Inv_SY_B!$Z16)-1,"")</f>
        <v/>
      </c>
      <c r="X15" s="201" t="str">
        <f ca="1">IFERROR((Inv_SY_B!X16/Inv_SY_B!$Z16)-1,"")</f>
        <v/>
      </c>
      <c r="Y15" s="201" t="str">
        <f ca="1">IFERROR((Inv_SY_B!Y16/Inv_SY_B!$Z16)-1,"")</f>
        <v/>
      </c>
    </row>
    <row r="16" spans="2:25">
      <c r="B16" s="199">
        <f t="shared" ca="1" si="1"/>
        <v>45805</v>
      </c>
      <c r="C16" s="201" t="str">
        <f ca="1">IFERROR((Inv_SY_B!C17/Inv_SY_B!$Z17)-1,"")</f>
        <v/>
      </c>
      <c r="D16" s="201" t="str">
        <f ca="1">IFERROR((Inv_SY_B!D17/Inv_SY_B!$Z17)-1,"")</f>
        <v/>
      </c>
      <c r="E16" s="201" t="str">
        <f ca="1">IFERROR((Inv_SY_B!E17/Inv_SY_B!$Z17)-1,"")</f>
        <v/>
      </c>
      <c r="F16" s="201" t="str">
        <f ca="1">IFERROR((Inv_SY_B!F17/Inv_SY_B!$Z17)-1,"")</f>
        <v/>
      </c>
      <c r="G16" s="201" t="str">
        <f ca="1">IFERROR((Inv_SY_B!G17/Inv_SY_B!$Z17)-1,"")</f>
        <v/>
      </c>
      <c r="H16" s="201" t="str">
        <f ca="1">IFERROR((Inv_SY_B!H17/Inv_SY_B!$Z17)-1,"")</f>
        <v/>
      </c>
      <c r="I16" s="201" t="str">
        <f ca="1">IFERROR((Inv_SY_B!I17/Inv_SY_B!$Z17)-1,"")</f>
        <v/>
      </c>
      <c r="J16" s="201" t="str">
        <f ca="1">IFERROR((Inv_SY_B!J17/Inv_SY_B!$Z17)-1,"")</f>
        <v/>
      </c>
      <c r="K16" s="201" t="str">
        <f ca="1">IFERROR((Inv_SY_B!K17/Inv_SY_B!$Z17)-1,"")</f>
        <v/>
      </c>
      <c r="L16" s="201" t="str">
        <f ca="1">IFERROR((Inv_SY_B!L17/Inv_SY_B!$Z17)-1,"")</f>
        <v/>
      </c>
      <c r="M16" s="201" t="str">
        <f ca="1">IFERROR((Inv_SY_B!M17/Inv_SY_B!$Z17)-1,"")</f>
        <v/>
      </c>
      <c r="N16" s="201" t="str">
        <f ca="1">IFERROR((Inv_SY_B!N17/Inv_SY_B!$Z17)-1,"")</f>
        <v/>
      </c>
      <c r="O16" s="201" t="str">
        <f ca="1">IFERROR((Inv_SY_B!O17/Inv_SY_B!$Z17)-1,"")</f>
        <v/>
      </c>
      <c r="P16" s="201" t="str">
        <f ca="1">IFERROR((Inv_SY_B!P17/Inv_SY_B!$Z17)-1,"")</f>
        <v/>
      </c>
      <c r="Q16" s="201" t="str">
        <f ca="1">IFERROR((Inv_SY_B!Q17/Inv_SY_B!$Z17)-1,"")</f>
        <v/>
      </c>
      <c r="R16" s="201" t="str">
        <f ca="1">IFERROR((Inv_SY_B!R17/Inv_SY_B!$Z17)-1,"")</f>
        <v/>
      </c>
      <c r="S16" s="201" t="str">
        <f ca="1">IFERROR((Inv_SY_B!S17/Inv_SY_B!$Z17)-1,"")</f>
        <v/>
      </c>
      <c r="T16" s="201" t="str">
        <f ca="1">IFERROR((Inv_SY_B!T17/Inv_SY_B!$Z17)-1,"")</f>
        <v/>
      </c>
      <c r="U16" s="201" t="str">
        <f ca="1">IFERROR((Inv_SY_B!U17/Inv_SY_B!$Z17)-1,"")</f>
        <v/>
      </c>
      <c r="V16" s="201" t="str">
        <f ca="1">IFERROR((Inv_SY_B!V17/Inv_SY_B!$Z17)-1,"")</f>
        <v/>
      </c>
      <c r="W16" s="201" t="str">
        <f ca="1">IFERROR((Inv_SY_B!W17/Inv_SY_B!$Z17)-1,"")</f>
        <v/>
      </c>
      <c r="X16" s="201" t="str">
        <f ca="1">IFERROR((Inv_SY_B!X17/Inv_SY_B!$Z17)-1,"")</f>
        <v/>
      </c>
      <c r="Y16" s="201" t="str">
        <f ca="1">IFERROR((Inv_SY_B!Y17/Inv_SY_B!$Z17)-1,"")</f>
        <v/>
      </c>
    </row>
    <row r="17" spans="2:25">
      <c r="B17" s="199">
        <f t="shared" ca="1" si="1"/>
        <v>45806</v>
      </c>
      <c r="C17" s="201" t="str">
        <f ca="1">IFERROR((Inv_SY_B!C18/Inv_SY_B!$Z18)-1,"")</f>
        <v/>
      </c>
      <c r="D17" s="201" t="str">
        <f ca="1">IFERROR((Inv_SY_B!D18/Inv_SY_B!$Z18)-1,"")</f>
        <v/>
      </c>
      <c r="E17" s="201" t="str">
        <f ca="1">IFERROR((Inv_SY_B!E18/Inv_SY_B!$Z18)-1,"")</f>
        <v/>
      </c>
      <c r="F17" s="201" t="str">
        <f ca="1">IFERROR((Inv_SY_B!F18/Inv_SY_B!$Z18)-1,"")</f>
        <v/>
      </c>
      <c r="G17" s="201" t="str">
        <f ca="1">IFERROR((Inv_SY_B!G18/Inv_SY_B!$Z18)-1,"")</f>
        <v/>
      </c>
      <c r="H17" s="201" t="str">
        <f ca="1">IFERROR((Inv_SY_B!H18/Inv_SY_B!$Z18)-1,"")</f>
        <v/>
      </c>
      <c r="I17" s="201" t="str">
        <f ca="1">IFERROR((Inv_SY_B!I18/Inv_SY_B!$Z18)-1,"")</f>
        <v/>
      </c>
      <c r="J17" s="201" t="str">
        <f ca="1">IFERROR((Inv_SY_B!J18/Inv_SY_B!$Z18)-1,"")</f>
        <v/>
      </c>
      <c r="K17" s="201" t="str">
        <f ca="1">IFERROR((Inv_SY_B!K18/Inv_SY_B!$Z18)-1,"")</f>
        <v/>
      </c>
      <c r="L17" s="201" t="str">
        <f ca="1">IFERROR((Inv_SY_B!L18/Inv_SY_B!$Z18)-1,"")</f>
        <v/>
      </c>
      <c r="M17" s="201" t="str">
        <f ca="1">IFERROR((Inv_SY_B!M18/Inv_SY_B!$Z18)-1,"")</f>
        <v/>
      </c>
      <c r="N17" s="201" t="str">
        <f ca="1">IFERROR((Inv_SY_B!N18/Inv_SY_B!$Z18)-1,"")</f>
        <v/>
      </c>
      <c r="O17" s="201" t="str">
        <f ca="1">IFERROR((Inv_SY_B!O18/Inv_SY_B!$Z18)-1,"")</f>
        <v/>
      </c>
      <c r="P17" s="201" t="str">
        <f ca="1">IFERROR((Inv_SY_B!P18/Inv_SY_B!$Z18)-1,"")</f>
        <v/>
      </c>
      <c r="Q17" s="201" t="str">
        <f ca="1">IFERROR((Inv_SY_B!Q18/Inv_SY_B!$Z18)-1,"")</f>
        <v/>
      </c>
      <c r="R17" s="201" t="str">
        <f ca="1">IFERROR((Inv_SY_B!R18/Inv_SY_B!$Z18)-1,"")</f>
        <v/>
      </c>
      <c r="S17" s="201" t="str">
        <f ca="1">IFERROR((Inv_SY_B!S18/Inv_SY_B!$Z18)-1,"")</f>
        <v/>
      </c>
      <c r="T17" s="201" t="str">
        <f ca="1">IFERROR((Inv_SY_B!T18/Inv_SY_B!$Z18)-1,"")</f>
        <v/>
      </c>
      <c r="U17" s="201" t="str">
        <f ca="1">IFERROR((Inv_SY_B!U18/Inv_SY_B!$Z18)-1,"")</f>
        <v/>
      </c>
      <c r="V17" s="201" t="str">
        <f ca="1">IFERROR((Inv_SY_B!V18/Inv_SY_B!$Z18)-1,"")</f>
        <v/>
      </c>
      <c r="W17" s="201" t="str">
        <f ca="1">IFERROR((Inv_SY_B!W18/Inv_SY_B!$Z18)-1,"")</f>
        <v/>
      </c>
      <c r="X17" s="201" t="str">
        <f ca="1">IFERROR((Inv_SY_B!X18/Inv_SY_B!$Z18)-1,"")</f>
        <v/>
      </c>
      <c r="Y17" s="201" t="str">
        <f ca="1">IFERROR((Inv_SY_B!Y18/Inv_SY_B!$Z18)-1,"")</f>
        <v/>
      </c>
    </row>
    <row r="18" spans="2:25">
      <c r="B18" s="199">
        <f t="shared" ca="1" si="1"/>
        <v>45807</v>
      </c>
      <c r="C18" s="201" t="str">
        <f ca="1">IFERROR((Inv_SY_B!C19/Inv_SY_B!$Z19)-1,"")</f>
        <v/>
      </c>
      <c r="D18" s="201" t="str">
        <f ca="1">IFERROR((Inv_SY_B!D19/Inv_SY_B!$Z19)-1,"")</f>
        <v/>
      </c>
      <c r="E18" s="201" t="str">
        <f ca="1">IFERROR((Inv_SY_B!E19/Inv_SY_B!$Z19)-1,"")</f>
        <v/>
      </c>
      <c r="F18" s="201" t="str">
        <f ca="1">IFERROR((Inv_SY_B!F19/Inv_SY_B!$Z19)-1,"")</f>
        <v/>
      </c>
      <c r="G18" s="201" t="str">
        <f ca="1">IFERROR((Inv_SY_B!G19/Inv_SY_B!$Z19)-1,"")</f>
        <v/>
      </c>
      <c r="H18" s="201" t="str">
        <f ca="1">IFERROR((Inv_SY_B!H19/Inv_SY_B!$Z19)-1,"")</f>
        <v/>
      </c>
      <c r="I18" s="201" t="str">
        <f ca="1">IFERROR((Inv_SY_B!I19/Inv_SY_B!$Z19)-1,"")</f>
        <v/>
      </c>
      <c r="J18" s="201" t="str">
        <f ca="1">IFERROR((Inv_SY_B!J19/Inv_SY_B!$Z19)-1,"")</f>
        <v/>
      </c>
      <c r="K18" s="201" t="str">
        <f ca="1">IFERROR((Inv_SY_B!K19/Inv_SY_B!$Z19)-1,"")</f>
        <v/>
      </c>
      <c r="L18" s="201" t="str">
        <f ca="1">IFERROR((Inv_SY_B!L19/Inv_SY_B!$Z19)-1,"")</f>
        <v/>
      </c>
      <c r="M18" s="201" t="str">
        <f ca="1">IFERROR((Inv_SY_B!M19/Inv_SY_B!$Z19)-1,"")</f>
        <v/>
      </c>
      <c r="N18" s="201" t="str">
        <f ca="1">IFERROR((Inv_SY_B!N19/Inv_SY_B!$Z19)-1,"")</f>
        <v/>
      </c>
      <c r="O18" s="201" t="str">
        <f ca="1">IFERROR((Inv_SY_B!O19/Inv_SY_B!$Z19)-1,"")</f>
        <v/>
      </c>
      <c r="P18" s="201" t="str">
        <f ca="1">IFERROR((Inv_SY_B!P19/Inv_SY_B!$Z19)-1,"")</f>
        <v/>
      </c>
      <c r="Q18" s="201" t="str">
        <f ca="1">IFERROR((Inv_SY_B!Q19/Inv_SY_B!$Z19)-1,"")</f>
        <v/>
      </c>
      <c r="R18" s="201" t="str">
        <f ca="1">IFERROR((Inv_SY_B!R19/Inv_SY_B!$Z19)-1,"")</f>
        <v/>
      </c>
      <c r="S18" s="201" t="str">
        <f ca="1">IFERROR((Inv_SY_B!S19/Inv_SY_B!$Z19)-1,"")</f>
        <v/>
      </c>
      <c r="T18" s="201" t="str">
        <f ca="1">IFERROR((Inv_SY_B!T19/Inv_SY_B!$Z19)-1,"")</f>
        <v/>
      </c>
      <c r="U18" s="201" t="str">
        <f ca="1">IFERROR((Inv_SY_B!U19/Inv_SY_B!$Z19)-1,"")</f>
        <v/>
      </c>
      <c r="V18" s="201" t="str">
        <f ca="1">IFERROR((Inv_SY_B!V19/Inv_SY_B!$Z19)-1,"")</f>
        <v/>
      </c>
      <c r="W18" s="201" t="str">
        <f ca="1">IFERROR((Inv_SY_B!W19/Inv_SY_B!$Z19)-1,"")</f>
        <v/>
      </c>
      <c r="X18" s="201" t="str">
        <f ca="1">IFERROR((Inv_SY_B!X19/Inv_SY_B!$Z19)-1,"")</f>
        <v/>
      </c>
      <c r="Y18" s="201" t="str">
        <f ca="1">IFERROR((Inv_SY_B!Y19/Inv_SY_B!$Z19)-1,"")</f>
        <v/>
      </c>
    </row>
    <row r="19" spans="2:25">
      <c r="B19" s="199">
        <f t="shared" ca="1" si="1"/>
        <v>45808</v>
      </c>
      <c r="C19" s="201" t="str">
        <f ca="1">IFERROR((Inv_SY_B!C20/Inv_SY_B!$Z20)-1,"")</f>
        <v/>
      </c>
      <c r="D19" s="201" t="str">
        <f ca="1">IFERROR((Inv_SY_B!D20/Inv_SY_B!$Z20)-1,"")</f>
        <v/>
      </c>
      <c r="E19" s="201" t="str">
        <f ca="1">IFERROR((Inv_SY_B!E20/Inv_SY_B!$Z20)-1,"")</f>
        <v/>
      </c>
      <c r="F19" s="201" t="str">
        <f ca="1">IFERROR((Inv_SY_B!F20/Inv_SY_B!$Z20)-1,"")</f>
        <v/>
      </c>
      <c r="G19" s="201" t="str">
        <f ca="1">IFERROR((Inv_SY_B!G20/Inv_SY_B!$Z20)-1,"")</f>
        <v/>
      </c>
      <c r="H19" s="201" t="str">
        <f ca="1">IFERROR((Inv_SY_B!H20/Inv_SY_B!$Z20)-1,"")</f>
        <v/>
      </c>
      <c r="I19" s="201" t="str">
        <f ca="1">IFERROR((Inv_SY_B!I20/Inv_SY_B!$Z20)-1,"")</f>
        <v/>
      </c>
      <c r="J19" s="201" t="str">
        <f ca="1">IFERROR((Inv_SY_B!J20/Inv_SY_B!$Z20)-1,"")</f>
        <v/>
      </c>
      <c r="K19" s="201" t="str">
        <f ca="1">IFERROR((Inv_SY_B!K20/Inv_SY_B!$Z20)-1,"")</f>
        <v/>
      </c>
      <c r="L19" s="201" t="str">
        <f ca="1">IFERROR((Inv_SY_B!L20/Inv_SY_B!$Z20)-1,"")</f>
        <v/>
      </c>
      <c r="M19" s="201" t="str">
        <f ca="1">IFERROR((Inv_SY_B!M20/Inv_SY_B!$Z20)-1,"")</f>
        <v/>
      </c>
      <c r="N19" s="201" t="str">
        <f ca="1">IFERROR((Inv_SY_B!N20/Inv_SY_B!$Z20)-1,"")</f>
        <v/>
      </c>
      <c r="O19" s="201" t="str">
        <f ca="1">IFERROR((Inv_SY_B!O20/Inv_SY_B!$Z20)-1,"")</f>
        <v/>
      </c>
      <c r="P19" s="201" t="str">
        <f ca="1">IFERROR((Inv_SY_B!P20/Inv_SY_B!$Z20)-1,"")</f>
        <v/>
      </c>
      <c r="Q19" s="201" t="str">
        <f ca="1">IFERROR((Inv_SY_B!Q20/Inv_SY_B!$Z20)-1,"")</f>
        <v/>
      </c>
      <c r="R19" s="201" t="str">
        <f ca="1">IFERROR((Inv_SY_B!R20/Inv_SY_B!$Z20)-1,"")</f>
        <v/>
      </c>
      <c r="S19" s="201" t="str">
        <f ca="1">IFERROR((Inv_SY_B!S20/Inv_SY_B!$Z20)-1,"")</f>
        <v/>
      </c>
      <c r="T19" s="201" t="str">
        <f ca="1">IFERROR((Inv_SY_B!T20/Inv_SY_B!$Z20)-1,"")</f>
        <v/>
      </c>
      <c r="U19" s="201" t="str">
        <f ca="1">IFERROR((Inv_SY_B!U20/Inv_SY_B!$Z20)-1,"")</f>
        <v/>
      </c>
      <c r="V19" s="201" t="str">
        <f ca="1">IFERROR((Inv_SY_B!V20/Inv_SY_B!$Z20)-1,"")</f>
        <v/>
      </c>
      <c r="W19" s="201" t="str">
        <f ca="1">IFERROR((Inv_SY_B!W20/Inv_SY_B!$Z20)-1,"")</f>
        <v/>
      </c>
      <c r="X19" s="201" t="str">
        <f ca="1">IFERROR((Inv_SY_B!X20/Inv_SY_B!$Z20)-1,"")</f>
        <v/>
      </c>
      <c r="Y19" s="201" t="str">
        <f ca="1">IFERROR((Inv_SY_B!Y20/Inv_SY_B!$Z20)-1,"")</f>
        <v/>
      </c>
    </row>
    <row r="20" spans="2:25">
      <c r="B20" s="199">
        <f t="shared" ca="1" si="1"/>
        <v>45809</v>
      </c>
      <c r="C20" s="201" t="str">
        <f ca="1">IFERROR((Inv_SY_B!C21/Inv_SY_B!$Z21)-1,"")</f>
        <v/>
      </c>
      <c r="D20" s="201" t="str">
        <f ca="1">IFERROR((Inv_SY_B!D21/Inv_SY_B!$Z21)-1,"")</f>
        <v/>
      </c>
      <c r="E20" s="201" t="str">
        <f ca="1">IFERROR((Inv_SY_B!E21/Inv_SY_B!$Z21)-1,"")</f>
        <v/>
      </c>
      <c r="F20" s="201" t="str">
        <f ca="1">IFERROR((Inv_SY_B!F21/Inv_SY_B!$Z21)-1,"")</f>
        <v/>
      </c>
      <c r="G20" s="201" t="str">
        <f ca="1">IFERROR((Inv_SY_B!G21/Inv_SY_B!$Z21)-1,"")</f>
        <v/>
      </c>
      <c r="H20" s="201" t="str">
        <f ca="1">IFERROR((Inv_SY_B!H21/Inv_SY_B!$Z21)-1,"")</f>
        <v/>
      </c>
      <c r="I20" s="201" t="str">
        <f ca="1">IFERROR((Inv_SY_B!I21/Inv_SY_B!$Z21)-1,"")</f>
        <v/>
      </c>
      <c r="J20" s="201" t="str">
        <f ca="1">IFERROR((Inv_SY_B!J21/Inv_SY_B!$Z21)-1,"")</f>
        <v/>
      </c>
      <c r="K20" s="201" t="str">
        <f ca="1">IFERROR((Inv_SY_B!K21/Inv_SY_B!$Z21)-1,"")</f>
        <v/>
      </c>
      <c r="L20" s="201" t="str">
        <f ca="1">IFERROR((Inv_SY_B!L21/Inv_SY_B!$Z21)-1,"")</f>
        <v/>
      </c>
      <c r="M20" s="201" t="str">
        <f ca="1">IFERROR((Inv_SY_B!M21/Inv_SY_B!$Z21)-1,"")</f>
        <v/>
      </c>
      <c r="N20" s="201" t="str">
        <f ca="1">IFERROR((Inv_SY_B!N21/Inv_SY_B!$Z21)-1,"")</f>
        <v/>
      </c>
      <c r="O20" s="201" t="str">
        <f ca="1">IFERROR((Inv_SY_B!O21/Inv_SY_B!$Z21)-1,"")</f>
        <v/>
      </c>
      <c r="P20" s="201" t="str">
        <f ca="1">IFERROR((Inv_SY_B!P21/Inv_SY_B!$Z21)-1,"")</f>
        <v/>
      </c>
      <c r="Q20" s="201" t="str">
        <f ca="1">IFERROR((Inv_SY_B!Q21/Inv_SY_B!$Z21)-1,"")</f>
        <v/>
      </c>
      <c r="R20" s="201" t="str">
        <f ca="1">IFERROR((Inv_SY_B!R21/Inv_SY_B!$Z21)-1,"")</f>
        <v/>
      </c>
      <c r="S20" s="201" t="str">
        <f ca="1">IFERROR((Inv_SY_B!S21/Inv_SY_B!$Z21)-1,"")</f>
        <v/>
      </c>
      <c r="T20" s="201" t="str">
        <f ca="1">IFERROR((Inv_SY_B!T21/Inv_SY_B!$Z21)-1,"")</f>
        <v/>
      </c>
      <c r="U20" s="201" t="str">
        <f ca="1">IFERROR((Inv_SY_B!U21/Inv_SY_B!$Z21)-1,"")</f>
        <v/>
      </c>
      <c r="V20" s="201" t="str">
        <f ca="1">IFERROR((Inv_SY_B!V21/Inv_SY_B!$Z21)-1,"")</f>
        <v/>
      </c>
      <c r="W20" s="201" t="str">
        <f ca="1">IFERROR((Inv_SY_B!W21/Inv_SY_B!$Z21)-1,"")</f>
        <v/>
      </c>
      <c r="X20" s="201" t="str">
        <f ca="1">IFERROR((Inv_SY_B!X21/Inv_SY_B!$Z21)-1,"")</f>
        <v/>
      </c>
      <c r="Y20" s="201" t="str">
        <f ca="1">IFERROR((Inv_SY_B!Y21/Inv_SY_B!$Z21)-1,"")</f>
        <v/>
      </c>
    </row>
    <row r="21" spans="2:25">
      <c r="B21" s="199">
        <f t="shared" ca="1" si="1"/>
        <v>45810</v>
      </c>
      <c r="C21" s="201" t="str">
        <f ca="1">IFERROR((Inv_SY_B!C22/Inv_SY_B!$Z22)-1,"")</f>
        <v/>
      </c>
      <c r="D21" s="201" t="str">
        <f ca="1">IFERROR((Inv_SY_B!D22/Inv_SY_B!$Z22)-1,"")</f>
        <v/>
      </c>
      <c r="E21" s="201" t="str">
        <f ca="1">IFERROR((Inv_SY_B!E22/Inv_SY_B!$Z22)-1,"")</f>
        <v/>
      </c>
      <c r="F21" s="201" t="str">
        <f ca="1">IFERROR((Inv_SY_B!F22/Inv_SY_B!$Z22)-1,"")</f>
        <v/>
      </c>
      <c r="G21" s="201" t="str">
        <f ca="1">IFERROR((Inv_SY_B!G22/Inv_SY_B!$Z22)-1,"")</f>
        <v/>
      </c>
      <c r="H21" s="201" t="str">
        <f ca="1">IFERROR((Inv_SY_B!H22/Inv_SY_B!$Z22)-1,"")</f>
        <v/>
      </c>
      <c r="I21" s="201" t="str">
        <f ca="1">IFERROR((Inv_SY_B!I22/Inv_SY_B!$Z22)-1,"")</f>
        <v/>
      </c>
      <c r="J21" s="201" t="str">
        <f ca="1">IFERROR((Inv_SY_B!J22/Inv_SY_B!$Z22)-1,"")</f>
        <v/>
      </c>
      <c r="K21" s="201" t="str">
        <f ca="1">IFERROR((Inv_SY_B!K22/Inv_SY_B!$Z22)-1,"")</f>
        <v/>
      </c>
      <c r="L21" s="201" t="str">
        <f ca="1">IFERROR((Inv_SY_B!L22/Inv_SY_B!$Z22)-1,"")</f>
        <v/>
      </c>
      <c r="M21" s="201" t="str">
        <f ca="1">IFERROR((Inv_SY_B!M22/Inv_SY_B!$Z22)-1,"")</f>
        <v/>
      </c>
      <c r="N21" s="201" t="str">
        <f ca="1">IFERROR((Inv_SY_B!N22/Inv_SY_B!$Z22)-1,"")</f>
        <v/>
      </c>
      <c r="O21" s="201" t="str">
        <f ca="1">IFERROR((Inv_SY_B!O22/Inv_SY_B!$Z22)-1,"")</f>
        <v/>
      </c>
      <c r="P21" s="201" t="str">
        <f ca="1">IFERROR((Inv_SY_B!P22/Inv_SY_B!$Z22)-1,"")</f>
        <v/>
      </c>
      <c r="Q21" s="201" t="str">
        <f ca="1">IFERROR((Inv_SY_B!Q22/Inv_SY_B!$Z22)-1,"")</f>
        <v/>
      </c>
      <c r="R21" s="201" t="str">
        <f ca="1">IFERROR((Inv_SY_B!R22/Inv_SY_B!$Z22)-1,"")</f>
        <v/>
      </c>
      <c r="S21" s="201" t="str">
        <f ca="1">IFERROR((Inv_SY_B!S22/Inv_SY_B!$Z22)-1,"")</f>
        <v/>
      </c>
      <c r="T21" s="201" t="str">
        <f ca="1">IFERROR((Inv_SY_B!T22/Inv_SY_B!$Z22)-1,"")</f>
        <v/>
      </c>
      <c r="U21" s="201" t="str">
        <f ca="1">IFERROR((Inv_SY_B!U22/Inv_SY_B!$Z22)-1,"")</f>
        <v/>
      </c>
      <c r="V21" s="201" t="str">
        <f ca="1">IFERROR((Inv_SY_B!V22/Inv_SY_B!$Z22)-1,"")</f>
        <v/>
      </c>
      <c r="W21" s="201" t="str">
        <f ca="1">IFERROR((Inv_SY_B!W22/Inv_SY_B!$Z22)-1,"")</f>
        <v/>
      </c>
      <c r="X21" s="201" t="str">
        <f ca="1">IFERROR((Inv_SY_B!X22/Inv_SY_B!$Z22)-1,"")</f>
        <v/>
      </c>
      <c r="Y21" s="201" t="str">
        <f ca="1">IFERROR((Inv_SY_B!Y22/Inv_SY_B!$Z22)-1,"")</f>
        <v/>
      </c>
    </row>
    <row r="22" spans="2:25">
      <c r="B22" s="199">
        <f t="shared" ca="1" si="1"/>
        <v>45811</v>
      </c>
      <c r="C22" s="201" t="str">
        <f ca="1">IFERROR((Inv_SY_B!C23/Inv_SY_B!$Z23)-1,"")</f>
        <v/>
      </c>
      <c r="D22" s="201" t="str">
        <f ca="1">IFERROR((Inv_SY_B!D23/Inv_SY_B!$Z23)-1,"")</f>
        <v/>
      </c>
      <c r="E22" s="201" t="str">
        <f ca="1">IFERROR((Inv_SY_B!E23/Inv_SY_B!$Z23)-1,"")</f>
        <v/>
      </c>
      <c r="F22" s="201" t="str">
        <f ca="1">IFERROR((Inv_SY_B!F23/Inv_SY_B!$Z23)-1,"")</f>
        <v/>
      </c>
      <c r="G22" s="201" t="str">
        <f ca="1">IFERROR((Inv_SY_B!G23/Inv_SY_B!$Z23)-1,"")</f>
        <v/>
      </c>
      <c r="H22" s="201" t="str">
        <f ca="1">IFERROR((Inv_SY_B!H23/Inv_SY_B!$Z23)-1,"")</f>
        <v/>
      </c>
      <c r="I22" s="201" t="str">
        <f ca="1">IFERROR((Inv_SY_B!I23/Inv_SY_B!$Z23)-1,"")</f>
        <v/>
      </c>
      <c r="J22" s="201" t="str">
        <f ca="1">IFERROR((Inv_SY_B!J23/Inv_SY_B!$Z23)-1,"")</f>
        <v/>
      </c>
      <c r="K22" s="201" t="str">
        <f ca="1">IFERROR((Inv_SY_B!K23/Inv_SY_B!$Z23)-1,"")</f>
        <v/>
      </c>
      <c r="L22" s="201" t="str">
        <f ca="1">IFERROR((Inv_SY_B!L23/Inv_SY_B!$Z23)-1,"")</f>
        <v/>
      </c>
      <c r="M22" s="201" t="str">
        <f ca="1">IFERROR((Inv_SY_B!M23/Inv_SY_B!$Z23)-1,"")</f>
        <v/>
      </c>
      <c r="N22" s="201" t="str">
        <f ca="1">IFERROR((Inv_SY_B!N23/Inv_SY_B!$Z23)-1,"")</f>
        <v/>
      </c>
      <c r="O22" s="201" t="str">
        <f ca="1">IFERROR((Inv_SY_B!O23/Inv_SY_B!$Z23)-1,"")</f>
        <v/>
      </c>
      <c r="P22" s="201" t="str">
        <f ca="1">IFERROR((Inv_SY_B!P23/Inv_SY_B!$Z23)-1,"")</f>
        <v/>
      </c>
      <c r="Q22" s="201" t="str">
        <f ca="1">IFERROR((Inv_SY_B!Q23/Inv_SY_B!$Z23)-1,"")</f>
        <v/>
      </c>
      <c r="R22" s="201" t="str">
        <f ca="1">IFERROR((Inv_SY_B!R23/Inv_SY_B!$Z23)-1,"")</f>
        <v/>
      </c>
      <c r="S22" s="201" t="str">
        <f ca="1">IFERROR((Inv_SY_B!S23/Inv_SY_B!$Z23)-1,"")</f>
        <v/>
      </c>
      <c r="T22" s="201" t="str">
        <f ca="1">IFERROR((Inv_SY_B!T23/Inv_SY_B!$Z23)-1,"")</f>
        <v/>
      </c>
      <c r="U22" s="201" t="str">
        <f ca="1">IFERROR((Inv_SY_B!U23/Inv_SY_B!$Z23)-1,"")</f>
        <v/>
      </c>
      <c r="V22" s="201" t="str">
        <f ca="1">IFERROR((Inv_SY_B!V23/Inv_SY_B!$Z23)-1,"")</f>
        <v/>
      </c>
      <c r="W22" s="201" t="str">
        <f ca="1">IFERROR((Inv_SY_B!W23/Inv_SY_B!$Z23)-1,"")</f>
        <v/>
      </c>
      <c r="X22" s="201" t="str">
        <f ca="1">IFERROR((Inv_SY_B!X23/Inv_SY_B!$Z23)-1,"")</f>
        <v/>
      </c>
      <c r="Y22" s="201" t="str">
        <f ca="1">IFERROR((Inv_SY_B!Y23/Inv_SY_B!$Z23)-1,"")</f>
        <v/>
      </c>
    </row>
    <row r="23" spans="2:25">
      <c r="B23" s="199">
        <f t="shared" ca="1" si="1"/>
        <v>45812</v>
      </c>
      <c r="C23" s="201" t="str">
        <f ca="1">IFERROR((Inv_SY_B!C24/Inv_SY_B!$Z24)-1,"")</f>
        <v/>
      </c>
      <c r="D23" s="201" t="str">
        <f ca="1">IFERROR((Inv_SY_B!D24/Inv_SY_B!$Z24)-1,"")</f>
        <v/>
      </c>
      <c r="E23" s="201" t="str">
        <f ca="1">IFERROR((Inv_SY_B!E24/Inv_SY_B!$Z24)-1,"")</f>
        <v/>
      </c>
      <c r="F23" s="201" t="str">
        <f ca="1">IFERROR((Inv_SY_B!F24/Inv_SY_B!$Z24)-1,"")</f>
        <v/>
      </c>
      <c r="G23" s="201" t="str">
        <f ca="1">IFERROR((Inv_SY_B!G24/Inv_SY_B!$Z24)-1,"")</f>
        <v/>
      </c>
      <c r="H23" s="201" t="str">
        <f ca="1">IFERROR((Inv_SY_B!H24/Inv_SY_B!$Z24)-1,"")</f>
        <v/>
      </c>
      <c r="I23" s="201" t="str">
        <f ca="1">IFERROR((Inv_SY_B!I24/Inv_SY_B!$Z24)-1,"")</f>
        <v/>
      </c>
      <c r="J23" s="201" t="str">
        <f ca="1">IFERROR((Inv_SY_B!J24/Inv_SY_B!$Z24)-1,"")</f>
        <v/>
      </c>
      <c r="K23" s="201" t="str">
        <f ca="1">IFERROR((Inv_SY_B!K24/Inv_SY_B!$Z24)-1,"")</f>
        <v/>
      </c>
      <c r="L23" s="201" t="str">
        <f ca="1">IFERROR((Inv_SY_B!L24/Inv_SY_B!$Z24)-1,"")</f>
        <v/>
      </c>
      <c r="M23" s="201" t="str">
        <f ca="1">IFERROR((Inv_SY_B!M24/Inv_SY_B!$Z24)-1,"")</f>
        <v/>
      </c>
      <c r="N23" s="201" t="str">
        <f ca="1">IFERROR((Inv_SY_B!N24/Inv_SY_B!$Z24)-1,"")</f>
        <v/>
      </c>
      <c r="O23" s="201" t="str">
        <f ca="1">IFERROR((Inv_SY_B!O24/Inv_SY_B!$Z24)-1,"")</f>
        <v/>
      </c>
      <c r="P23" s="201" t="str">
        <f ca="1">IFERROR((Inv_SY_B!P24/Inv_SY_B!$Z24)-1,"")</f>
        <v/>
      </c>
      <c r="Q23" s="201" t="str">
        <f ca="1">IFERROR((Inv_SY_B!Q24/Inv_SY_B!$Z24)-1,"")</f>
        <v/>
      </c>
      <c r="R23" s="201" t="str">
        <f ca="1">IFERROR((Inv_SY_B!R24/Inv_SY_B!$Z24)-1,"")</f>
        <v/>
      </c>
      <c r="S23" s="201" t="str">
        <f ca="1">IFERROR((Inv_SY_B!S24/Inv_SY_B!$Z24)-1,"")</f>
        <v/>
      </c>
      <c r="T23" s="201" t="str">
        <f ca="1">IFERROR((Inv_SY_B!T24/Inv_SY_B!$Z24)-1,"")</f>
        <v/>
      </c>
      <c r="U23" s="201" t="str">
        <f ca="1">IFERROR((Inv_SY_B!U24/Inv_SY_B!$Z24)-1,"")</f>
        <v/>
      </c>
      <c r="V23" s="201" t="str">
        <f ca="1">IFERROR((Inv_SY_B!V24/Inv_SY_B!$Z24)-1,"")</f>
        <v/>
      </c>
      <c r="W23" s="201" t="str">
        <f ca="1">IFERROR((Inv_SY_B!W24/Inv_SY_B!$Z24)-1,"")</f>
        <v/>
      </c>
      <c r="X23" s="201" t="str">
        <f ca="1">IFERROR((Inv_SY_B!X24/Inv_SY_B!$Z24)-1,"")</f>
        <v/>
      </c>
      <c r="Y23" s="201" t="str">
        <f ca="1">IFERROR((Inv_SY_B!Y24/Inv_SY_B!$Z24)-1,"")</f>
        <v/>
      </c>
    </row>
    <row r="24" spans="2:25">
      <c r="B24" s="199">
        <f t="shared" ca="1" si="1"/>
        <v>45813</v>
      </c>
      <c r="C24" s="201" t="str">
        <f ca="1">IFERROR((Inv_SY_B!C25/Inv_SY_B!$Z25)-1,"")</f>
        <v/>
      </c>
      <c r="D24" s="201" t="str">
        <f ca="1">IFERROR((Inv_SY_B!D25/Inv_SY_B!$Z25)-1,"")</f>
        <v/>
      </c>
      <c r="E24" s="201" t="str">
        <f ca="1">IFERROR((Inv_SY_B!E25/Inv_SY_B!$Z25)-1,"")</f>
        <v/>
      </c>
      <c r="F24" s="201" t="str">
        <f ca="1">IFERROR((Inv_SY_B!F25/Inv_SY_B!$Z25)-1,"")</f>
        <v/>
      </c>
      <c r="G24" s="201" t="str">
        <f ca="1">IFERROR((Inv_SY_B!G25/Inv_SY_B!$Z25)-1,"")</f>
        <v/>
      </c>
      <c r="H24" s="201" t="str">
        <f ca="1">IFERROR((Inv_SY_B!H25/Inv_SY_B!$Z25)-1,"")</f>
        <v/>
      </c>
      <c r="I24" s="201" t="str">
        <f ca="1">IFERROR((Inv_SY_B!I25/Inv_SY_B!$Z25)-1,"")</f>
        <v/>
      </c>
      <c r="J24" s="201" t="str">
        <f ca="1">IFERROR((Inv_SY_B!J25/Inv_SY_B!$Z25)-1,"")</f>
        <v/>
      </c>
      <c r="K24" s="201" t="str">
        <f ca="1">IFERROR((Inv_SY_B!K25/Inv_SY_B!$Z25)-1,"")</f>
        <v/>
      </c>
      <c r="L24" s="201" t="str">
        <f ca="1">IFERROR((Inv_SY_B!L25/Inv_SY_B!$Z25)-1,"")</f>
        <v/>
      </c>
      <c r="M24" s="201" t="str">
        <f ca="1">IFERROR((Inv_SY_B!M25/Inv_SY_B!$Z25)-1,"")</f>
        <v/>
      </c>
      <c r="N24" s="201" t="str">
        <f ca="1">IFERROR((Inv_SY_B!N25/Inv_SY_B!$Z25)-1,"")</f>
        <v/>
      </c>
      <c r="O24" s="201" t="str">
        <f ca="1">IFERROR((Inv_SY_B!O25/Inv_SY_B!$Z25)-1,"")</f>
        <v/>
      </c>
      <c r="P24" s="201" t="str">
        <f ca="1">IFERROR((Inv_SY_B!P25/Inv_SY_B!$Z25)-1,"")</f>
        <v/>
      </c>
      <c r="Q24" s="201" t="str">
        <f ca="1">IFERROR((Inv_SY_B!Q25/Inv_SY_B!$Z25)-1,"")</f>
        <v/>
      </c>
      <c r="R24" s="201" t="str">
        <f ca="1">IFERROR((Inv_SY_B!R25/Inv_SY_B!$Z25)-1,"")</f>
        <v/>
      </c>
      <c r="S24" s="201" t="str">
        <f ca="1">IFERROR((Inv_SY_B!S25/Inv_SY_B!$Z25)-1,"")</f>
        <v/>
      </c>
      <c r="T24" s="201" t="str">
        <f ca="1">IFERROR((Inv_SY_B!T25/Inv_SY_B!$Z25)-1,"")</f>
        <v/>
      </c>
      <c r="U24" s="201" t="str">
        <f ca="1">IFERROR((Inv_SY_B!U25/Inv_SY_B!$Z25)-1,"")</f>
        <v/>
      </c>
      <c r="V24" s="201" t="str">
        <f ca="1">IFERROR((Inv_SY_B!V25/Inv_SY_B!$Z25)-1,"")</f>
        <v/>
      </c>
      <c r="W24" s="201" t="str">
        <f ca="1">IFERROR((Inv_SY_B!W25/Inv_SY_B!$Z25)-1,"")</f>
        <v/>
      </c>
      <c r="X24" s="201" t="str">
        <f ca="1">IFERROR((Inv_SY_B!X25/Inv_SY_B!$Z25)-1,"")</f>
        <v/>
      </c>
      <c r="Y24" s="201" t="str">
        <f ca="1">IFERROR((Inv_SY_B!Y25/Inv_SY_B!$Z25)-1,"")</f>
        <v/>
      </c>
    </row>
    <row r="25" spans="2:25">
      <c r="B25" s="199">
        <f t="shared" ca="1" si="1"/>
        <v>45814</v>
      </c>
      <c r="C25" s="201" t="str">
        <f ca="1">IFERROR((Inv_SY_B!C26/Inv_SY_B!$Z26)-1,"")</f>
        <v/>
      </c>
      <c r="D25" s="201" t="str">
        <f ca="1">IFERROR((Inv_SY_B!D26/Inv_SY_B!$Z26)-1,"")</f>
        <v/>
      </c>
      <c r="E25" s="201" t="str">
        <f ca="1">IFERROR((Inv_SY_B!E26/Inv_SY_B!$Z26)-1,"")</f>
        <v/>
      </c>
      <c r="F25" s="201" t="str">
        <f ca="1">IFERROR((Inv_SY_B!F26/Inv_SY_B!$Z26)-1,"")</f>
        <v/>
      </c>
      <c r="G25" s="201" t="str">
        <f ca="1">IFERROR((Inv_SY_B!G26/Inv_SY_B!$Z26)-1,"")</f>
        <v/>
      </c>
      <c r="H25" s="201" t="str">
        <f ca="1">IFERROR((Inv_SY_B!H26/Inv_SY_B!$Z26)-1,"")</f>
        <v/>
      </c>
      <c r="I25" s="201" t="str">
        <f ca="1">IFERROR((Inv_SY_B!I26/Inv_SY_B!$Z26)-1,"")</f>
        <v/>
      </c>
      <c r="J25" s="201" t="str">
        <f ca="1">IFERROR((Inv_SY_B!J26/Inv_SY_B!$Z26)-1,"")</f>
        <v/>
      </c>
      <c r="K25" s="201" t="str">
        <f ca="1">IFERROR((Inv_SY_B!K26/Inv_SY_B!$Z26)-1,"")</f>
        <v/>
      </c>
      <c r="L25" s="201" t="str">
        <f ca="1">IFERROR((Inv_SY_B!L26/Inv_SY_B!$Z26)-1,"")</f>
        <v/>
      </c>
      <c r="M25" s="201" t="str">
        <f ca="1">IFERROR((Inv_SY_B!M26/Inv_SY_B!$Z26)-1,"")</f>
        <v/>
      </c>
      <c r="N25" s="201" t="str">
        <f ca="1">IFERROR((Inv_SY_B!N26/Inv_SY_B!$Z26)-1,"")</f>
        <v/>
      </c>
      <c r="O25" s="201" t="str">
        <f ca="1">IFERROR((Inv_SY_B!O26/Inv_SY_B!$Z26)-1,"")</f>
        <v/>
      </c>
      <c r="P25" s="201" t="str">
        <f ca="1">IFERROR((Inv_SY_B!P26/Inv_SY_B!$Z26)-1,"")</f>
        <v/>
      </c>
      <c r="Q25" s="201" t="str">
        <f ca="1">IFERROR((Inv_SY_B!Q26/Inv_SY_B!$Z26)-1,"")</f>
        <v/>
      </c>
      <c r="R25" s="201" t="str">
        <f ca="1">IFERROR((Inv_SY_B!R26/Inv_SY_B!$Z26)-1,"")</f>
        <v/>
      </c>
      <c r="S25" s="201" t="str">
        <f ca="1">IFERROR((Inv_SY_B!S26/Inv_SY_B!$Z26)-1,"")</f>
        <v/>
      </c>
      <c r="T25" s="201" t="str">
        <f ca="1">IFERROR((Inv_SY_B!T26/Inv_SY_B!$Z26)-1,"")</f>
        <v/>
      </c>
      <c r="U25" s="201" t="str">
        <f ca="1">IFERROR((Inv_SY_B!U26/Inv_SY_B!$Z26)-1,"")</f>
        <v/>
      </c>
      <c r="V25" s="201" t="str">
        <f ca="1">IFERROR((Inv_SY_B!V26/Inv_SY_B!$Z26)-1,"")</f>
        <v/>
      </c>
      <c r="W25" s="201" t="str">
        <f ca="1">IFERROR((Inv_SY_B!W26/Inv_SY_B!$Z26)-1,"")</f>
        <v/>
      </c>
      <c r="X25" s="201" t="str">
        <f ca="1">IFERROR((Inv_SY_B!X26/Inv_SY_B!$Z26)-1,"")</f>
        <v/>
      </c>
      <c r="Y25" s="201" t="str">
        <f ca="1">IFERROR((Inv_SY_B!Y26/Inv_SY_B!$Z26)-1,"")</f>
        <v/>
      </c>
    </row>
    <row r="26" spans="2:25">
      <c r="B26" s="199">
        <f t="shared" ca="1" si="1"/>
        <v>45815</v>
      </c>
      <c r="C26" s="201" t="str">
        <f ca="1">IFERROR((Inv_SY_B!C27/Inv_SY_B!$Z27)-1,"")</f>
        <v/>
      </c>
      <c r="D26" s="201" t="str">
        <f ca="1">IFERROR((Inv_SY_B!D27/Inv_SY_B!$Z27)-1,"")</f>
        <v/>
      </c>
      <c r="E26" s="201" t="str">
        <f ca="1">IFERROR((Inv_SY_B!E27/Inv_SY_B!$Z27)-1,"")</f>
        <v/>
      </c>
      <c r="F26" s="201" t="str">
        <f ca="1">IFERROR((Inv_SY_B!F27/Inv_SY_B!$Z27)-1,"")</f>
        <v/>
      </c>
      <c r="G26" s="201" t="str">
        <f ca="1">IFERROR((Inv_SY_B!G27/Inv_SY_B!$Z27)-1,"")</f>
        <v/>
      </c>
      <c r="H26" s="201" t="str">
        <f ca="1">IFERROR((Inv_SY_B!H27/Inv_SY_B!$Z27)-1,"")</f>
        <v/>
      </c>
      <c r="I26" s="201" t="str">
        <f ca="1">IFERROR((Inv_SY_B!I27/Inv_SY_B!$Z27)-1,"")</f>
        <v/>
      </c>
      <c r="J26" s="201" t="str">
        <f ca="1">IFERROR((Inv_SY_B!J27/Inv_SY_B!$Z27)-1,"")</f>
        <v/>
      </c>
      <c r="K26" s="201" t="str">
        <f ca="1">IFERROR((Inv_SY_B!K27/Inv_SY_B!$Z27)-1,"")</f>
        <v/>
      </c>
      <c r="L26" s="201" t="str">
        <f ca="1">IFERROR((Inv_SY_B!L27/Inv_SY_B!$Z27)-1,"")</f>
        <v/>
      </c>
      <c r="M26" s="201" t="str">
        <f ca="1">IFERROR((Inv_SY_B!M27/Inv_SY_B!$Z27)-1,"")</f>
        <v/>
      </c>
      <c r="N26" s="201" t="str">
        <f ca="1">IFERROR((Inv_SY_B!N27/Inv_SY_B!$Z27)-1,"")</f>
        <v/>
      </c>
      <c r="O26" s="201" t="str">
        <f ca="1">IFERROR((Inv_SY_B!O27/Inv_SY_B!$Z27)-1,"")</f>
        <v/>
      </c>
      <c r="P26" s="201" t="str">
        <f ca="1">IFERROR((Inv_SY_B!P27/Inv_SY_B!$Z27)-1,"")</f>
        <v/>
      </c>
      <c r="Q26" s="201" t="str">
        <f ca="1">IFERROR((Inv_SY_B!Q27/Inv_SY_B!$Z27)-1,"")</f>
        <v/>
      </c>
      <c r="R26" s="201" t="str">
        <f ca="1">IFERROR((Inv_SY_B!R27/Inv_SY_B!$Z27)-1,"")</f>
        <v/>
      </c>
      <c r="S26" s="201" t="str">
        <f ca="1">IFERROR((Inv_SY_B!S27/Inv_SY_B!$Z27)-1,"")</f>
        <v/>
      </c>
      <c r="T26" s="201" t="str">
        <f ca="1">IFERROR((Inv_SY_B!T27/Inv_SY_B!$Z27)-1,"")</f>
        <v/>
      </c>
      <c r="U26" s="201" t="str">
        <f ca="1">IFERROR((Inv_SY_B!U27/Inv_SY_B!$Z27)-1,"")</f>
        <v/>
      </c>
      <c r="V26" s="201" t="str">
        <f ca="1">IFERROR((Inv_SY_B!V27/Inv_SY_B!$Z27)-1,"")</f>
        <v/>
      </c>
      <c r="W26" s="201" t="str">
        <f ca="1">IFERROR((Inv_SY_B!W27/Inv_SY_B!$Z27)-1,"")</f>
        <v/>
      </c>
      <c r="X26" s="201" t="str">
        <f ca="1">IFERROR((Inv_SY_B!X27/Inv_SY_B!$Z27)-1,"")</f>
        <v/>
      </c>
      <c r="Y26" s="201" t="str">
        <f ca="1">IFERROR((Inv_SY_B!Y27/Inv_SY_B!$Z27)-1,"")</f>
        <v/>
      </c>
    </row>
    <row r="27" spans="2:25">
      <c r="B27" s="199">
        <f t="shared" ca="1" si="1"/>
        <v>45816</v>
      </c>
      <c r="C27" s="201" t="str">
        <f ca="1">IFERROR((Inv_SY_B!C28/Inv_SY_B!$Z28)-1,"")</f>
        <v/>
      </c>
      <c r="D27" s="201" t="str">
        <f ca="1">IFERROR((Inv_SY_B!D28/Inv_SY_B!$Z28)-1,"")</f>
        <v/>
      </c>
      <c r="E27" s="201" t="str">
        <f ca="1">IFERROR((Inv_SY_B!E28/Inv_SY_B!$Z28)-1,"")</f>
        <v/>
      </c>
      <c r="F27" s="201" t="str">
        <f ca="1">IFERROR((Inv_SY_B!F28/Inv_SY_B!$Z28)-1,"")</f>
        <v/>
      </c>
      <c r="G27" s="201" t="str">
        <f ca="1">IFERROR((Inv_SY_B!G28/Inv_SY_B!$Z28)-1,"")</f>
        <v/>
      </c>
      <c r="H27" s="201" t="str">
        <f ca="1">IFERROR((Inv_SY_B!H28/Inv_SY_B!$Z28)-1,"")</f>
        <v/>
      </c>
      <c r="I27" s="201" t="str">
        <f ca="1">IFERROR((Inv_SY_B!I28/Inv_SY_B!$Z28)-1,"")</f>
        <v/>
      </c>
      <c r="J27" s="201" t="str">
        <f ca="1">IFERROR((Inv_SY_B!J28/Inv_SY_B!$Z28)-1,"")</f>
        <v/>
      </c>
      <c r="K27" s="201" t="str">
        <f ca="1">IFERROR((Inv_SY_B!K28/Inv_SY_B!$Z28)-1,"")</f>
        <v/>
      </c>
      <c r="L27" s="201" t="str">
        <f ca="1">IFERROR((Inv_SY_B!L28/Inv_SY_B!$Z28)-1,"")</f>
        <v/>
      </c>
      <c r="M27" s="201" t="str">
        <f ca="1">IFERROR((Inv_SY_B!M28/Inv_SY_B!$Z28)-1,"")</f>
        <v/>
      </c>
      <c r="N27" s="201" t="str">
        <f ca="1">IFERROR((Inv_SY_B!N28/Inv_SY_B!$Z28)-1,"")</f>
        <v/>
      </c>
      <c r="O27" s="201" t="str">
        <f ca="1">IFERROR((Inv_SY_B!O28/Inv_SY_B!$Z28)-1,"")</f>
        <v/>
      </c>
      <c r="P27" s="201" t="str">
        <f ca="1">IFERROR((Inv_SY_B!P28/Inv_SY_B!$Z28)-1,"")</f>
        <v/>
      </c>
      <c r="Q27" s="201" t="str">
        <f ca="1">IFERROR((Inv_SY_B!Q28/Inv_SY_B!$Z28)-1,"")</f>
        <v/>
      </c>
      <c r="R27" s="201" t="str">
        <f ca="1">IFERROR((Inv_SY_B!R28/Inv_SY_B!$Z28)-1,"")</f>
        <v/>
      </c>
      <c r="S27" s="201" t="str">
        <f ca="1">IFERROR((Inv_SY_B!S28/Inv_SY_B!$Z28)-1,"")</f>
        <v/>
      </c>
      <c r="T27" s="201" t="str">
        <f ca="1">IFERROR((Inv_SY_B!T28/Inv_SY_B!$Z28)-1,"")</f>
        <v/>
      </c>
      <c r="U27" s="201" t="str">
        <f ca="1">IFERROR((Inv_SY_B!U28/Inv_SY_B!$Z28)-1,"")</f>
        <v/>
      </c>
      <c r="V27" s="201" t="str">
        <f ca="1">IFERROR((Inv_SY_B!V28/Inv_SY_B!$Z28)-1,"")</f>
        <v/>
      </c>
      <c r="W27" s="201" t="str">
        <f ca="1">IFERROR((Inv_SY_B!W28/Inv_SY_B!$Z28)-1,"")</f>
        <v/>
      </c>
      <c r="X27" s="201" t="str">
        <f ca="1">IFERROR((Inv_SY_B!X28/Inv_SY_B!$Z28)-1,"")</f>
        <v/>
      </c>
      <c r="Y27" s="201" t="str">
        <f ca="1">IFERROR((Inv_SY_B!Y28/Inv_SY_B!$Z28)-1,"")</f>
        <v/>
      </c>
    </row>
    <row r="28" spans="2:25">
      <c r="B28" s="199">
        <f t="shared" ca="1" si="1"/>
        <v>45817</v>
      </c>
      <c r="C28" s="201" t="str">
        <f ca="1">IFERROR((Inv_SY_B!C29/Inv_SY_B!$Z29)-1,"")</f>
        <v/>
      </c>
      <c r="D28" s="201" t="str">
        <f ca="1">IFERROR((Inv_SY_B!D29/Inv_SY_B!$Z29)-1,"")</f>
        <v/>
      </c>
      <c r="E28" s="201" t="str">
        <f ca="1">IFERROR((Inv_SY_B!E29/Inv_SY_B!$Z29)-1,"")</f>
        <v/>
      </c>
      <c r="F28" s="201" t="str">
        <f ca="1">IFERROR((Inv_SY_B!F29/Inv_SY_B!$Z29)-1,"")</f>
        <v/>
      </c>
      <c r="G28" s="201" t="str">
        <f ca="1">IFERROR((Inv_SY_B!G29/Inv_SY_B!$Z29)-1,"")</f>
        <v/>
      </c>
      <c r="H28" s="201" t="str">
        <f ca="1">IFERROR((Inv_SY_B!H29/Inv_SY_B!$Z29)-1,"")</f>
        <v/>
      </c>
      <c r="I28" s="201" t="str">
        <f ca="1">IFERROR((Inv_SY_B!I29/Inv_SY_B!$Z29)-1,"")</f>
        <v/>
      </c>
      <c r="J28" s="201" t="str">
        <f ca="1">IFERROR((Inv_SY_B!J29/Inv_SY_B!$Z29)-1,"")</f>
        <v/>
      </c>
      <c r="K28" s="201" t="str">
        <f ca="1">IFERROR((Inv_SY_B!K29/Inv_SY_B!$Z29)-1,"")</f>
        <v/>
      </c>
      <c r="L28" s="201" t="str">
        <f ca="1">IFERROR((Inv_SY_B!L29/Inv_SY_B!$Z29)-1,"")</f>
        <v/>
      </c>
      <c r="M28" s="201" t="str">
        <f ca="1">IFERROR((Inv_SY_B!M29/Inv_SY_B!$Z29)-1,"")</f>
        <v/>
      </c>
      <c r="N28" s="201" t="str">
        <f ca="1">IFERROR((Inv_SY_B!N29/Inv_SY_B!$Z29)-1,"")</f>
        <v/>
      </c>
      <c r="O28" s="201" t="str">
        <f ca="1">IFERROR((Inv_SY_B!O29/Inv_SY_B!$Z29)-1,"")</f>
        <v/>
      </c>
      <c r="P28" s="201" t="str">
        <f ca="1">IFERROR((Inv_SY_B!P29/Inv_SY_B!$Z29)-1,"")</f>
        <v/>
      </c>
      <c r="Q28" s="201" t="str">
        <f ca="1">IFERROR((Inv_SY_B!Q29/Inv_SY_B!$Z29)-1,"")</f>
        <v/>
      </c>
      <c r="R28" s="201" t="str">
        <f ca="1">IFERROR((Inv_SY_B!R29/Inv_SY_B!$Z29)-1,"")</f>
        <v/>
      </c>
      <c r="S28" s="201" t="str">
        <f ca="1">IFERROR((Inv_SY_B!S29/Inv_SY_B!$Z29)-1,"")</f>
        <v/>
      </c>
      <c r="T28" s="201" t="str">
        <f ca="1">IFERROR((Inv_SY_B!T29/Inv_SY_B!$Z29)-1,"")</f>
        <v/>
      </c>
      <c r="U28" s="201" t="str">
        <f ca="1">IFERROR((Inv_SY_B!U29/Inv_SY_B!$Z29)-1,"")</f>
        <v/>
      </c>
      <c r="V28" s="201" t="str">
        <f ca="1">IFERROR((Inv_SY_B!V29/Inv_SY_B!$Z29)-1,"")</f>
        <v/>
      </c>
      <c r="W28" s="201" t="str">
        <f ca="1">IFERROR((Inv_SY_B!W29/Inv_SY_B!$Z29)-1,"")</f>
        <v/>
      </c>
      <c r="X28" s="201" t="str">
        <f ca="1">IFERROR((Inv_SY_B!X29/Inv_SY_B!$Z29)-1,"")</f>
        <v/>
      </c>
      <c r="Y28" s="201" t="str">
        <f ca="1">IFERROR((Inv_SY_B!Y29/Inv_SY_B!$Z29)-1,"")</f>
        <v/>
      </c>
    </row>
    <row r="29" spans="2:25">
      <c r="B29" s="199">
        <f t="shared" ca="1" si="1"/>
        <v>45818</v>
      </c>
      <c r="C29" s="201" t="str">
        <f ca="1">IFERROR((Inv_SY_B!C30/Inv_SY_B!$Z30)-1,"")</f>
        <v/>
      </c>
      <c r="D29" s="201" t="str">
        <f ca="1">IFERROR((Inv_SY_B!D30/Inv_SY_B!$Z30)-1,"")</f>
        <v/>
      </c>
      <c r="E29" s="201" t="str">
        <f ca="1">IFERROR((Inv_SY_B!E30/Inv_SY_B!$Z30)-1,"")</f>
        <v/>
      </c>
      <c r="F29" s="201" t="str">
        <f ca="1">IFERROR((Inv_SY_B!F30/Inv_SY_B!$Z30)-1,"")</f>
        <v/>
      </c>
      <c r="G29" s="201" t="str">
        <f ca="1">IFERROR((Inv_SY_B!G30/Inv_SY_B!$Z30)-1,"")</f>
        <v/>
      </c>
      <c r="H29" s="201" t="str">
        <f ca="1">IFERROR((Inv_SY_B!H30/Inv_SY_B!$Z30)-1,"")</f>
        <v/>
      </c>
      <c r="I29" s="201" t="str">
        <f ca="1">IFERROR((Inv_SY_B!I30/Inv_SY_B!$Z30)-1,"")</f>
        <v/>
      </c>
      <c r="J29" s="201" t="str">
        <f ca="1">IFERROR((Inv_SY_B!J30/Inv_SY_B!$Z30)-1,"")</f>
        <v/>
      </c>
      <c r="K29" s="201" t="str">
        <f ca="1">IFERROR((Inv_SY_B!K30/Inv_SY_B!$Z30)-1,"")</f>
        <v/>
      </c>
      <c r="L29" s="201" t="str">
        <f ca="1">IFERROR((Inv_SY_B!L30/Inv_SY_B!$Z30)-1,"")</f>
        <v/>
      </c>
      <c r="M29" s="201" t="str">
        <f ca="1">IFERROR((Inv_SY_B!M30/Inv_SY_B!$Z30)-1,"")</f>
        <v/>
      </c>
      <c r="N29" s="201" t="str">
        <f ca="1">IFERROR((Inv_SY_B!N30/Inv_SY_B!$Z30)-1,"")</f>
        <v/>
      </c>
      <c r="O29" s="201" t="str">
        <f ca="1">IFERROR((Inv_SY_B!O30/Inv_SY_B!$Z30)-1,"")</f>
        <v/>
      </c>
      <c r="P29" s="201" t="str">
        <f ca="1">IFERROR((Inv_SY_B!P30/Inv_SY_B!$Z30)-1,"")</f>
        <v/>
      </c>
      <c r="Q29" s="201" t="str">
        <f ca="1">IFERROR((Inv_SY_B!Q30/Inv_SY_B!$Z30)-1,"")</f>
        <v/>
      </c>
      <c r="R29" s="201" t="str">
        <f ca="1">IFERROR((Inv_SY_B!R30/Inv_SY_B!$Z30)-1,"")</f>
        <v/>
      </c>
      <c r="S29" s="201" t="str">
        <f ca="1">IFERROR((Inv_SY_B!S30/Inv_SY_B!$Z30)-1,"")</f>
        <v/>
      </c>
      <c r="T29" s="201" t="str">
        <f ca="1">IFERROR((Inv_SY_B!T30/Inv_SY_B!$Z30)-1,"")</f>
        <v/>
      </c>
      <c r="U29" s="201" t="str">
        <f ca="1">IFERROR((Inv_SY_B!U30/Inv_SY_B!$Z30)-1,"")</f>
        <v/>
      </c>
      <c r="V29" s="201" t="str">
        <f ca="1">IFERROR((Inv_SY_B!V30/Inv_SY_B!$Z30)-1,"")</f>
        <v/>
      </c>
      <c r="W29" s="201" t="str">
        <f ca="1">IFERROR((Inv_SY_B!W30/Inv_SY_B!$Z30)-1,"")</f>
        <v/>
      </c>
      <c r="X29" s="201" t="str">
        <f ca="1">IFERROR((Inv_SY_B!X30/Inv_SY_B!$Z30)-1,"")</f>
        <v/>
      </c>
      <c r="Y29" s="201" t="str">
        <f ca="1">IFERROR((Inv_SY_B!Y30/Inv_SY_B!$Z30)-1,"")</f>
        <v/>
      </c>
    </row>
    <row r="30" spans="2:25">
      <c r="B30" s="199">
        <f t="shared" ca="1" si="1"/>
        <v>45819</v>
      </c>
      <c r="C30" s="201" t="str">
        <f ca="1">IFERROR((Inv_SY_B!C31/Inv_SY_B!$Z31)-1,"")</f>
        <v/>
      </c>
      <c r="D30" s="201" t="str">
        <f ca="1">IFERROR((Inv_SY_B!D31/Inv_SY_B!$Z31)-1,"")</f>
        <v/>
      </c>
      <c r="E30" s="201" t="str">
        <f ca="1">IFERROR((Inv_SY_B!E31/Inv_SY_B!$Z31)-1,"")</f>
        <v/>
      </c>
      <c r="F30" s="201" t="str">
        <f ca="1">IFERROR((Inv_SY_B!F31/Inv_SY_B!$Z31)-1,"")</f>
        <v/>
      </c>
      <c r="G30" s="201" t="str">
        <f ca="1">IFERROR((Inv_SY_B!G31/Inv_SY_B!$Z31)-1,"")</f>
        <v/>
      </c>
      <c r="H30" s="201" t="str">
        <f ca="1">IFERROR((Inv_SY_B!H31/Inv_SY_B!$Z31)-1,"")</f>
        <v/>
      </c>
      <c r="I30" s="201" t="str">
        <f ca="1">IFERROR((Inv_SY_B!I31/Inv_SY_B!$Z31)-1,"")</f>
        <v/>
      </c>
      <c r="J30" s="201" t="str">
        <f ca="1">IFERROR((Inv_SY_B!J31/Inv_SY_B!$Z31)-1,"")</f>
        <v/>
      </c>
      <c r="K30" s="201" t="str">
        <f ca="1">IFERROR((Inv_SY_B!K31/Inv_SY_B!$Z31)-1,"")</f>
        <v/>
      </c>
      <c r="L30" s="201" t="str">
        <f ca="1">IFERROR((Inv_SY_B!L31/Inv_SY_B!$Z31)-1,"")</f>
        <v/>
      </c>
      <c r="M30" s="201" t="str">
        <f ca="1">IFERROR((Inv_SY_B!M31/Inv_SY_B!$Z31)-1,"")</f>
        <v/>
      </c>
      <c r="N30" s="201" t="str">
        <f ca="1">IFERROR((Inv_SY_B!N31/Inv_SY_B!$Z31)-1,"")</f>
        <v/>
      </c>
      <c r="O30" s="201" t="str">
        <f ca="1">IFERROR((Inv_SY_B!O31/Inv_SY_B!$Z31)-1,"")</f>
        <v/>
      </c>
      <c r="P30" s="201" t="str">
        <f ca="1">IFERROR((Inv_SY_B!P31/Inv_SY_B!$Z31)-1,"")</f>
        <v/>
      </c>
      <c r="Q30" s="201" t="str">
        <f ca="1">IFERROR((Inv_SY_B!Q31/Inv_SY_B!$Z31)-1,"")</f>
        <v/>
      </c>
      <c r="R30" s="201" t="str">
        <f ca="1">IFERROR((Inv_SY_B!R31/Inv_SY_B!$Z31)-1,"")</f>
        <v/>
      </c>
      <c r="S30" s="201" t="str">
        <f ca="1">IFERROR((Inv_SY_B!S31/Inv_SY_B!$Z31)-1,"")</f>
        <v/>
      </c>
      <c r="T30" s="201" t="str">
        <f ca="1">IFERROR((Inv_SY_B!T31/Inv_SY_B!$Z31)-1,"")</f>
        <v/>
      </c>
      <c r="U30" s="201" t="str">
        <f ca="1">IFERROR((Inv_SY_B!U31/Inv_SY_B!$Z31)-1,"")</f>
        <v/>
      </c>
      <c r="V30" s="201" t="str">
        <f ca="1">IFERROR((Inv_SY_B!V31/Inv_SY_B!$Z31)-1,"")</f>
        <v/>
      </c>
      <c r="W30" s="201" t="str">
        <f ca="1">IFERROR((Inv_SY_B!W31/Inv_SY_B!$Z31)-1,"")</f>
        <v/>
      </c>
      <c r="X30" s="201" t="str">
        <f ca="1">IFERROR((Inv_SY_B!X31/Inv_SY_B!$Z31)-1,"")</f>
        <v/>
      </c>
      <c r="Y30" s="201" t="str">
        <f ca="1">IFERROR((Inv_SY_B!Y31/Inv_SY_B!$Z31)-1,"")</f>
        <v/>
      </c>
    </row>
    <row r="31" spans="2:25">
      <c r="B31" s="199">
        <f t="shared" ca="1" si="1"/>
        <v>45820</v>
      </c>
      <c r="C31" s="201" t="str">
        <f ca="1">IFERROR((Inv_SY_B!C32/Inv_SY_B!$Z32)-1,"")</f>
        <v/>
      </c>
      <c r="D31" s="201" t="str">
        <f ca="1">IFERROR((Inv_SY_B!D32/Inv_SY_B!$Z32)-1,"")</f>
        <v/>
      </c>
      <c r="E31" s="201" t="str">
        <f ca="1">IFERROR((Inv_SY_B!E32/Inv_SY_B!$Z32)-1,"")</f>
        <v/>
      </c>
      <c r="F31" s="201" t="str">
        <f ca="1">IFERROR((Inv_SY_B!F32/Inv_SY_B!$Z32)-1,"")</f>
        <v/>
      </c>
      <c r="G31" s="201" t="str">
        <f ca="1">IFERROR((Inv_SY_B!G32/Inv_SY_B!$Z32)-1,"")</f>
        <v/>
      </c>
      <c r="H31" s="201" t="str">
        <f ca="1">IFERROR((Inv_SY_B!H32/Inv_SY_B!$Z32)-1,"")</f>
        <v/>
      </c>
      <c r="I31" s="201" t="str">
        <f ca="1">IFERROR((Inv_SY_B!I32/Inv_SY_B!$Z32)-1,"")</f>
        <v/>
      </c>
      <c r="J31" s="201" t="str">
        <f ca="1">IFERROR((Inv_SY_B!J32/Inv_SY_B!$Z32)-1,"")</f>
        <v/>
      </c>
      <c r="K31" s="201" t="str">
        <f ca="1">IFERROR((Inv_SY_B!K32/Inv_SY_B!$Z32)-1,"")</f>
        <v/>
      </c>
      <c r="L31" s="201" t="str">
        <f ca="1">IFERROR((Inv_SY_B!L32/Inv_SY_B!$Z32)-1,"")</f>
        <v/>
      </c>
      <c r="M31" s="201" t="str">
        <f ca="1">IFERROR((Inv_SY_B!M32/Inv_SY_B!$Z32)-1,"")</f>
        <v/>
      </c>
      <c r="N31" s="201" t="str">
        <f ca="1">IFERROR((Inv_SY_B!N32/Inv_SY_B!$Z32)-1,"")</f>
        <v/>
      </c>
      <c r="O31" s="201" t="str">
        <f ca="1">IFERROR((Inv_SY_B!O32/Inv_SY_B!$Z32)-1,"")</f>
        <v/>
      </c>
      <c r="P31" s="201" t="str">
        <f ca="1">IFERROR((Inv_SY_B!P32/Inv_SY_B!$Z32)-1,"")</f>
        <v/>
      </c>
      <c r="Q31" s="201" t="str">
        <f ca="1">IFERROR((Inv_SY_B!Q32/Inv_SY_B!$Z32)-1,"")</f>
        <v/>
      </c>
      <c r="R31" s="201" t="str">
        <f ca="1">IFERROR((Inv_SY_B!R32/Inv_SY_B!$Z32)-1,"")</f>
        <v/>
      </c>
      <c r="S31" s="201" t="str">
        <f ca="1">IFERROR((Inv_SY_B!S32/Inv_SY_B!$Z32)-1,"")</f>
        <v/>
      </c>
      <c r="T31" s="201" t="str">
        <f ca="1">IFERROR((Inv_SY_B!T32/Inv_SY_B!$Z32)-1,"")</f>
        <v/>
      </c>
      <c r="U31" s="201" t="str">
        <f ca="1">IFERROR((Inv_SY_B!U32/Inv_SY_B!$Z32)-1,"")</f>
        <v/>
      </c>
      <c r="V31" s="201" t="str">
        <f ca="1">IFERROR((Inv_SY_B!V32/Inv_SY_B!$Z32)-1,"")</f>
        <v/>
      </c>
      <c r="W31" s="201" t="str">
        <f ca="1">IFERROR((Inv_SY_B!W32/Inv_SY_B!$Z32)-1,"")</f>
        <v/>
      </c>
      <c r="X31" s="201" t="str">
        <f ca="1">IFERROR((Inv_SY_B!X32/Inv_SY_B!$Z32)-1,"")</f>
        <v/>
      </c>
      <c r="Y31" s="201" t="str">
        <f ca="1">IFERROR((Inv_SY_B!Y32/Inv_SY_B!$Z32)-1,"")</f>
        <v/>
      </c>
    </row>
    <row r="32" spans="2:25">
      <c r="B32" s="199">
        <f t="shared" ca="1" si="1"/>
        <v>45821</v>
      </c>
      <c r="C32" s="201" t="str">
        <f ca="1">IFERROR((Inv_SY_B!C33/Inv_SY_B!$Z33)-1,"")</f>
        <v/>
      </c>
      <c r="D32" s="201" t="str">
        <f ca="1">IFERROR((Inv_SY_B!D33/Inv_SY_B!$Z33)-1,"")</f>
        <v/>
      </c>
      <c r="E32" s="201" t="str">
        <f ca="1">IFERROR((Inv_SY_B!E33/Inv_SY_B!$Z33)-1,"")</f>
        <v/>
      </c>
      <c r="F32" s="201" t="str">
        <f ca="1">IFERROR((Inv_SY_B!F33/Inv_SY_B!$Z33)-1,"")</f>
        <v/>
      </c>
      <c r="G32" s="201" t="str">
        <f ca="1">IFERROR((Inv_SY_B!G33/Inv_SY_B!$Z33)-1,"")</f>
        <v/>
      </c>
      <c r="H32" s="201" t="str">
        <f ca="1">IFERROR((Inv_SY_B!H33/Inv_SY_B!$Z33)-1,"")</f>
        <v/>
      </c>
      <c r="I32" s="201" t="str">
        <f ca="1">IFERROR((Inv_SY_B!I33/Inv_SY_B!$Z33)-1,"")</f>
        <v/>
      </c>
      <c r="J32" s="201" t="str">
        <f ca="1">IFERROR((Inv_SY_B!J33/Inv_SY_B!$Z33)-1,"")</f>
        <v/>
      </c>
      <c r="K32" s="201" t="str">
        <f ca="1">IFERROR((Inv_SY_B!K33/Inv_SY_B!$Z33)-1,"")</f>
        <v/>
      </c>
      <c r="L32" s="201" t="str">
        <f ca="1">IFERROR((Inv_SY_B!L33/Inv_SY_B!$Z33)-1,"")</f>
        <v/>
      </c>
      <c r="M32" s="201" t="str">
        <f ca="1">IFERROR((Inv_SY_B!M33/Inv_SY_B!$Z33)-1,"")</f>
        <v/>
      </c>
      <c r="N32" s="201" t="str">
        <f ca="1">IFERROR((Inv_SY_B!N33/Inv_SY_B!$Z33)-1,"")</f>
        <v/>
      </c>
      <c r="O32" s="201" t="str">
        <f ca="1">IFERROR((Inv_SY_B!O33/Inv_SY_B!$Z33)-1,"")</f>
        <v/>
      </c>
      <c r="P32" s="201" t="str">
        <f ca="1">IFERROR((Inv_SY_B!P33/Inv_SY_B!$Z33)-1,"")</f>
        <v/>
      </c>
      <c r="Q32" s="201" t="str">
        <f ca="1">IFERROR((Inv_SY_B!Q33/Inv_SY_B!$Z33)-1,"")</f>
        <v/>
      </c>
      <c r="R32" s="201" t="str">
        <f ca="1">IFERROR((Inv_SY_B!R33/Inv_SY_B!$Z33)-1,"")</f>
        <v/>
      </c>
      <c r="S32" s="201" t="str">
        <f ca="1">IFERROR((Inv_SY_B!S33/Inv_SY_B!$Z33)-1,"")</f>
        <v/>
      </c>
      <c r="T32" s="201" t="str">
        <f ca="1">IFERROR((Inv_SY_B!T33/Inv_SY_B!$Z33)-1,"")</f>
        <v/>
      </c>
      <c r="U32" s="201" t="str">
        <f ca="1">IFERROR((Inv_SY_B!U33/Inv_SY_B!$Z33)-1,"")</f>
        <v/>
      </c>
      <c r="V32" s="201" t="str">
        <f ca="1">IFERROR((Inv_SY_B!V33/Inv_SY_B!$Z33)-1,"")</f>
        <v/>
      </c>
      <c r="W32" s="201" t="str">
        <f ca="1">IFERROR((Inv_SY_B!W33/Inv_SY_B!$Z33)-1,"")</f>
        <v/>
      </c>
      <c r="X32" s="201" t="str">
        <f ca="1">IFERROR((Inv_SY_B!X33/Inv_SY_B!$Z33)-1,"")</f>
        <v/>
      </c>
      <c r="Y32" s="201" t="str">
        <f ca="1">IFERROR((Inv_SY_B!Y33/Inv_SY_B!$Z33)-1,"")</f>
        <v/>
      </c>
    </row>
    <row r="33" spans="2:25">
      <c r="B33" s="199">
        <f t="shared" ca="1" si="1"/>
        <v>45822</v>
      </c>
      <c r="C33" s="201" t="str">
        <f ca="1">IFERROR((Inv_SY_B!C34/Inv_SY_B!$Z34)-1,"")</f>
        <v/>
      </c>
      <c r="D33" s="201" t="str">
        <f ca="1">IFERROR((Inv_SY_B!D34/Inv_SY_B!$Z34)-1,"")</f>
        <v/>
      </c>
      <c r="E33" s="201" t="str">
        <f ca="1">IFERROR((Inv_SY_B!E34/Inv_SY_B!$Z34)-1,"")</f>
        <v/>
      </c>
      <c r="F33" s="201" t="str">
        <f ca="1">IFERROR((Inv_SY_B!F34/Inv_SY_B!$Z34)-1,"")</f>
        <v/>
      </c>
      <c r="G33" s="201" t="str">
        <f ca="1">IFERROR((Inv_SY_B!G34/Inv_SY_B!$Z34)-1,"")</f>
        <v/>
      </c>
      <c r="H33" s="201" t="str">
        <f ca="1">IFERROR((Inv_SY_B!H34/Inv_SY_B!$Z34)-1,"")</f>
        <v/>
      </c>
      <c r="I33" s="201" t="str">
        <f ca="1">IFERROR((Inv_SY_B!I34/Inv_SY_B!$Z34)-1,"")</f>
        <v/>
      </c>
      <c r="J33" s="201" t="str">
        <f ca="1">IFERROR((Inv_SY_B!J34/Inv_SY_B!$Z34)-1,"")</f>
        <v/>
      </c>
      <c r="K33" s="201" t="str">
        <f ca="1">IFERROR((Inv_SY_B!K34/Inv_SY_B!$Z34)-1,"")</f>
        <v/>
      </c>
      <c r="L33" s="201" t="str">
        <f ca="1">IFERROR((Inv_SY_B!L34/Inv_SY_B!$Z34)-1,"")</f>
        <v/>
      </c>
      <c r="M33" s="201" t="str">
        <f ca="1">IFERROR((Inv_SY_B!M34/Inv_SY_B!$Z34)-1,"")</f>
        <v/>
      </c>
      <c r="N33" s="201" t="str">
        <f ca="1">IFERROR((Inv_SY_B!N34/Inv_SY_B!$Z34)-1,"")</f>
        <v/>
      </c>
      <c r="O33" s="201" t="str">
        <f ca="1">IFERROR((Inv_SY_B!O34/Inv_SY_B!$Z34)-1,"")</f>
        <v/>
      </c>
      <c r="P33" s="201" t="str">
        <f ca="1">IFERROR((Inv_SY_B!P34/Inv_SY_B!$Z34)-1,"")</f>
        <v/>
      </c>
      <c r="Q33" s="201" t="str">
        <f ca="1">IFERROR((Inv_SY_B!Q34/Inv_SY_B!$Z34)-1,"")</f>
        <v/>
      </c>
      <c r="R33" s="201" t="str">
        <f ca="1">IFERROR((Inv_SY_B!R34/Inv_SY_B!$Z34)-1,"")</f>
        <v/>
      </c>
      <c r="S33" s="201" t="str">
        <f ca="1">IFERROR((Inv_SY_B!S34/Inv_SY_B!$Z34)-1,"")</f>
        <v/>
      </c>
      <c r="T33" s="201" t="str">
        <f ca="1">IFERROR((Inv_SY_B!T34/Inv_SY_B!$Z34)-1,"")</f>
        <v/>
      </c>
      <c r="U33" s="201" t="str">
        <f ca="1">IFERROR((Inv_SY_B!U34/Inv_SY_B!$Z34)-1,"")</f>
        <v/>
      </c>
      <c r="V33" s="201" t="str">
        <f ca="1">IFERROR((Inv_SY_B!V34/Inv_SY_B!$Z34)-1,"")</f>
        <v/>
      </c>
      <c r="W33" s="201" t="str">
        <f ca="1">IFERROR((Inv_SY_B!W34/Inv_SY_B!$Z34)-1,"")</f>
        <v/>
      </c>
      <c r="X33" s="201" t="str">
        <f ca="1">IFERROR((Inv_SY_B!X34/Inv_SY_B!$Z34)-1,"")</f>
        <v/>
      </c>
      <c r="Y33" s="201" t="str">
        <f ca="1">IFERROR((Inv_SY_B!Y34/Inv_SY_B!$Z34)-1,"")</f>
        <v/>
      </c>
    </row>
    <row r="34" spans="2:25">
      <c r="B34" s="199">
        <f t="shared" ca="1" si="1"/>
        <v>45823</v>
      </c>
      <c r="C34" s="201" t="str">
        <f ca="1">IFERROR((Inv_SY_B!C35/Inv_SY_B!$Z35)-1,"")</f>
        <v/>
      </c>
      <c r="D34" s="201" t="str">
        <f ca="1">IFERROR((Inv_SY_B!D35/Inv_SY_B!$Z35)-1,"")</f>
        <v/>
      </c>
      <c r="E34" s="201" t="str">
        <f ca="1">IFERROR((Inv_SY_B!E35/Inv_SY_B!$Z35)-1,"")</f>
        <v/>
      </c>
      <c r="F34" s="201" t="str">
        <f ca="1">IFERROR((Inv_SY_B!F35/Inv_SY_B!$Z35)-1,"")</f>
        <v/>
      </c>
      <c r="G34" s="201" t="str">
        <f ca="1">IFERROR((Inv_SY_B!G35/Inv_SY_B!$Z35)-1,"")</f>
        <v/>
      </c>
      <c r="H34" s="201" t="str">
        <f ca="1">IFERROR((Inv_SY_B!H35/Inv_SY_B!$Z35)-1,"")</f>
        <v/>
      </c>
      <c r="I34" s="201" t="str">
        <f ca="1">IFERROR((Inv_SY_B!I35/Inv_SY_B!$Z35)-1,"")</f>
        <v/>
      </c>
      <c r="J34" s="201" t="str">
        <f ca="1">IFERROR((Inv_SY_B!J35/Inv_SY_B!$Z35)-1,"")</f>
        <v/>
      </c>
      <c r="K34" s="201" t="str">
        <f ca="1">IFERROR((Inv_SY_B!K35/Inv_SY_B!$Z35)-1,"")</f>
        <v/>
      </c>
      <c r="L34" s="201" t="str">
        <f ca="1">IFERROR((Inv_SY_B!L35/Inv_SY_B!$Z35)-1,"")</f>
        <v/>
      </c>
      <c r="M34" s="201" t="str">
        <f ca="1">IFERROR((Inv_SY_B!M35/Inv_SY_B!$Z35)-1,"")</f>
        <v/>
      </c>
      <c r="N34" s="201" t="str">
        <f ca="1">IFERROR((Inv_SY_B!N35/Inv_SY_B!$Z35)-1,"")</f>
        <v/>
      </c>
      <c r="O34" s="201" t="str">
        <f ca="1">IFERROR((Inv_SY_B!O35/Inv_SY_B!$Z35)-1,"")</f>
        <v/>
      </c>
      <c r="P34" s="201" t="str">
        <f ca="1">IFERROR((Inv_SY_B!P35/Inv_SY_B!$Z35)-1,"")</f>
        <v/>
      </c>
      <c r="Q34" s="201" t="str">
        <f ca="1">IFERROR((Inv_SY_B!Q35/Inv_SY_B!$Z35)-1,"")</f>
        <v/>
      </c>
      <c r="R34" s="201" t="str">
        <f ca="1">IFERROR((Inv_SY_B!R35/Inv_SY_B!$Z35)-1,"")</f>
        <v/>
      </c>
      <c r="S34" s="201" t="str">
        <f ca="1">IFERROR((Inv_SY_B!S35/Inv_SY_B!$Z35)-1,"")</f>
        <v/>
      </c>
      <c r="T34" s="201" t="str">
        <f ca="1">IFERROR((Inv_SY_B!T35/Inv_SY_B!$Z35)-1,"")</f>
        <v/>
      </c>
      <c r="U34" s="201" t="str">
        <f ca="1">IFERROR((Inv_SY_B!U35/Inv_SY_B!$Z35)-1,"")</f>
        <v/>
      </c>
      <c r="V34" s="201" t="str">
        <f ca="1">IFERROR((Inv_SY_B!V35/Inv_SY_B!$Z35)-1,"")</f>
        <v/>
      </c>
      <c r="W34" s="201" t="str">
        <f ca="1">IFERROR((Inv_SY_B!W35/Inv_SY_B!$Z35)-1,"")</f>
        <v/>
      </c>
      <c r="X34" s="201" t="str">
        <f ca="1">IFERROR((Inv_SY_B!X35/Inv_SY_B!$Z35)-1,"")</f>
        <v/>
      </c>
      <c r="Y34" s="201" t="str">
        <f ca="1">IFERROR((Inv_SY_B!Y35/Inv_SY_B!$Z35)-1,"")</f>
        <v/>
      </c>
    </row>
    <row r="35" spans="2:25">
      <c r="B35" s="199">
        <f t="shared" ca="1" si="1"/>
        <v>45824</v>
      </c>
      <c r="C35" s="201" t="str">
        <f ca="1">IFERROR((Inv_SY_B!C36/Inv_SY_B!$Z36)-1,"")</f>
        <v/>
      </c>
      <c r="D35" s="201" t="str">
        <f ca="1">IFERROR((Inv_SY_B!D36/Inv_SY_B!$Z36)-1,"")</f>
        <v/>
      </c>
      <c r="E35" s="201" t="str">
        <f ca="1">IFERROR((Inv_SY_B!E36/Inv_SY_B!$Z36)-1,"")</f>
        <v/>
      </c>
      <c r="F35" s="201" t="str">
        <f ca="1">IFERROR((Inv_SY_B!F36/Inv_SY_B!$Z36)-1,"")</f>
        <v/>
      </c>
      <c r="G35" s="201" t="str">
        <f ca="1">IFERROR((Inv_SY_B!G36/Inv_SY_B!$Z36)-1,"")</f>
        <v/>
      </c>
      <c r="H35" s="201" t="str">
        <f ca="1">IFERROR((Inv_SY_B!H36/Inv_SY_B!$Z36)-1,"")</f>
        <v/>
      </c>
      <c r="I35" s="201" t="str">
        <f ca="1">IFERROR((Inv_SY_B!I36/Inv_SY_B!$Z36)-1,"")</f>
        <v/>
      </c>
      <c r="J35" s="201" t="str">
        <f ca="1">IFERROR((Inv_SY_B!J36/Inv_SY_B!$Z36)-1,"")</f>
        <v/>
      </c>
      <c r="K35" s="201" t="str">
        <f ca="1">IFERROR((Inv_SY_B!K36/Inv_SY_B!$Z36)-1,"")</f>
        <v/>
      </c>
      <c r="L35" s="201" t="str">
        <f ca="1">IFERROR((Inv_SY_B!L36/Inv_SY_B!$Z36)-1,"")</f>
        <v/>
      </c>
      <c r="M35" s="201" t="str">
        <f ca="1">IFERROR((Inv_SY_B!M36/Inv_SY_B!$Z36)-1,"")</f>
        <v/>
      </c>
      <c r="N35" s="201" t="str">
        <f ca="1">IFERROR((Inv_SY_B!N36/Inv_SY_B!$Z36)-1,"")</f>
        <v/>
      </c>
      <c r="O35" s="201" t="str">
        <f ca="1">IFERROR((Inv_SY_B!O36/Inv_SY_B!$Z36)-1,"")</f>
        <v/>
      </c>
      <c r="P35" s="201" t="str">
        <f ca="1">IFERROR((Inv_SY_B!P36/Inv_SY_B!$Z36)-1,"")</f>
        <v/>
      </c>
      <c r="Q35" s="201" t="str">
        <f ca="1">IFERROR((Inv_SY_B!Q36/Inv_SY_B!$Z36)-1,"")</f>
        <v/>
      </c>
      <c r="R35" s="201" t="str">
        <f ca="1">IFERROR((Inv_SY_B!R36/Inv_SY_B!$Z36)-1,"")</f>
        <v/>
      </c>
      <c r="S35" s="201" t="str">
        <f ca="1">IFERROR((Inv_SY_B!S36/Inv_SY_B!$Z36)-1,"")</f>
        <v/>
      </c>
      <c r="T35" s="201" t="str">
        <f ca="1">IFERROR((Inv_SY_B!T36/Inv_SY_B!$Z36)-1,"")</f>
        <v/>
      </c>
      <c r="U35" s="201" t="str">
        <f ca="1">IFERROR((Inv_SY_B!U36/Inv_SY_B!$Z36)-1,"")</f>
        <v/>
      </c>
      <c r="V35" s="201" t="str">
        <f ca="1">IFERROR((Inv_SY_B!V36/Inv_SY_B!$Z36)-1,"")</f>
        <v/>
      </c>
      <c r="W35" s="201" t="str">
        <f ca="1">IFERROR((Inv_SY_B!W36/Inv_SY_B!$Z36)-1,"")</f>
        <v/>
      </c>
      <c r="X35" s="201" t="str">
        <f ca="1">IFERROR((Inv_SY_B!X36/Inv_SY_B!$Z36)-1,"")</f>
        <v/>
      </c>
      <c r="Y35" s="201" t="str">
        <f ca="1">IFERROR((Inv_SY_B!Y36/Inv_SY_B!$Z36)-1,"")</f>
        <v/>
      </c>
    </row>
    <row r="36" spans="2:25">
      <c r="B36" s="199">
        <f t="shared" ca="1" si="1"/>
        <v>45825</v>
      </c>
      <c r="C36" s="201" t="str">
        <f ca="1">IFERROR((Inv_SY_B!C37/Inv_SY_B!$Z37)-1,"")</f>
        <v/>
      </c>
      <c r="D36" s="201" t="str">
        <f ca="1">IFERROR((Inv_SY_B!D37/Inv_SY_B!$Z37)-1,"")</f>
        <v/>
      </c>
      <c r="E36" s="201" t="str">
        <f ca="1">IFERROR((Inv_SY_B!E37/Inv_SY_B!$Z37)-1,"")</f>
        <v/>
      </c>
      <c r="F36" s="201" t="str">
        <f ca="1">IFERROR((Inv_SY_B!F37/Inv_SY_B!$Z37)-1,"")</f>
        <v/>
      </c>
      <c r="G36" s="201" t="str">
        <f ca="1">IFERROR((Inv_SY_B!G37/Inv_SY_B!$Z37)-1,"")</f>
        <v/>
      </c>
      <c r="H36" s="201" t="str">
        <f ca="1">IFERROR((Inv_SY_B!H37/Inv_SY_B!$Z37)-1,"")</f>
        <v/>
      </c>
      <c r="I36" s="201" t="str">
        <f ca="1">IFERROR((Inv_SY_B!I37/Inv_SY_B!$Z37)-1,"")</f>
        <v/>
      </c>
      <c r="J36" s="201" t="str">
        <f ca="1">IFERROR((Inv_SY_B!J37/Inv_SY_B!$Z37)-1,"")</f>
        <v/>
      </c>
      <c r="K36" s="201" t="str">
        <f ca="1">IFERROR((Inv_SY_B!K37/Inv_SY_B!$Z37)-1,"")</f>
        <v/>
      </c>
      <c r="L36" s="201" t="str">
        <f ca="1">IFERROR((Inv_SY_B!L37/Inv_SY_B!$Z37)-1,"")</f>
        <v/>
      </c>
      <c r="M36" s="201" t="str">
        <f ca="1">IFERROR((Inv_SY_B!M37/Inv_SY_B!$Z37)-1,"")</f>
        <v/>
      </c>
      <c r="N36" s="201" t="str">
        <f ca="1">IFERROR((Inv_SY_B!N37/Inv_SY_B!$Z37)-1,"")</f>
        <v/>
      </c>
      <c r="O36" s="201" t="str">
        <f ca="1">IFERROR((Inv_SY_B!O37/Inv_SY_B!$Z37)-1,"")</f>
        <v/>
      </c>
      <c r="P36" s="201" t="str">
        <f ca="1">IFERROR((Inv_SY_B!P37/Inv_SY_B!$Z37)-1,"")</f>
        <v/>
      </c>
      <c r="Q36" s="201" t="str">
        <f ca="1">IFERROR((Inv_SY_B!Q37/Inv_SY_B!$Z37)-1,"")</f>
        <v/>
      </c>
      <c r="R36" s="201" t="str">
        <f ca="1">IFERROR((Inv_SY_B!R37/Inv_SY_B!$Z37)-1,"")</f>
        <v/>
      </c>
      <c r="S36" s="201" t="str">
        <f ca="1">IFERROR((Inv_SY_B!S37/Inv_SY_B!$Z37)-1,"")</f>
        <v/>
      </c>
      <c r="T36" s="201" t="str">
        <f ca="1">IFERROR((Inv_SY_B!T37/Inv_SY_B!$Z37)-1,"")</f>
        <v/>
      </c>
      <c r="U36" s="201" t="str">
        <f ca="1">IFERROR((Inv_SY_B!U37/Inv_SY_B!$Z37)-1,"")</f>
        <v/>
      </c>
      <c r="V36" s="201" t="str">
        <f ca="1">IFERROR((Inv_SY_B!V37/Inv_SY_B!$Z37)-1,"")</f>
        <v/>
      </c>
      <c r="W36" s="201" t="str">
        <f ca="1">IFERROR((Inv_SY_B!W37/Inv_SY_B!$Z37)-1,"")</f>
        <v/>
      </c>
      <c r="X36" s="201" t="str">
        <f ca="1">IFERROR((Inv_SY_B!X37/Inv_SY_B!$Z37)-1,"")</f>
        <v/>
      </c>
      <c r="Y36" s="201" t="str">
        <f ca="1">IFERROR((Inv_SY_B!Y37/Inv_SY_B!$Z37)-1,"")</f>
        <v/>
      </c>
    </row>
    <row r="37" spans="2:25">
      <c r="B37" s="199">
        <f t="shared" ca="1" si="1"/>
        <v>45826</v>
      </c>
      <c r="C37" s="201" t="str">
        <f ca="1">IFERROR((Inv_SY_B!C38/Inv_SY_B!$Z38)-1,"")</f>
        <v/>
      </c>
      <c r="D37" s="201" t="str">
        <f ca="1">IFERROR((Inv_SY_B!D38/Inv_SY_B!$Z38)-1,"")</f>
        <v/>
      </c>
      <c r="E37" s="201" t="str">
        <f ca="1">IFERROR((Inv_SY_B!E38/Inv_SY_B!$Z38)-1,"")</f>
        <v/>
      </c>
      <c r="F37" s="201" t="str">
        <f ca="1">IFERROR((Inv_SY_B!F38/Inv_SY_B!$Z38)-1,"")</f>
        <v/>
      </c>
      <c r="G37" s="201" t="str">
        <f ca="1">IFERROR((Inv_SY_B!G38/Inv_SY_B!$Z38)-1,"")</f>
        <v/>
      </c>
      <c r="H37" s="201" t="str">
        <f ca="1">IFERROR((Inv_SY_B!H38/Inv_SY_B!$Z38)-1,"")</f>
        <v/>
      </c>
      <c r="I37" s="201" t="str">
        <f ca="1">IFERROR((Inv_SY_B!I38/Inv_SY_B!$Z38)-1,"")</f>
        <v/>
      </c>
      <c r="J37" s="201" t="str">
        <f ca="1">IFERROR((Inv_SY_B!J38/Inv_SY_B!$Z38)-1,"")</f>
        <v/>
      </c>
      <c r="K37" s="201" t="str">
        <f ca="1">IFERROR((Inv_SY_B!K38/Inv_SY_B!$Z38)-1,"")</f>
        <v/>
      </c>
      <c r="L37" s="201" t="str">
        <f ca="1">IFERROR((Inv_SY_B!L38/Inv_SY_B!$Z38)-1,"")</f>
        <v/>
      </c>
      <c r="M37" s="201" t="str">
        <f ca="1">IFERROR((Inv_SY_B!M38/Inv_SY_B!$Z38)-1,"")</f>
        <v/>
      </c>
      <c r="N37" s="201" t="str">
        <f ca="1">IFERROR((Inv_SY_B!N38/Inv_SY_B!$Z38)-1,"")</f>
        <v/>
      </c>
      <c r="O37" s="201" t="str">
        <f ca="1">IFERROR((Inv_SY_B!O38/Inv_SY_B!$Z38)-1,"")</f>
        <v/>
      </c>
      <c r="P37" s="201" t="str">
        <f ca="1">IFERROR((Inv_SY_B!P38/Inv_SY_B!$Z38)-1,"")</f>
        <v/>
      </c>
      <c r="Q37" s="201" t="str">
        <f ca="1">IFERROR((Inv_SY_B!Q38/Inv_SY_B!$Z38)-1,"")</f>
        <v/>
      </c>
      <c r="R37" s="201" t="str">
        <f ca="1">IFERROR((Inv_SY_B!R38/Inv_SY_B!$Z38)-1,"")</f>
        <v/>
      </c>
      <c r="S37" s="201" t="str">
        <f ca="1">IFERROR((Inv_SY_B!S38/Inv_SY_B!$Z38)-1,"")</f>
        <v/>
      </c>
      <c r="T37" s="201" t="str">
        <f ca="1">IFERROR((Inv_SY_B!T38/Inv_SY_B!$Z38)-1,"")</f>
        <v/>
      </c>
      <c r="U37" s="201" t="str">
        <f ca="1">IFERROR((Inv_SY_B!U38/Inv_SY_B!$Z38)-1,"")</f>
        <v/>
      </c>
      <c r="V37" s="201" t="str">
        <f ca="1">IFERROR((Inv_SY_B!V38/Inv_SY_B!$Z38)-1,"")</f>
        <v/>
      </c>
      <c r="W37" s="201" t="str">
        <f ca="1">IFERROR((Inv_SY_B!W38/Inv_SY_B!$Z38)-1,"")</f>
        <v/>
      </c>
      <c r="X37" s="201" t="str">
        <f ca="1">IFERROR((Inv_SY_B!X38/Inv_SY_B!$Z38)-1,"")</f>
        <v/>
      </c>
      <c r="Y37" s="201" t="str">
        <f ca="1">IFERROR((Inv_SY_B!Y38/Inv_SY_B!$Z38)-1,"")</f>
        <v/>
      </c>
    </row>
    <row r="38" spans="2:25">
      <c r="B38" s="199">
        <f t="shared" ca="1" si="1"/>
        <v>45827</v>
      </c>
      <c r="C38" s="201" t="str">
        <f ca="1">IFERROR((Inv_SY_B!C39/Inv_SY_B!$Z39)-1,"")</f>
        <v/>
      </c>
      <c r="D38" s="201" t="str">
        <f ca="1">IFERROR((Inv_SY_B!D39/Inv_SY_B!$Z39)-1,"")</f>
        <v/>
      </c>
      <c r="E38" s="201" t="str">
        <f ca="1">IFERROR((Inv_SY_B!E39/Inv_SY_B!$Z39)-1,"")</f>
        <v/>
      </c>
      <c r="F38" s="201" t="str">
        <f ca="1">IFERROR((Inv_SY_B!F39/Inv_SY_B!$Z39)-1,"")</f>
        <v/>
      </c>
      <c r="G38" s="201" t="str">
        <f ca="1">IFERROR((Inv_SY_B!G39/Inv_SY_B!$Z39)-1,"")</f>
        <v/>
      </c>
      <c r="H38" s="201" t="str">
        <f ca="1">IFERROR((Inv_SY_B!H39/Inv_SY_B!$Z39)-1,"")</f>
        <v/>
      </c>
      <c r="I38" s="201" t="str">
        <f ca="1">IFERROR((Inv_SY_B!I39/Inv_SY_B!$Z39)-1,"")</f>
        <v/>
      </c>
      <c r="J38" s="201" t="str">
        <f ca="1">IFERROR((Inv_SY_B!J39/Inv_SY_B!$Z39)-1,"")</f>
        <v/>
      </c>
      <c r="K38" s="201" t="str">
        <f ca="1">IFERROR((Inv_SY_B!K39/Inv_SY_B!$Z39)-1,"")</f>
        <v/>
      </c>
      <c r="L38" s="201" t="str">
        <f ca="1">IFERROR((Inv_SY_B!L39/Inv_SY_B!$Z39)-1,"")</f>
        <v/>
      </c>
      <c r="M38" s="201" t="str">
        <f ca="1">IFERROR((Inv_SY_B!M39/Inv_SY_B!$Z39)-1,"")</f>
        <v/>
      </c>
      <c r="N38" s="201" t="str">
        <f ca="1">IFERROR((Inv_SY_B!N39/Inv_SY_B!$Z39)-1,"")</f>
        <v/>
      </c>
      <c r="O38" s="201" t="str">
        <f ca="1">IFERROR((Inv_SY_B!O39/Inv_SY_B!$Z39)-1,"")</f>
        <v/>
      </c>
      <c r="P38" s="201" t="str">
        <f ca="1">IFERROR((Inv_SY_B!P39/Inv_SY_B!$Z39)-1,"")</f>
        <v/>
      </c>
      <c r="Q38" s="201" t="str">
        <f ca="1">IFERROR((Inv_SY_B!Q39/Inv_SY_B!$Z39)-1,"")</f>
        <v/>
      </c>
      <c r="R38" s="201" t="str">
        <f ca="1">IFERROR((Inv_SY_B!R39/Inv_SY_B!$Z39)-1,"")</f>
        <v/>
      </c>
      <c r="S38" s="201" t="str">
        <f ca="1">IFERROR((Inv_SY_B!S39/Inv_SY_B!$Z39)-1,"")</f>
        <v/>
      </c>
      <c r="T38" s="201" t="str">
        <f ca="1">IFERROR((Inv_SY_B!T39/Inv_SY_B!$Z39)-1,"")</f>
        <v/>
      </c>
      <c r="U38" s="201" t="str">
        <f ca="1">IFERROR((Inv_SY_B!U39/Inv_SY_B!$Z39)-1,"")</f>
        <v/>
      </c>
      <c r="V38" s="201" t="str">
        <f ca="1">IFERROR((Inv_SY_B!V39/Inv_SY_B!$Z39)-1,"")</f>
        <v/>
      </c>
      <c r="W38" s="201" t="str">
        <f ca="1">IFERROR((Inv_SY_B!W39/Inv_SY_B!$Z39)-1,"")</f>
        <v/>
      </c>
      <c r="X38" s="201" t="str">
        <f ca="1">IFERROR((Inv_SY_B!X39/Inv_SY_B!$Z39)-1,"")</f>
        <v/>
      </c>
      <c r="Y38" s="201" t="str">
        <f ca="1">IFERROR((Inv_SY_B!Y39/Inv_SY_B!$Z39)-1,"")</f>
        <v/>
      </c>
    </row>
    <row r="39" spans="2:25">
      <c r="B39" s="199">
        <f t="shared" ca="1" si="1"/>
        <v>45828</v>
      </c>
      <c r="C39" s="201" t="str">
        <f ca="1">IFERROR((Inv_SY_B!C40/Inv_SY_B!$Z40)-1,"")</f>
        <v/>
      </c>
      <c r="D39" s="201" t="str">
        <f ca="1">IFERROR((Inv_SY_B!D40/Inv_SY_B!$Z40)-1,"")</f>
        <v/>
      </c>
      <c r="E39" s="201" t="str">
        <f ca="1">IFERROR((Inv_SY_B!E40/Inv_SY_B!$Z40)-1,"")</f>
        <v/>
      </c>
      <c r="F39" s="201" t="str">
        <f ca="1">IFERROR((Inv_SY_B!F40/Inv_SY_B!$Z40)-1,"")</f>
        <v/>
      </c>
      <c r="G39" s="201" t="str">
        <f ca="1">IFERROR((Inv_SY_B!G40/Inv_SY_B!$Z40)-1,"")</f>
        <v/>
      </c>
      <c r="H39" s="201" t="str">
        <f ca="1">IFERROR((Inv_SY_B!H40/Inv_SY_B!$Z40)-1,"")</f>
        <v/>
      </c>
      <c r="I39" s="201" t="str">
        <f ca="1">IFERROR((Inv_SY_B!I40/Inv_SY_B!$Z40)-1,"")</f>
        <v/>
      </c>
      <c r="J39" s="201" t="str">
        <f ca="1">IFERROR((Inv_SY_B!J40/Inv_SY_B!$Z40)-1,"")</f>
        <v/>
      </c>
      <c r="K39" s="201" t="str">
        <f ca="1">IFERROR((Inv_SY_B!K40/Inv_SY_B!$Z40)-1,"")</f>
        <v/>
      </c>
      <c r="L39" s="201" t="str">
        <f ca="1">IFERROR((Inv_SY_B!L40/Inv_SY_B!$Z40)-1,"")</f>
        <v/>
      </c>
      <c r="M39" s="201" t="str">
        <f ca="1">IFERROR((Inv_SY_B!M40/Inv_SY_B!$Z40)-1,"")</f>
        <v/>
      </c>
      <c r="N39" s="201" t="str">
        <f ca="1">IFERROR((Inv_SY_B!N40/Inv_SY_B!$Z40)-1,"")</f>
        <v/>
      </c>
      <c r="O39" s="201" t="str">
        <f ca="1">IFERROR((Inv_SY_B!O40/Inv_SY_B!$Z40)-1,"")</f>
        <v/>
      </c>
      <c r="P39" s="201" t="str">
        <f ca="1">IFERROR((Inv_SY_B!P40/Inv_SY_B!$Z40)-1,"")</f>
        <v/>
      </c>
      <c r="Q39" s="201" t="str">
        <f ca="1">IFERROR((Inv_SY_B!Q40/Inv_SY_B!$Z40)-1,"")</f>
        <v/>
      </c>
      <c r="R39" s="201" t="str">
        <f ca="1">IFERROR((Inv_SY_B!R40/Inv_SY_B!$Z40)-1,"")</f>
        <v/>
      </c>
      <c r="S39" s="201" t="str">
        <f ca="1">IFERROR((Inv_SY_B!S40/Inv_SY_B!$Z40)-1,"")</f>
        <v/>
      </c>
      <c r="T39" s="201" t="str">
        <f ca="1">IFERROR((Inv_SY_B!T40/Inv_SY_B!$Z40)-1,"")</f>
        <v/>
      </c>
      <c r="U39" s="201" t="str">
        <f ca="1">IFERROR((Inv_SY_B!U40/Inv_SY_B!$Z40)-1,"")</f>
        <v/>
      </c>
      <c r="V39" s="201" t="str">
        <f ca="1">IFERROR((Inv_SY_B!V40/Inv_SY_B!$Z40)-1,"")</f>
        <v/>
      </c>
      <c r="W39" s="201" t="str">
        <f ca="1">IFERROR((Inv_SY_B!W40/Inv_SY_B!$Z40)-1,"")</f>
        <v/>
      </c>
      <c r="X39" s="201" t="str">
        <f ca="1">IFERROR((Inv_SY_B!X40/Inv_SY_B!$Z40)-1,"")</f>
        <v/>
      </c>
      <c r="Y39" s="201" t="str">
        <f ca="1">IFERROR((Inv_SY_B!Y40/Inv_SY_B!$Z40)-1,"")</f>
        <v/>
      </c>
    </row>
    <row r="40" spans="2:25">
      <c r="B40" s="199">
        <f t="shared" ca="1" si="1"/>
        <v>45829</v>
      </c>
      <c r="C40" s="201" t="str">
        <f ca="1">IFERROR((Inv_SY_B!C41/Inv_SY_B!$Z41)-1,"")</f>
        <v/>
      </c>
      <c r="D40" s="201" t="str">
        <f ca="1">IFERROR((Inv_SY_B!D41/Inv_SY_B!$Z41)-1,"")</f>
        <v/>
      </c>
      <c r="E40" s="201" t="str">
        <f ca="1">IFERROR((Inv_SY_B!E41/Inv_SY_B!$Z41)-1,"")</f>
        <v/>
      </c>
      <c r="F40" s="201" t="str">
        <f ca="1">IFERROR((Inv_SY_B!F41/Inv_SY_B!$Z41)-1,"")</f>
        <v/>
      </c>
      <c r="G40" s="201" t="str">
        <f ca="1">IFERROR((Inv_SY_B!G41/Inv_SY_B!$Z41)-1,"")</f>
        <v/>
      </c>
      <c r="H40" s="201" t="str">
        <f ca="1">IFERROR((Inv_SY_B!H41/Inv_SY_B!$Z41)-1,"")</f>
        <v/>
      </c>
      <c r="I40" s="201" t="str">
        <f ca="1">IFERROR((Inv_SY_B!I41/Inv_SY_B!$Z41)-1,"")</f>
        <v/>
      </c>
      <c r="J40" s="201" t="str">
        <f ca="1">IFERROR((Inv_SY_B!J41/Inv_SY_B!$Z41)-1,"")</f>
        <v/>
      </c>
      <c r="K40" s="201" t="str">
        <f ca="1">IFERROR((Inv_SY_B!K41/Inv_SY_B!$Z41)-1,"")</f>
        <v/>
      </c>
      <c r="L40" s="201" t="str">
        <f ca="1">IFERROR((Inv_SY_B!L41/Inv_SY_B!$Z41)-1,"")</f>
        <v/>
      </c>
      <c r="M40" s="201" t="str">
        <f ca="1">IFERROR((Inv_SY_B!M41/Inv_SY_B!$Z41)-1,"")</f>
        <v/>
      </c>
      <c r="N40" s="201" t="str">
        <f ca="1">IFERROR((Inv_SY_B!N41/Inv_SY_B!$Z41)-1,"")</f>
        <v/>
      </c>
      <c r="O40" s="201" t="str">
        <f ca="1">IFERROR((Inv_SY_B!O41/Inv_SY_B!$Z41)-1,"")</f>
        <v/>
      </c>
      <c r="P40" s="201" t="str">
        <f ca="1">IFERROR((Inv_SY_B!P41/Inv_SY_B!$Z41)-1,"")</f>
        <v/>
      </c>
      <c r="Q40" s="201" t="str">
        <f ca="1">IFERROR((Inv_SY_B!Q41/Inv_SY_B!$Z41)-1,"")</f>
        <v/>
      </c>
      <c r="R40" s="201" t="str">
        <f ca="1">IFERROR((Inv_SY_B!R41/Inv_SY_B!$Z41)-1,"")</f>
        <v/>
      </c>
      <c r="S40" s="201" t="str">
        <f ca="1">IFERROR((Inv_SY_B!S41/Inv_SY_B!$Z41)-1,"")</f>
        <v/>
      </c>
      <c r="T40" s="201" t="str">
        <f ca="1">IFERROR((Inv_SY_B!T41/Inv_SY_B!$Z41)-1,"")</f>
        <v/>
      </c>
      <c r="U40" s="201" t="str">
        <f ca="1">IFERROR((Inv_SY_B!U41/Inv_SY_B!$Z41)-1,"")</f>
        <v/>
      </c>
      <c r="V40" s="201" t="str">
        <f ca="1">IFERROR((Inv_SY_B!V41/Inv_SY_B!$Z41)-1,"")</f>
        <v/>
      </c>
      <c r="W40" s="201" t="str">
        <f ca="1">IFERROR((Inv_SY_B!W41/Inv_SY_B!$Z41)-1,"")</f>
        <v/>
      </c>
      <c r="X40" s="201" t="str">
        <f ca="1">IFERROR((Inv_SY_B!X41/Inv_SY_B!$Z41)-1,"")</f>
        <v/>
      </c>
      <c r="Y40" s="201" t="str">
        <f ca="1">IFERROR((Inv_SY_B!Y41/Inv_SY_B!$Z41)-1,"")</f>
        <v/>
      </c>
    </row>
    <row r="41" spans="2:25">
      <c r="B41" s="199">
        <f t="shared" ca="1" si="1"/>
        <v>45830</v>
      </c>
      <c r="C41" s="201" t="str">
        <f ca="1">IFERROR((Inv_SY_B!C42/Inv_SY_B!$Z42)-1,"")</f>
        <v/>
      </c>
      <c r="D41" s="201" t="str">
        <f ca="1">IFERROR((Inv_SY_B!D42/Inv_SY_B!$Z42)-1,"")</f>
        <v/>
      </c>
      <c r="E41" s="201" t="str">
        <f ca="1">IFERROR((Inv_SY_B!E42/Inv_SY_B!$Z42)-1,"")</f>
        <v/>
      </c>
      <c r="F41" s="201" t="str">
        <f ca="1">IFERROR((Inv_SY_B!F42/Inv_SY_B!$Z42)-1,"")</f>
        <v/>
      </c>
      <c r="G41" s="201" t="str">
        <f ca="1">IFERROR((Inv_SY_B!G42/Inv_SY_B!$Z42)-1,"")</f>
        <v/>
      </c>
      <c r="H41" s="201" t="str">
        <f ca="1">IFERROR((Inv_SY_B!H42/Inv_SY_B!$Z42)-1,"")</f>
        <v/>
      </c>
      <c r="I41" s="201" t="str">
        <f ca="1">IFERROR((Inv_SY_B!I42/Inv_SY_B!$Z42)-1,"")</f>
        <v/>
      </c>
      <c r="J41" s="201" t="str">
        <f ca="1">IFERROR((Inv_SY_B!J42/Inv_SY_B!$Z42)-1,"")</f>
        <v/>
      </c>
      <c r="K41" s="201" t="str">
        <f ca="1">IFERROR((Inv_SY_B!K42/Inv_SY_B!$Z42)-1,"")</f>
        <v/>
      </c>
      <c r="L41" s="201" t="str">
        <f ca="1">IFERROR((Inv_SY_B!L42/Inv_SY_B!$Z42)-1,"")</f>
        <v/>
      </c>
      <c r="M41" s="201" t="str">
        <f ca="1">IFERROR((Inv_SY_B!M42/Inv_SY_B!$Z42)-1,"")</f>
        <v/>
      </c>
      <c r="N41" s="201" t="str">
        <f ca="1">IFERROR((Inv_SY_B!N42/Inv_SY_B!$Z42)-1,"")</f>
        <v/>
      </c>
      <c r="O41" s="201" t="str">
        <f ca="1">IFERROR((Inv_SY_B!O42/Inv_SY_B!$Z42)-1,"")</f>
        <v/>
      </c>
      <c r="P41" s="201" t="str">
        <f ca="1">IFERROR((Inv_SY_B!P42/Inv_SY_B!$Z42)-1,"")</f>
        <v/>
      </c>
      <c r="Q41" s="201" t="str">
        <f ca="1">IFERROR((Inv_SY_B!Q42/Inv_SY_B!$Z42)-1,"")</f>
        <v/>
      </c>
      <c r="R41" s="201" t="str">
        <f ca="1">IFERROR((Inv_SY_B!R42/Inv_SY_B!$Z42)-1,"")</f>
        <v/>
      </c>
      <c r="S41" s="201" t="str">
        <f ca="1">IFERROR((Inv_SY_B!S42/Inv_SY_B!$Z42)-1,"")</f>
        <v/>
      </c>
      <c r="T41" s="201" t="str">
        <f ca="1">IFERROR((Inv_SY_B!T42/Inv_SY_B!$Z42)-1,"")</f>
        <v/>
      </c>
      <c r="U41" s="201" t="str">
        <f ca="1">IFERROR((Inv_SY_B!U42/Inv_SY_B!$Z42)-1,"")</f>
        <v/>
      </c>
      <c r="V41" s="201" t="str">
        <f ca="1">IFERROR((Inv_SY_B!V42/Inv_SY_B!$Z42)-1,"")</f>
        <v/>
      </c>
      <c r="W41" s="201" t="str">
        <f ca="1">IFERROR((Inv_SY_B!W42/Inv_SY_B!$Z42)-1,"")</f>
        <v/>
      </c>
      <c r="X41" s="201" t="str">
        <f ca="1">IFERROR((Inv_SY_B!X42/Inv_SY_B!$Z42)-1,"")</f>
        <v/>
      </c>
      <c r="Y41" s="201" t="str">
        <f ca="1">IFERROR((Inv_SY_B!Y42/Inv_SY_B!$Z42)-1,"")</f>
        <v/>
      </c>
    </row>
    <row r="42" spans="2:25">
      <c r="B42" s="199">
        <f t="shared" ca="1" si="1"/>
        <v>45831</v>
      </c>
      <c r="C42" s="201" t="str">
        <f ca="1">IFERROR((Inv_SY_B!C43/Inv_SY_B!$Z43)-1,"")</f>
        <v/>
      </c>
      <c r="D42" s="201" t="str">
        <f ca="1">IFERROR((Inv_SY_B!D43/Inv_SY_B!$Z43)-1,"")</f>
        <v/>
      </c>
      <c r="E42" s="201" t="str">
        <f ca="1">IFERROR((Inv_SY_B!E43/Inv_SY_B!$Z43)-1,"")</f>
        <v/>
      </c>
      <c r="F42" s="201" t="str">
        <f ca="1">IFERROR((Inv_SY_B!F43/Inv_SY_B!$Z43)-1,"")</f>
        <v/>
      </c>
      <c r="G42" s="201" t="str">
        <f ca="1">IFERROR((Inv_SY_B!G43/Inv_SY_B!$Z43)-1,"")</f>
        <v/>
      </c>
      <c r="H42" s="201" t="str">
        <f ca="1">IFERROR((Inv_SY_B!H43/Inv_SY_B!$Z43)-1,"")</f>
        <v/>
      </c>
      <c r="I42" s="201" t="str">
        <f ca="1">IFERROR((Inv_SY_B!I43/Inv_SY_B!$Z43)-1,"")</f>
        <v/>
      </c>
      <c r="J42" s="201" t="str">
        <f ca="1">IFERROR((Inv_SY_B!J43/Inv_SY_B!$Z43)-1,"")</f>
        <v/>
      </c>
      <c r="K42" s="201" t="str">
        <f ca="1">IFERROR((Inv_SY_B!K43/Inv_SY_B!$Z43)-1,"")</f>
        <v/>
      </c>
      <c r="L42" s="201" t="str">
        <f ca="1">IFERROR((Inv_SY_B!L43/Inv_SY_B!$Z43)-1,"")</f>
        <v/>
      </c>
      <c r="M42" s="201" t="str">
        <f ca="1">IFERROR((Inv_SY_B!M43/Inv_SY_B!$Z43)-1,"")</f>
        <v/>
      </c>
      <c r="N42" s="201" t="str">
        <f ca="1">IFERROR((Inv_SY_B!N43/Inv_SY_B!$Z43)-1,"")</f>
        <v/>
      </c>
      <c r="O42" s="201" t="str">
        <f ca="1">IFERROR((Inv_SY_B!O43/Inv_SY_B!$Z43)-1,"")</f>
        <v/>
      </c>
      <c r="P42" s="201" t="str">
        <f ca="1">IFERROR((Inv_SY_B!P43/Inv_SY_B!$Z43)-1,"")</f>
        <v/>
      </c>
      <c r="Q42" s="201" t="str">
        <f ca="1">IFERROR((Inv_SY_B!Q43/Inv_SY_B!$Z43)-1,"")</f>
        <v/>
      </c>
      <c r="R42" s="201" t="str">
        <f ca="1">IFERROR((Inv_SY_B!R43/Inv_SY_B!$Z43)-1,"")</f>
        <v/>
      </c>
      <c r="S42" s="201" t="str">
        <f ca="1">IFERROR((Inv_SY_B!S43/Inv_SY_B!$Z43)-1,"")</f>
        <v/>
      </c>
      <c r="T42" s="201" t="str">
        <f ca="1">IFERROR((Inv_SY_B!T43/Inv_SY_B!$Z43)-1,"")</f>
        <v/>
      </c>
      <c r="U42" s="201" t="str">
        <f ca="1">IFERROR((Inv_SY_B!U43/Inv_SY_B!$Z43)-1,"")</f>
        <v/>
      </c>
      <c r="V42" s="201" t="str">
        <f ca="1">IFERROR((Inv_SY_B!V43/Inv_SY_B!$Z43)-1,"")</f>
        <v/>
      </c>
      <c r="W42" s="201" t="str">
        <f ca="1">IFERROR((Inv_SY_B!W43/Inv_SY_B!$Z43)-1,"")</f>
        <v/>
      </c>
      <c r="X42" s="201" t="str">
        <f ca="1">IFERROR((Inv_SY_B!X43/Inv_SY_B!$Z43)-1,"")</f>
        <v/>
      </c>
      <c r="Y42" s="201" t="str">
        <f ca="1">IFERROR((Inv_SY_B!Y43/Inv_SY_B!$Z43)-1,"")</f>
        <v/>
      </c>
    </row>
    <row r="43" spans="2:25">
      <c r="B43" s="199">
        <f t="shared" ca="1" si="1"/>
        <v>45832</v>
      </c>
      <c r="C43" s="201" t="str">
        <f ca="1">IFERROR((Inv_SY_B!C44/Inv_SY_B!$Z44)-1,"")</f>
        <v/>
      </c>
      <c r="D43" s="201" t="str">
        <f ca="1">IFERROR((Inv_SY_B!D44/Inv_SY_B!$Z44)-1,"")</f>
        <v/>
      </c>
      <c r="E43" s="201" t="str">
        <f ca="1">IFERROR((Inv_SY_B!E44/Inv_SY_B!$Z44)-1,"")</f>
        <v/>
      </c>
      <c r="F43" s="201" t="str">
        <f ca="1">IFERROR((Inv_SY_B!F44/Inv_SY_B!$Z44)-1,"")</f>
        <v/>
      </c>
      <c r="G43" s="201" t="str">
        <f ca="1">IFERROR((Inv_SY_B!G44/Inv_SY_B!$Z44)-1,"")</f>
        <v/>
      </c>
      <c r="H43" s="201" t="str">
        <f ca="1">IFERROR((Inv_SY_B!H44/Inv_SY_B!$Z44)-1,"")</f>
        <v/>
      </c>
      <c r="I43" s="201" t="str">
        <f ca="1">IFERROR((Inv_SY_B!I44/Inv_SY_B!$Z44)-1,"")</f>
        <v/>
      </c>
      <c r="J43" s="201" t="str">
        <f ca="1">IFERROR((Inv_SY_B!J44/Inv_SY_B!$Z44)-1,"")</f>
        <v/>
      </c>
      <c r="K43" s="201" t="str">
        <f ca="1">IFERROR((Inv_SY_B!K44/Inv_SY_B!$Z44)-1,"")</f>
        <v/>
      </c>
      <c r="L43" s="201" t="str">
        <f ca="1">IFERROR((Inv_SY_B!L44/Inv_SY_B!$Z44)-1,"")</f>
        <v/>
      </c>
      <c r="M43" s="201" t="str">
        <f ca="1">IFERROR((Inv_SY_B!M44/Inv_SY_B!$Z44)-1,"")</f>
        <v/>
      </c>
      <c r="N43" s="201" t="str">
        <f ca="1">IFERROR((Inv_SY_B!N44/Inv_SY_B!$Z44)-1,"")</f>
        <v/>
      </c>
      <c r="O43" s="201" t="str">
        <f ca="1">IFERROR((Inv_SY_B!O44/Inv_SY_B!$Z44)-1,"")</f>
        <v/>
      </c>
      <c r="P43" s="201" t="str">
        <f ca="1">IFERROR((Inv_SY_B!P44/Inv_SY_B!$Z44)-1,"")</f>
        <v/>
      </c>
      <c r="Q43" s="201" t="str">
        <f ca="1">IFERROR((Inv_SY_B!Q44/Inv_SY_B!$Z44)-1,"")</f>
        <v/>
      </c>
      <c r="R43" s="201" t="str">
        <f ca="1">IFERROR((Inv_SY_B!R44/Inv_SY_B!$Z44)-1,"")</f>
        <v/>
      </c>
      <c r="S43" s="201" t="str">
        <f ca="1">IFERROR((Inv_SY_B!S44/Inv_SY_B!$Z44)-1,"")</f>
        <v/>
      </c>
      <c r="T43" s="201" t="str">
        <f ca="1">IFERROR((Inv_SY_B!T44/Inv_SY_B!$Z44)-1,"")</f>
        <v/>
      </c>
      <c r="U43" s="201" t="str">
        <f ca="1">IFERROR((Inv_SY_B!U44/Inv_SY_B!$Z44)-1,"")</f>
        <v/>
      </c>
      <c r="V43" s="201" t="str">
        <f ca="1">IFERROR((Inv_SY_B!V44/Inv_SY_B!$Z44)-1,"")</f>
        <v/>
      </c>
      <c r="W43" s="201" t="str">
        <f ca="1">IFERROR((Inv_SY_B!W44/Inv_SY_B!$Z44)-1,"")</f>
        <v/>
      </c>
      <c r="X43" s="201" t="str">
        <f ca="1">IFERROR((Inv_SY_B!X44/Inv_SY_B!$Z44)-1,"")</f>
        <v/>
      </c>
      <c r="Y43" s="201" t="str">
        <f ca="1">IFERROR((Inv_SY_B!Y44/Inv_SY_B!$Z44)-1,"")</f>
        <v/>
      </c>
    </row>
    <row r="44" spans="2:25">
      <c r="B44" s="199">
        <f t="shared" ca="1" si="1"/>
        <v>45833</v>
      </c>
      <c r="C44" s="201" t="str">
        <f ca="1">IFERROR((Inv_SY_B!C45/Inv_SY_B!$Z45)-1,"")</f>
        <v/>
      </c>
      <c r="D44" s="201" t="str">
        <f ca="1">IFERROR((Inv_SY_B!D45/Inv_SY_B!$Z45)-1,"")</f>
        <v/>
      </c>
      <c r="E44" s="201" t="str">
        <f ca="1">IFERROR((Inv_SY_B!E45/Inv_SY_B!$Z45)-1,"")</f>
        <v/>
      </c>
      <c r="F44" s="201" t="str">
        <f ca="1">IFERROR((Inv_SY_B!F45/Inv_SY_B!$Z45)-1,"")</f>
        <v/>
      </c>
      <c r="G44" s="201" t="str">
        <f ca="1">IFERROR((Inv_SY_B!G45/Inv_SY_B!$Z45)-1,"")</f>
        <v/>
      </c>
      <c r="H44" s="201" t="str">
        <f ca="1">IFERROR((Inv_SY_B!H45/Inv_SY_B!$Z45)-1,"")</f>
        <v/>
      </c>
      <c r="I44" s="201" t="str">
        <f ca="1">IFERROR((Inv_SY_B!I45/Inv_SY_B!$Z45)-1,"")</f>
        <v/>
      </c>
      <c r="J44" s="201" t="str">
        <f ca="1">IFERROR((Inv_SY_B!J45/Inv_SY_B!$Z45)-1,"")</f>
        <v/>
      </c>
      <c r="K44" s="201" t="str">
        <f ca="1">IFERROR((Inv_SY_B!K45/Inv_SY_B!$Z45)-1,"")</f>
        <v/>
      </c>
      <c r="L44" s="201" t="str">
        <f ca="1">IFERROR((Inv_SY_B!L45/Inv_SY_B!$Z45)-1,"")</f>
        <v/>
      </c>
      <c r="M44" s="201" t="str">
        <f ca="1">IFERROR((Inv_SY_B!M45/Inv_SY_B!$Z45)-1,"")</f>
        <v/>
      </c>
      <c r="N44" s="201" t="str">
        <f ca="1">IFERROR((Inv_SY_B!N45/Inv_SY_B!$Z45)-1,"")</f>
        <v/>
      </c>
      <c r="O44" s="201" t="str">
        <f ca="1">IFERROR((Inv_SY_B!O45/Inv_SY_B!$Z45)-1,"")</f>
        <v/>
      </c>
      <c r="P44" s="201" t="str">
        <f ca="1">IFERROR((Inv_SY_B!P45/Inv_SY_B!$Z45)-1,"")</f>
        <v/>
      </c>
      <c r="Q44" s="201" t="str">
        <f ca="1">IFERROR((Inv_SY_B!Q45/Inv_SY_B!$Z45)-1,"")</f>
        <v/>
      </c>
      <c r="R44" s="201" t="str">
        <f ca="1">IFERROR((Inv_SY_B!R45/Inv_SY_B!$Z45)-1,"")</f>
        <v/>
      </c>
      <c r="S44" s="201" t="str">
        <f ca="1">IFERROR((Inv_SY_B!S45/Inv_SY_B!$Z45)-1,"")</f>
        <v/>
      </c>
      <c r="T44" s="201" t="str">
        <f ca="1">IFERROR((Inv_SY_B!T45/Inv_SY_B!$Z45)-1,"")</f>
        <v/>
      </c>
      <c r="U44" s="201" t="str">
        <f ca="1">IFERROR((Inv_SY_B!U45/Inv_SY_B!$Z45)-1,"")</f>
        <v/>
      </c>
      <c r="V44" s="201" t="str">
        <f ca="1">IFERROR((Inv_SY_B!V45/Inv_SY_B!$Z45)-1,"")</f>
        <v/>
      </c>
      <c r="W44" s="201" t="str">
        <f ca="1">IFERROR((Inv_SY_B!W45/Inv_SY_B!$Z45)-1,"")</f>
        <v/>
      </c>
      <c r="X44" s="201" t="str">
        <f ca="1">IFERROR((Inv_SY_B!X45/Inv_SY_B!$Z45)-1,"")</f>
        <v/>
      </c>
      <c r="Y44" s="201" t="str">
        <f ca="1">IFERROR((Inv_SY_B!Y45/Inv_SY_B!$Z45)-1,"")</f>
        <v/>
      </c>
    </row>
    <row r="45" spans="2:25">
      <c r="B45" s="199">
        <f t="shared" ca="1" si="1"/>
        <v>45834</v>
      </c>
      <c r="C45" s="201" t="str">
        <f ca="1">IFERROR((Inv_SY_B!C46/Inv_SY_B!$Z46)-1,"")</f>
        <v/>
      </c>
      <c r="D45" s="201" t="str">
        <f ca="1">IFERROR((Inv_SY_B!D46/Inv_SY_B!$Z46)-1,"")</f>
        <v/>
      </c>
      <c r="E45" s="201" t="str">
        <f ca="1">IFERROR((Inv_SY_B!E46/Inv_SY_B!$Z46)-1,"")</f>
        <v/>
      </c>
      <c r="F45" s="201" t="str">
        <f ca="1">IFERROR((Inv_SY_B!F46/Inv_SY_B!$Z46)-1,"")</f>
        <v/>
      </c>
      <c r="G45" s="201" t="str">
        <f ca="1">IFERROR((Inv_SY_B!G46/Inv_SY_B!$Z46)-1,"")</f>
        <v/>
      </c>
      <c r="H45" s="201" t="str">
        <f ca="1">IFERROR((Inv_SY_B!H46/Inv_SY_B!$Z46)-1,"")</f>
        <v/>
      </c>
      <c r="I45" s="201" t="str">
        <f ca="1">IFERROR((Inv_SY_B!I46/Inv_SY_B!$Z46)-1,"")</f>
        <v/>
      </c>
      <c r="J45" s="201" t="str">
        <f ca="1">IFERROR((Inv_SY_B!J46/Inv_SY_B!$Z46)-1,"")</f>
        <v/>
      </c>
      <c r="K45" s="201" t="str">
        <f ca="1">IFERROR((Inv_SY_B!K46/Inv_SY_B!$Z46)-1,"")</f>
        <v/>
      </c>
      <c r="L45" s="201" t="str">
        <f ca="1">IFERROR((Inv_SY_B!L46/Inv_SY_B!$Z46)-1,"")</f>
        <v/>
      </c>
      <c r="M45" s="201" t="str">
        <f ca="1">IFERROR((Inv_SY_B!M46/Inv_SY_B!$Z46)-1,"")</f>
        <v/>
      </c>
      <c r="N45" s="201" t="str">
        <f ca="1">IFERROR((Inv_SY_B!N46/Inv_SY_B!$Z46)-1,"")</f>
        <v/>
      </c>
      <c r="O45" s="201" t="str">
        <f ca="1">IFERROR((Inv_SY_B!O46/Inv_SY_B!$Z46)-1,"")</f>
        <v/>
      </c>
      <c r="P45" s="201" t="str">
        <f ca="1">IFERROR((Inv_SY_B!P46/Inv_SY_B!$Z46)-1,"")</f>
        <v/>
      </c>
      <c r="Q45" s="201" t="str">
        <f ca="1">IFERROR((Inv_SY_B!Q46/Inv_SY_B!$Z46)-1,"")</f>
        <v/>
      </c>
      <c r="R45" s="201" t="str">
        <f ca="1">IFERROR((Inv_SY_B!R46/Inv_SY_B!$Z46)-1,"")</f>
        <v/>
      </c>
      <c r="S45" s="201" t="str">
        <f ca="1">IFERROR((Inv_SY_B!S46/Inv_SY_B!$Z46)-1,"")</f>
        <v/>
      </c>
      <c r="T45" s="201" t="str">
        <f ca="1">IFERROR((Inv_SY_B!T46/Inv_SY_B!$Z46)-1,"")</f>
        <v/>
      </c>
      <c r="U45" s="201" t="str">
        <f ca="1">IFERROR((Inv_SY_B!U46/Inv_SY_B!$Z46)-1,"")</f>
        <v/>
      </c>
      <c r="V45" s="201" t="str">
        <f ca="1">IFERROR((Inv_SY_B!V46/Inv_SY_B!$Z46)-1,"")</f>
        <v/>
      </c>
      <c r="W45" s="201" t="str">
        <f ca="1">IFERROR((Inv_SY_B!W46/Inv_SY_B!$Z46)-1,"")</f>
        <v/>
      </c>
      <c r="X45" s="201" t="str">
        <f ca="1">IFERROR((Inv_SY_B!X46/Inv_SY_B!$Z46)-1,"")</f>
        <v/>
      </c>
      <c r="Y45" s="201" t="str">
        <f ca="1">IFERROR((Inv_SY_B!Y46/Inv_SY_B!$Z46)-1,"")</f>
        <v/>
      </c>
    </row>
    <row r="46" spans="2:25">
      <c r="B46" s="199">
        <f t="shared" ca="1" si="1"/>
        <v>45835</v>
      </c>
      <c r="C46" s="201" t="str">
        <f ca="1">IFERROR((Inv_SY_B!C47/Inv_SY_B!$Z47)-1,"")</f>
        <v/>
      </c>
      <c r="D46" s="201" t="str">
        <f ca="1">IFERROR((Inv_SY_B!D47/Inv_SY_B!$Z47)-1,"")</f>
        <v/>
      </c>
      <c r="E46" s="201" t="str">
        <f ca="1">IFERROR((Inv_SY_B!E47/Inv_SY_B!$Z47)-1,"")</f>
        <v/>
      </c>
      <c r="F46" s="201" t="str">
        <f ca="1">IFERROR((Inv_SY_B!F47/Inv_SY_B!$Z47)-1,"")</f>
        <v/>
      </c>
      <c r="G46" s="201" t="str">
        <f ca="1">IFERROR((Inv_SY_B!G47/Inv_SY_B!$Z47)-1,"")</f>
        <v/>
      </c>
      <c r="H46" s="201" t="str">
        <f ca="1">IFERROR((Inv_SY_B!H47/Inv_SY_B!$Z47)-1,"")</f>
        <v/>
      </c>
      <c r="I46" s="201" t="str">
        <f ca="1">IFERROR((Inv_SY_B!I47/Inv_SY_B!$Z47)-1,"")</f>
        <v/>
      </c>
      <c r="J46" s="201" t="str">
        <f ca="1">IFERROR((Inv_SY_B!J47/Inv_SY_B!$Z47)-1,"")</f>
        <v/>
      </c>
      <c r="K46" s="201" t="str">
        <f ca="1">IFERROR((Inv_SY_B!K47/Inv_SY_B!$Z47)-1,"")</f>
        <v/>
      </c>
      <c r="L46" s="201" t="str">
        <f ca="1">IFERROR((Inv_SY_B!L47/Inv_SY_B!$Z47)-1,"")</f>
        <v/>
      </c>
      <c r="M46" s="201" t="str">
        <f ca="1">IFERROR((Inv_SY_B!M47/Inv_SY_B!$Z47)-1,"")</f>
        <v/>
      </c>
      <c r="N46" s="201" t="str">
        <f ca="1">IFERROR((Inv_SY_B!N47/Inv_SY_B!$Z47)-1,"")</f>
        <v/>
      </c>
      <c r="O46" s="201" t="str">
        <f ca="1">IFERROR((Inv_SY_B!O47/Inv_SY_B!$Z47)-1,"")</f>
        <v/>
      </c>
      <c r="P46" s="201" t="str">
        <f ca="1">IFERROR((Inv_SY_B!P47/Inv_SY_B!$Z47)-1,"")</f>
        <v/>
      </c>
      <c r="Q46" s="201" t="str">
        <f ca="1">IFERROR((Inv_SY_B!Q47/Inv_SY_B!$Z47)-1,"")</f>
        <v/>
      </c>
      <c r="R46" s="201" t="str">
        <f ca="1">IFERROR((Inv_SY_B!R47/Inv_SY_B!$Z47)-1,"")</f>
        <v/>
      </c>
      <c r="S46" s="201" t="str">
        <f ca="1">IFERROR((Inv_SY_B!S47/Inv_SY_B!$Z47)-1,"")</f>
        <v/>
      </c>
      <c r="T46" s="201" t="str">
        <f ca="1">IFERROR((Inv_SY_B!T47/Inv_SY_B!$Z47)-1,"")</f>
        <v/>
      </c>
      <c r="U46" s="201" t="str">
        <f ca="1">IFERROR((Inv_SY_B!U47/Inv_SY_B!$Z47)-1,"")</f>
        <v/>
      </c>
      <c r="V46" s="201" t="str">
        <f ca="1">IFERROR((Inv_SY_B!V47/Inv_SY_B!$Z47)-1,"")</f>
        <v/>
      </c>
      <c r="W46" s="201" t="str">
        <f ca="1">IFERROR((Inv_SY_B!W47/Inv_SY_B!$Z47)-1,"")</f>
        <v/>
      </c>
      <c r="X46" s="201" t="str">
        <f ca="1">IFERROR((Inv_SY_B!X47/Inv_SY_B!$Z47)-1,"")</f>
        <v/>
      </c>
      <c r="Y46" s="201" t="str">
        <f ca="1">IFERROR((Inv_SY_B!Y47/Inv_SY_B!$Z47)-1,"")</f>
        <v/>
      </c>
    </row>
    <row r="47" spans="2:25">
      <c r="B47" s="199">
        <f t="shared" ca="1" si="1"/>
        <v>45836</v>
      </c>
      <c r="C47" s="201" t="str">
        <f ca="1">IFERROR((Inv_SY_B!C48/Inv_SY_B!$Z48)-1,"")</f>
        <v/>
      </c>
      <c r="D47" s="201" t="str">
        <f ca="1">IFERROR((Inv_SY_B!D48/Inv_SY_B!$Z48)-1,"")</f>
        <v/>
      </c>
      <c r="E47" s="201" t="str">
        <f ca="1">IFERROR((Inv_SY_B!E48/Inv_SY_B!$Z48)-1,"")</f>
        <v/>
      </c>
      <c r="F47" s="201" t="str">
        <f ca="1">IFERROR((Inv_SY_B!F48/Inv_SY_B!$Z48)-1,"")</f>
        <v/>
      </c>
      <c r="G47" s="201" t="str">
        <f ca="1">IFERROR((Inv_SY_B!G48/Inv_SY_B!$Z48)-1,"")</f>
        <v/>
      </c>
      <c r="H47" s="201" t="str">
        <f ca="1">IFERROR((Inv_SY_B!H48/Inv_SY_B!$Z48)-1,"")</f>
        <v/>
      </c>
      <c r="I47" s="201" t="str">
        <f ca="1">IFERROR((Inv_SY_B!I48/Inv_SY_B!$Z48)-1,"")</f>
        <v/>
      </c>
      <c r="J47" s="201" t="str">
        <f ca="1">IFERROR((Inv_SY_B!J48/Inv_SY_B!$Z48)-1,"")</f>
        <v/>
      </c>
      <c r="K47" s="201" t="str">
        <f ca="1">IFERROR((Inv_SY_B!K48/Inv_SY_B!$Z48)-1,"")</f>
        <v/>
      </c>
      <c r="L47" s="201" t="str">
        <f ca="1">IFERROR((Inv_SY_B!L48/Inv_SY_B!$Z48)-1,"")</f>
        <v/>
      </c>
      <c r="M47" s="201" t="str">
        <f ca="1">IFERROR((Inv_SY_B!M48/Inv_SY_B!$Z48)-1,"")</f>
        <v/>
      </c>
      <c r="N47" s="201" t="str">
        <f ca="1">IFERROR((Inv_SY_B!N48/Inv_SY_B!$Z48)-1,"")</f>
        <v/>
      </c>
      <c r="O47" s="201" t="str">
        <f ca="1">IFERROR((Inv_SY_B!O48/Inv_SY_B!$Z48)-1,"")</f>
        <v/>
      </c>
      <c r="P47" s="201" t="str">
        <f ca="1">IFERROR((Inv_SY_B!P48/Inv_SY_B!$Z48)-1,"")</f>
        <v/>
      </c>
      <c r="Q47" s="201" t="str">
        <f ca="1">IFERROR((Inv_SY_B!Q48/Inv_SY_B!$Z48)-1,"")</f>
        <v/>
      </c>
      <c r="R47" s="201" t="str">
        <f ca="1">IFERROR((Inv_SY_B!R48/Inv_SY_B!$Z48)-1,"")</f>
        <v/>
      </c>
      <c r="S47" s="201" t="str">
        <f ca="1">IFERROR((Inv_SY_B!S48/Inv_SY_B!$Z48)-1,"")</f>
        <v/>
      </c>
      <c r="T47" s="201" t="str">
        <f ca="1">IFERROR((Inv_SY_B!T48/Inv_SY_B!$Z48)-1,"")</f>
        <v/>
      </c>
      <c r="U47" s="201" t="str">
        <f ca="1">IFERROR((Inv_SY_B!U48/Inv_SY_B!$Z48)-1,"")</f>
        <v/>
      </c>
      <c r="V47" s="201" t="str">
        <f ca="1">IFERROR((Inv_SY_B!V48/Inv_SY_B!$Z48)-1,"")</f>
        <v/>
      </c>
      <c r="W47" s="201" t="str">
        <f ca="1">IFERROR((Inv_SY_B!W48/Inv_SY_B!$Z48)-1,"")</f>
        <v/>
      </c>
      <c r="X47" s="201" t="str">
        <f ca="1">IFERROR((Inv_SY_B!X48/Inv_SY_B!$Z48)-1,"")</f>
        <v/>
      </c>
      <c r="Y47" s="201" t="str">
        <f ca="1">IFERROR((Inv_SY_B!Y48/Inv_SY_B!$Z48)-1,"")</f>
        <v/>
      </c>
    </row>
    <row r="48" spans="2:25">
      <c r="B48" s="199">
        <f t="shared" ca="1" si="1"/>
        <v>45837</v>
      </c>
      <c r="C48" s="201" t="str">
        <f ca="1">IFERROR((Inv_SY_B!C49/Inv_SY_B!$Z49)-1,"")</f>
        <v/>
      </c>
      <c r="D48" s="201" t="str">
        <f ca="1">IFERROR((Inv_SY_B!D49/Inv_SY_B!$Z49)-1,"")</f>
        <v/>
      </c>
      <c r="E48" s="201" t="str">
        <f ca="1">IFERROR((Inv_SY_B!E49/Inv_SY_B!$Z49)-1,"")</f>
        <v/>
      </c>
      <c r="F48" s="201" t="str">
        <f ca="1">IFERROR((Inv_SY_B!F49/Inv_SY_B!$Z49)-1,"")</f>
        <v/>
      </c>
      <c r="G48" s="201" t="str">
        <f ca="1">IFERROR((Inv_SY_B!G49/Inv_SY_B!$Z49)-1,"")</f>
        <v/>
      </c>
      <c r="H48" s="201" t="str">
        <f ca="1">IFERROR((Inv_SY_B!H49/Inv_SY_B!$Z49)-1,"")</f>
        <v/>
      </c>
      <c r="I48" s="201" t="str">
        <f ca="1">IFERROR((Inv_SY_B!I49/Inv_SY_B!$Z49)-1,"")</f>
        <v/>
      </c>
      <c r="J48" s="201" t="str">
        <f ca="1">IFERROR((Inv_SY_B!J49/Inv_SY_B!$Z49)-1,"")</f>
        <v/>
      </c>
      <c r="K48" s="201" t="str">
        <f ca="1">IFERROR((Inv_SY_B!K49/Inv_SY_B!$Z49)-1,"")</f>
        <v/>
      </c>
      <c r="L48" s="201" t="str">
        <f ca="1">IFERROR((Inv_SY_B!L49/Inv_SY_B!$Z49)-1,"")</f>
        <v/>
      </c>
      <c r="M48" s="201" t="str">
        <f ca="1">IFERROR((Inv_SY_B!M49/Inv_SY_B!$Z49)-1,"")</f>
        <v/>
      </c>
      <c r="N48" s="201" t="str">
        <f ca="1">IFERROR((Inv_SY_B!N49/Inv_SY_B!$Z49)-1,"")</f>
        <v/>
      </c>
      <c r="O48" s="201" t="str">
        <f ca="1">IFERROR((Inv_SY_B!O49/Inv_SY_B!$Z49)-1,"")</f>
        <v/>
      </c>
      <c r="P48" s="201" t="str">
        <f ca="1">IFERROR((Inv_SY_B!P49/Inv_SY_B!$Z49)-1,"")</f>
        <v/>
      </c>
      <c r="Q48" s="201" t="str">
        <f ca="1">IFERROR((Inv_SY_B!Q49/Inv_SY_B!$Z49)-1,"")</f>
        <v/>
      </c>
      <c r="R48" s="201" t="str">
        <f ca="1">IFERROR((Inv_SY_B!R49/Inv_SY_B!$Z49)-1,"")</f>
        <v/>
      </c>
      <c r="S48" s="201" t="str">
        <f ca="1">IFERROR((Inv_SY_B!S49/Inv_SY_B!$Z49)-1,"")</f>
        <v/>
      </c>
      <c r="T48" s="201" t="str">
        <f ca="1">IFERROR((Inv_SY_B!T49/Inv_SY_B!$Z49)-1,"")</f>
        <v/>
      </c>
      <c r="U48" s="201" t="str">
        <f ca="1">IFERROR((Inv_SY_B!U49/Inv_SY_B!$Z49)-1,"")</f>
        <v/>
      </c>
      <c r="V48" s="201" t="str">
        <f ca="1">IFERROR((Inv_SY_B!V49/Inv_SY_B!$Z49)-1,"")</f>
        <v/>
      </c>
      <c r="W48" s="201" t="str">
        <f ca="1">IFERROR((Inv_SY_B!W49/Inv_SY_B!$Z49)-1,"")</f>
        <v/>
      </c>
      <c r="X48" s="201" t="str">
        <f ca="1">IFERROR((Inv_SY_B!X49/Inv_SY_B!$Z49)-1,"")</f>
        <v/>
      </c>
      <c r="Y48" s="201" t="str">
        <f ca="1">IFERROR((Inv_SY_B!Y49/Inv_SY_B!$Z49)-1,"")</f>
        <v/>
      </c>
    </row>
    <row r="49" spans="2:25">
      <c r="B49" s="199">
        <f t="shared" ca="1" si="1"/>
        <v>45838</v>
      </c>
      <c r="C49" s="201" t="str">
        <f ca="1">IFERROR((Inv_SY_B!C50/Inv_SY_B!$Z50)-1,"")</f>
        <v/>
      </c>
      <c r="D49" s="201" t="str">
        <f ca="1">IFERROR((Inv_SY_B!D50/Inv_SY_B!$Z50)-1,"")</f>
        <v/>
      </c>
      <c r="E49" s="201" t="str">
        <f ca="1">IFERROR((Inv_SY_B!E50/Inv_SY_B!$Z50)-1,"")</f>
        <v/>
      </c>
      <c r="F49" s="201" t="str">
        <f ca="1">IFERROR((Inv_SY_B!F50/Inv_SY_B!$Z50)-1,"")</f>
        <v/>
      </c>
      <c r="G49" s="201" t="str">
        <f ca="1">IFERROR((Inv_SY_B!G50/Inv_SY_B!$Z50)-1,"")</f>
        <v/>
      </c>
      <c r="H49" s="201" t="str">
        <f ca="1">IFERROR((Inv_SY_B!H50/Inv_SY_B!$Z50)-1,"")</f>
        <v/>
      </c>
      <c r="I49" s="201" t="str">
        <f ca="1">IFERROR((Inv_SY_B!I50/Inv_SY_B!$Z50)-1,"")</f>
        <v/>
      </c>
      <c r="J49" s="201" t="str">
        <f ca="1">IFERROR((Inv_SY_B!J50/Inv_SY_B!$Z50)-1,"")</f>
        <v/>
      </c>
      <c r="K49" s="201" t="str">
        <f ca="1">IFERROR((Inv_SY_B!K50/Inv_SY_B!$Z50)-1,"")</f>
        <v/>
      </c>
      <c r="L49" s="201" t="str">
        <f ca="1">IFERROR((Inv_SY_B!L50/Inv_SY_B!$Z50)-1,"")</f>
        <v/>
      </c>
      <c r="M49" s="201" t="str">
        <f ca="1">IFERROR((Inv_SY_B!M50/Inv_SY_B!$Z50)-1,"")</f>
        <v/>
      </c>
      <c r="N49" s="201" t="str">
        <f ca="1">IFERROR((Inv_SY_B!N50/Inv_SY_B!$Z50)-1,"")</f>
        <v/>
      </c>
      <c r="O49" s="201" t="str">
        <f ca="1">IFERROR((Inv_SY_B!O50/Inv_SY_B!$Z50)-1,"")</f>
        <v/>
      </c>
      <c r="P49" s="201" t="str">
        <f ca="1">IFERROR((Inv_SY_B!P50/Inv_SY_B!$Z50)-1,"")</f>
        <v/>
      </c>
      <c r="Q49" s="201" t="str">
        <f ca="1">IFERROR((Inv_SY_B!Q50/Inv_SY_B!$Z50)-1,"")</f>
        <v/>
      </c>
      <c r="R49" s="201" t="str">
        <f ca="1">IFERROR((Inv_SY_B!R50/Inv_SY_B!$Z50)-1,"")</f>
        <v/>
      </c>
      <c r="S49" s="201" t="str">
        <f ca="1">IFERROR((Inv_SY_B!S50/Inv_SY_B!$Z50)-1,"")</f>
        <v/>
      </c>
      <c r="T49" s="201" t="str">
        <f ca="1">IFERROR((Inv_SY_B!T50/Inv_SY_B!$Z50)-1,"")</f>
        <v/>
      </c>
      <c r="U49" s="201" t="str">
        <f ca="1">IFERROR((Inv_SY_B!U50/Inv_SY_B!$Z50)-1,"")</f>
        <v/>
      </c>
      <c r="V49" s="201" t="str">
        <f ca="1">IFERROR((Inv_SY_B!V50/Inv_SY_B!$Z50)-1,"")</f>
        <v/>
      </c>
      <c r="W49" s="201" t="str">
        <f ca="1">IFERROR((Inv_SY_B!W50/Inv_SY_B!$Z50)-1,"")</f>
        <v/>
      </c>
      <c r="X49" s="201" t="str">
        <f ca="1">IFERROR((Inv_SY_B!X50/Inv_SY_B!$Z50)-1,"")</f>
        <v/>
      </c>
      <c r="Y49" s="201" t="str">
        <f ca="1">IFERROR((Inv_SY_B!Y50/Inv_SY_B!$Z50)-1,"")</f>
        <v/>
      </c>
    </row>
    <row r="50" spans="2:25">
      <c r="B50" s="199">
        <f t="shared" ca="1" si="1"/>
        <v>45839</v>
      </c>
      <c r="C50" s="201" t="str">
        <f ca="1">IFERROR((Inv_SY_B!C51/Inv_SY_B!$Z51)-1,"")</f>
        <v/>
      </c>
      <c r="D50" s="201" t="str">
        <f ca="1">IFERROR((Inv_SY_B!D51/Inv_SY_B!$Z51)-1,"")</f>
        <v/>
      </c>
      <c r="E50" s="201" t="str">
        <f ca="1">IFERROR((Inv_SY_B!E51/Inv_SY_B!$Z51)-1,"")</f>
        <v/>
      </c>
      <c r="F50" s="201" t="str">
        <f ca="1">IFERROR((Inv_SY_B!F51/Inv_SY_B!$Z51)-1,"")</f>
        <v/>
      </c>
      <c r="G50" s="201" t="str">
        <f ca="1">IFERROR((Inv_SY_B!G51/Inv_SY_B!$Z51)-1,"")</f>
        <v/>
      </c>
      <c r="H50" s="201" t="str">
        <f ca="1">IFERROR((Inv_SY_B!H51/Inv_SY_B!$Z51)-1,"")</f>
        <v/>
      </c>
      <c r="I50" s="201" t="str">
        <f ca="1">IFERROR((Inv_SY_B!I51/Inv_SY_B!$Z51)-1,"")</f>
        <v/>
      </c>
      <c r="J50" s="201" t="str">
        <f ca="1">IFERROR((Inv_SY_B!J51/Inv_SY_B!$Z51)-1,"")</f>
        <v/>
      </c>
      <c r="K50" s="201" t="str">
        <f ca="1">IFERROR((Inv_SY_B!K51/Inv_SY_B!$Z51)-1,"")</f>
        <v/>
      </c>
      <c r="L50" s="201" t="str">
        <f ca="1">IFERROR((Inv_SY_B!L51/Inv_SY_B!$Z51)-1,"")</f>
        <v/>
      </c>
      <c r="M50" s="201" t="str">
        <f ca="1">IFERROR((Inv_SY_B!M51/Inv_SY_B!$Z51)-1,"")</f>
        <v/>
      </c>
      <c r="N50" s="201" t="str">
        <f ca="1">IFERROR((Inv_SY_B!N51/Inv_SY_B!$Z51)-1,"")</f>
        <v/>
      </c>
      <c r="O50" s="201" t="str">
        <f ca="1">IFERROR((Inv_SY_B!O51/Inv_SY_B!$Z51)-1,"")</f>
        <v/>
      </c>
      <c r="P50" s="201" t="str">
        <f ca="1">IFERROR((Inv_SY_B!P51/Inv_SY_B!$Z51)-1,"")</f>
        <v/>
      </c>
      <c r="Q50" s="201" t="str">
        <f ca="1">IFERROR((Inv_SY_B!Q51/Inv_SY_B!$Z51)-1,"")</f>
        <v/>
      </c>
      <c r="R50" s="201" t="str">
        <f ca="1">IFERROR((Inv_SY_B!R51/Inv_SY_B!$Z51)-1,"")</f>
        <v/>
      </c>
      <c r="S50" s="201" t="str">
        <f ca="1">IFERROR((Inv_SY_B!S51/Inv_SY_B!$Z51)-1,"")</f>
        <v/>
      </c>
      <c r="T50" s="201" t="str">
        <f ca="1">IFERROR((Inv_SY_B!T51/Inv_SY_B!$Z51)-1,"")</f>
        <v/>
      </c>
      <c r="U50" s="201" t="str">
        <f ca="1">IFERROR((Inv_SY_B!U51/Inv_SY_B!$Z51)-1,"")</f>
        <v/>
      </c>
      <c r="V50" s="201" t="str">
        <f ca="1">IFERROR((Inv_SY_B!V51/Inv_SY_B!$Z51)-1,"")</f>
        <v/>
      </c>
      <c r="W50" s="201" t="str">
        <f ca="1">IFERROR((Inv_SY_B!W51/Inv_SY_B!$Z51)-1,"")</f>
        <v/>
      </c>
      <c r="X50" s="201" t="str">
        <f ca="1">IFERROR((Inv_SY_B!X51/Inv_SY_B!$Z51)-1,"")</f>
        <v/>
      </c>
      <c r="Y50" s="201" t="str">
        <f ca="1">IFERROR((Inv_SY_B!Y51/Inv_SY_B!$Z51)-1,"")</f>
        <v/>
      </c>
    </row>
    <row r="51" spans="2:25">
      <c r="B51" s="199">
        <f t="shared" ca="1" si="1"/>
        <v>45840</v>
      </c>
      <c r="C51" s="201" t="str">
        <f ca="1">IFERROR((Inv_SY_B!C52/Inv_SY_B!$Z52)-1,"")</f>
        <v/>
      </c>
      <c r="D51" s="201" t="str">
        <f ca="1">IFERROR((Inv_SY_B!D52/Inv_SY_B!$Z52)-1,"")</f>
        <v/>
      </c>
      <c r="E51" s="201" t="str">
        <f ca="1">IFERROR((Inv_SY_B!E52/Inv_SY_B!$Z52)-1,"")</f>
        <v/>
      </c>
      <c r="F51" s="201" t="str">
        <f ca="1">IFERROR((Inv_SY_B!F52/Inv_SY_B!$Z52)-1,"")</f>
        <v/>
      </c>
      <c r="G51" s="201" t="str">
        <f ca="1">IFERROR((Inv_SY_B!G52/Inv_SY_B!$Z52)-1,"")</f>
        <v/>
      </c>
      <c r="H51" s="201" t="str">
        <f ca="1">IFERROR((Inv_SY_B!H52/Inv_SY_B!$Z52)-1,"")</f>
        <v/>
      </c>
      <c r="I51" s="201" t="str">
        <f ca="1">IFERROR((Inv_SY_B!I52/Inv_SY_B!$Z52)-1,"")</f>
        <v/>
      </c>
      <c r="J51" s="201" t="str">
        <f ca="1">IFERROR((Inv_SY_B!J52/Inv_SY_B!$Z52)-1,"")</f>
        <v/>
      </c>
      <c r="K51" s="201" t="str">
        <f ca="1">IFERROR((Inv_SY_B!K52/Inv_SY_B!$Z52)-1,"")</f>
        <v/>
      </c>
      <c r="L51" s="201" t="str">
        <f ca="1">IFERROR((Inv_SY_B!L52/Inv_SY_B!$Z52)-1,"")</f>
        <v/>
      </c>
      <c r="M51" s="201" t="str">
        <f ca="1">IFERROR((Inv_SY_B!M52/Inv_SY_B!$Z52)-1,"")</f>
        <v/>
      </c>
      <c r="N51" s="201" t="str">
        <f ca="1">IFERROR((Inv_SY_B!N52/Inv_SY_B!$Z52)-1,"")</f>
        <v/>
      </c>
      <c r="O51" s="201" t="str">
        <f ca="1">IFERROR((Inv_SY_B!O52/Inv_SY_B!$Z52)-1,"")</f>
        <v/>
      </c>
      <c r="P51" s="201" t="str">
        <f ca="1">IFERROR((Inv_SY_B!P52/Inv_SY_B!$Z52)-1,"")</f>
        <v/>
      </c>
      <c r="Q51" s="201" t="str">
        <f ca="1">IFERROR((Inv_SY_B!Q52/Inv_SY_B!$Z52)-1,"")</f>
        <v/>
      </c>
      <c r="R51" s="201" t="str">
        <f ca="1">IFERROR((Inv_SY_B!R52/Inv_SY_B!$Z52)-1,"")</f>
        <v/>
      </c>
      <c r="S51" s="201" t="str">
        <f ca="1">IFERROR((Inv_SY_B!S52/Inv_SY_B!$Z52)-1,"")</f>
        <v/>
      </c>
      <c r="T51" s="201" t="str">
        <f ca="1">IFERROR((Inv_SY_B!T52/Inv_SY_B!$Z52)-1,"")</f>
        <v/>
      </c>
      <c r="U51" s="201" t="str">
        <f ca="1">IFERROR((Inv_SY_B!U52/Inv_SY_B!$Z52)-1,"")</f>
        <v/>
      </c>
      <c r="V51" s="201" t="str">
        <f ca="1">IFERROR((Inv_SY_B!V52/Inv_SY_B!$Z52)-1,"")</f>
        <v/>
      </c>
      <c r="W51" s="201" t="str">
        <f ca="1">IFERROR((Inv_SY_B!W52/Inv_SY_B!$Z52)-1,"")</f>
        <v/>
      </c>
      <c r="X51" s="201" t="str">
        <f ca="1">IFERROR((Inv_SY_B!X52/Inv_SY_B!$Z52)-1,"")</f>
        <v/>
      </c>
      <c r="Y51" s="201" t="str">
        <f ca="1">IFERROR((Inv_SY_B!Y52/Inv_SY_B!$Z52)-1,"")</f>
        <v/>
      </c>
    </row>
    <row r="52" spans="2:25">
      <c r="B52" s="199">
        <f t="shared" ca="1" si="1"/>
        <v>45841</v>
      </c>
      <c r="C52" s="201" t="str">
        <f ca="1">IFERROR((Inv_SY_B!C53/Inv_SY_B!$Z53)-1,"")</f>
        <v/>
      </c>
      <c r="D52" s="201" t="str">
        <f ca="1">IFERROR((Inv_SY_B!D53/Inv_SY_B!$Z53)-1,"")</f>
        <v/>
      </c>
      <c r="E52" s="201" t="str">
        <f ca="1">IFERROR((Inv_SY_B!E53/Inv_SY_B!$Z53)-1,"")</f>
        <v/>
      </c>
      <c r="F52" s="201" t="str">
        <f ca="1">IFERROR((Inv_SY_B!F53/Inv_SY_B!$Z53)-1,"")</f>
        <v/>
      </c>
      <c r="G52" s="201" t="str">
        <f ca="1">IFERROR((Inv_SY_B!G53/Inv_SY_B!$Z53)-1,"")</f>
        <v/>
      </c>
      <c r="H52" s="201" t="str">
        <f ca="1">IFERROR((Inv_SY_B!H53/Inv_SY_B!$Z53)-1,"")</f>
        <v/>
      </c>
      <c r="I52" s="201" t="str">
        <f ca="1">IFERROR((Inv_SY_B!I53/Inv_SY_B!$Z53)-1,"")</f>
        <v/>
      </c>
      <c r="J52" s="201" t="str">
        <f ca="1">IFERROR((Inv_SY_B!J53/Inv_SY_B!$Z53)-1,"")</f>
        <v/>
      </c>
      <c r="K52" s="201" t="str">
        <f ca="1">IFERROR((Inv_SY_B!K53/Inv_SY_B!$Z53)-1,"")</f>
        <v/>
      </c>
      <c r="L52" s="201" t="str">
        <f ca="1">IFERROR((Inv_SY_B!L53/Inv_SY_B!$Z53)-1,"")</f>
        <v/>
      </c>
      <c r="M52" s="201" t="str">
        <f ca="1">IFERROR((Inv_SY_B!M53/Inv_SY_B!$Z53)-1,"")</f>
        <v/>
      </c>
      <c r="N52" s="201" t="str">
        <f ca="1">IFERROR((Inv_SY_B!N53/Inv_SY_B!$Z53)-1,"")</f>
        <v/>
      </c>
      <c r="O52" s="201" t="str">
        <f ca="1">IFERROR((Inv_SY_B!O53/Inv_SY_B!$Z53)-1,"")</f>
        <v/>
      </c>
      <c r="P52" s="201" t="str">
        <f ca="1">IFERROR((Inv_SY_B!P53/Inv_SY_B!$Z53)-1,"")</f>
        <v/>
      </c>
      <c r="Q52" s="201" t="str">
        <f ca="1">IFERROR((Inv_SY_B!Q53/Inv_SY_B!$Z53)-1,"")</f>
        <v/>
      </c>
      <c r="R52" s="201" t="str">
        <f ca="1">IFERROR((Inv_SY_B!R53/Inv_SY_B!$Z53)-1,"")</f>
        <v/>
      </c>
      <c r="S52" s="201" t="str">
        <f ca="1">IFERROR((Inv_SY_B!S53/Inv_SY_B!$Z53)-1,"")</f>
        <v/>
      </c>
      <c r="T52" s="201" t="str">
        <f ca="1">IFERROR((Inv_SY_B!T53/Inv_SY_B!$Z53)-1,"")</f>
        <v/>
      </c>
      <c r="U52" s="201" t="str">
        <f ca="1">IFERROR((Inv_SY_B!U53/Inv_SY_B!$Z53)-1,"")</f>
        <v/>
      </c>
      <c r="V52" s="201" t="str">
        <f ca="1">IFERROR((Inv_SY_B!V53/Inv_SY_B!$Z53)-1,"")</f>
        <v/>
      </c>
      <c r="W52" s="201" t="str">
        <f ca="1">IFERROR((Inv_SY_B!W53/Inv_SY_B!$Z53)-1,"")</f>
        <v/>
      </c>
      <c r="X52" s="201" t="str">
        <f ca="1">IFERROR((Inv_SY_B!X53/Inv_SY_B!$Z53)-1,"")</f>
        <v/>
      </c>
      <c r="Y52" s="201" t="str">
        <f ca="1">IFERROR((Inv_SY_B!Y53/Inv_SY_B!$Z53)-1,"")</f>
        <v/>
      </c>
    </row>
    <row r="53" spans="2:25">
      <c r="B53" s="199">
        <f t="shared" ca="1" si="1"/>
        <v>45842</v>
      </c>
      <c r="C53" s="201" t="str">
        <f ca="1">IFERROR((Inv_SY_B!C54/Inv_SY_B!$Z54)-1,"")</f>
        <v/>
      </c>
      <c r="D53" s="201" t="str">
        <f ca="1">IFERROR((Inv_SY_B!D54/Inv_SY_B!$Z54)-1,"")</f>
        <v/>
      </c>
      <c r="E53" s="201" t="str">
        <f ca="1">IFERROR((Inv_SY_B!E54/Inv_SY_B!$Z54)-1,"")</f>
        <v/>
      </c>
      <c r="F53" s="201" t="str">
        <f ca="1">IFERROR((Inv_SY_B!F54/Inv_SY_B!$Z54)-1,"")</f>
        <v/>
      </c>
      <c r="G53" s="201" t="str">
        <f ca="1">IFERROR((Inv_SY_B!G54/Inv_SY_B!$Z54)-1,"")</f>
        <v/>
      </c>
      <c r="H53" s="201" t="str">
        <f ca="1">IFERROR((Inv_SY_B!H54/Inv_SY_B!$Z54)-1,"")</f>
        <v/>
      </c>
      <c r="I53" s="201" t="str">
        <f ca="1">IFERROR((Inv_SY_B!I54/Inv_SY_B!$Z54)-1,"")</f>
        <v/>
      </c>
      <c r="J53" s="201" t="str">
        <f ca="1">IFERROR((Inv_SY_B!J54/Inv_SY_B!$Z54)-1,"")</f>
        <v/>
      </c>
      <c r="K53" s="201" t="str">
        <f ca="1">IFERROR((Inv_SY_B!K54/Inv_SY_B!$Z54)-1,"")</f>
        <v/>
      </c>
      <c r="L53" s="201" t="str">
        <f ca="1">IFERROR((Inv_SY_B!L54/Inv_SY_B!$Z54)-1,"")</f>
        <v/>
      </c>
      <c r="M53" s="201" t="str">
        <f ca="1">IFERROR((Inv_SY_B!M54/Inv_SY_B!$Z54)-1,"")</f>
        <v/>
      </c>
      <c r="N53" s="201" t="str">
        <f ca="1">IFERROR((Inv_SY_B!N54/Inv_SY_B!$Z54)-1,"")</f>
        <v/>
      </c>
      <c r="O53" s="201" t="str">
        <f ca="1">IFERROR((Inv_SY_B!O54/Inv_SY_B!$Z54)-1,"")</f>
        <v/>
      </c>
      <c r="P53" s="201" t="str">
        <f ca="1">IFERROR((Inv_SY_B!P54/Inv_SY_B!$Z54)-1,"")</f>
        <v/>
      </c>
      <c r="Q53" s="201" t="str">
        <f ca="1">IFERROR((Inv_SY_B!Q54/Inv_SY_B!$Z54)-1,"")</f>
        <v/>
      </c>
      <c r="R53" s="201" t="str">
        <f ca="1">IFERROR((Inv_SY_B!R54/Inv_SY_B!$Z54)-1,"")</f>
        <v/>
      </c>
      <c r="S53" s="201" t="str">
        <f ca="1">IFERROR((Inv_SY_B!S54/Inv_SY_B!$Z54)-1,"")</f>
        <v/>
      </c>
      <c r="T53" s="201" t="str">
        <f ca="1">IFERROR((Inv_SY_B!T54/Inv_SY_B!$Z54)-1,"")</f>
        <v/>
      </c>
      <c r="U53" s="201" t="str">
        <f ca="1">IFERROR((Inv_SY_B!U54/Inv_SY_B!$Z54)-1,"")</f>
        <v/>
      </c>
      <c r="V53" s="201" t="str">
        <f ca="1">IFERROR((Inv_SY_B!V54/Inv_SY_B!$Z54)-1,"")</f>
        <v/>
      </c>
      <c r="W53" s="201" t="str">
        <f ca="1">IFERROR((Inv_SY_B!W54/Inv_SY_B!$Z54)-1,"")</f>
        <v/>
      </c>
      <c r="X53" s="201" t="str">
        <f ca="1">IFERROR((Inv_SY_B!X54/Inv_SY_B!$Z54)-1,"")</f>
        <v/>
      </c>
      <c r="Y53" s="201" t="str">
        <f ca="1">IFERROR((Inv_SY_B!Y54/Inv_SY_B!$Z54)-1,"")</f>
        <v/>
      </c>
    </row>
    <row r="54" spans="2:25">
      <c r="B54" s="199">
        <f t="shared" ca="1" si="1"/>
        <v>45843</v>
      </c>
      <c r="C54" s="201" t="str">
        <f ca="1">IFERROR((Inv_SY_B!C55/Inv_SY_B!$Z55)-1,"")</f>
        <v/>
      </c>
      <c r="D54" s="201" t="str">
        <f ca="1">IFERROR((Inv_SY_B!D55/Inv_SY_B!$Z55)-1,"")</f>
        <v/>
      </c>
      <c r="E54" s="201" t="str">
        <f ca="1">IFERROR((Inv_SY_B!E55/Inv_SY_B!$Z55)-1,"")</f>
        <v/>
      </c>
      <c r="F54" s="201" t="str">
        <f ca="1">IFERROR((Inv_SY_B!F55/Inv_SY_B!$Z55)-1,"")</f>
        <v/>
      </c>
      <c r="G54" s="201" t="str">
        <f ca="1">IFERROR((Inv_SY_B!G55/Inv_SY_B!$Z55)-1,"")</f>
        <v/>
      </c>
      <c r="H54" s="201" t="str">
        <f ca="1">IFERROR((Inv_SY_B!H55/Inv_SY_B!$Z55)-1,"")</f>
        <v/>
      </c>
      <c r="I54" s="201" t="str">
        <f ca="1">IFERROR((Inv_SY_B!I55/Inv_SY_B!$Z55)-1,"")</f>
        <v/>
      </c>
      <c r="J54" s="201" t="str">
        <f ca="1">IFERROR((Inv_SY_B!J55/Inv_SY_B!$Z55)-1,"")</f>
        <v/>
      </c>
      <c r="K54" s="201" t="str">
        <f ca="1">IFERROR((Inv_SY_B!K55/Inv_SY_B!$Z55)-1,"")</f>
        <v/>
      </c>
      <c r="L54" s="201" t="str">
        <f ca="1">IFERROR((Inv_SY_B!L55/Inv_SY_B!$Z55)-1,"")</f>
        <v/>
      </c>
      <c r="M54" s="201" t="str">
        <f ca="1">IFERROR((Inv_SY_B!M55/Inv_SY_B!$Z55)-1,"")</f>
        <v/>
      </c>
      <c r="N54" s="201" t="str">
        <f ca="1">IFERROR((Inv_SY_B!N55/Inv_SY_B!$Z55)-1,"")</f>
        <v/>
      </c>
      <c r="O54" s="201" t="str">
        <f ca="1">IFERROR((Inv_SY_B!O55/Inv_SY_B!$Z55)-1,"")</f>
        <v/>
      </c>
      <c r="P54" s="201" t="str">
        <f ca="1">IFERROR((Inv_SY_B!P55/Inv_SY_B!$Z55)-1,"")</f>
        <v/>
      </c>
      <c r="Q54" s="201" t="str">
        <f ca="1">IFERROR((Inv_SY_B!Q55/Inv_SY_B!$Z55)-1,"")</f>
        <v/>
      </c>
      <c r="R54" s="201" t="str">
        <f ca="1">IFERROR((Inv_SY_B!R55/Inv_SY_B!$Z55)-1,"")</f>
        <v/>
      </c>
      <c r="S54" s="201" t="str">
        <f ca="1">IFERROR((Inv_SY_B!S55/Inv_SY_B!$Z55)-1,"")</f>
        <v/>
      </c>
      <c r="T54" s="201" t="str">
        <f ca="1">IFERROR((Inv_SY_B!T55/Inv_SY_B!$Z55)-1,"")</f>
        <v/>
      </c>
      <c r="U54" s="201" t="str">
        <f ca="1">IFERROR((Inv_SY_B!U55/Inv_SY_B!$Z55)-1,"")</f>
        <v/>
      </c>
      <c r="V54" s="201" t="str">
        <f ca="1">IFERROR((Inv_SY_B!V55/Inv_SY_B!$Z55)-1,"")</f>
        <v/>
      </c>
      <c r="W54" s="201" t="str">
        <f ca="1">IFERROR((Inv_SY_B!W55/Inv_SY_B!$Z55)-1,"")</f>
        <v/>
      </c>
      <c r="X54" s="201" t="str">
        <f ca="1">IFERROR((Inv_SY_B!X55/Inv_SY_B!$Z55)-1,"")</f>
        <v/>
      </c>
      <c r="Y54" s="201" t="str">
        <f ca="1">IFERROR((Inv_SY_B!Y55/Inv_SY_B!$Z55)-1,"")</f>
        <v/>
      </c>
    </row>
    <row r="55" spans="2:25">
      <c r="B55" s="199">
        <f t="shared" ca="1" si="1"/>
        <v>45844</v>
      </c>
      <c r="C55" s="201" t="str">
        <f ca="1">IFERROR((Inv_SY_B!C56/Inv_SY_B!$Z56)-1,"")</f>
        <v/>
      </c>
      <c r="D55" s="201" t="str">
        <f ca="1">IFERROR((Inv_SY_B!D56/Inv_SY_B!$Z56)-1,"")</f>
        <v/>
      </c>
      <c r="E55" s="201" t="str">
        <f ca="1">IFERROR((Inv_SY_B!E56/Inv_SY_B!$Z56)-1,"")</f>
        <v/>
      </c>
      <c r="F55" s="201" t="str">
        <f ca="1">IFERROR((Inv_SY_B!F56/Inv_SY_B!$Z56)-1,"")</f>
        <v/>
      </c>
      <c r="G55" s="201" t="str">
        <f ca="1">IFERROR((Inv_SY_B!G56/Inv_SY_B!$Z56)-1,"")</f>
        <v/>
      </c>
      <c r="H55" s="201" t="str">
        <f ca="1">IFERROR((Inv_SY_B!H56/Inv_SY_B!$Z56)-1,"")</f>
        <v/>
      </c>
      <c r="I55" s="201" t="str">
        <f ca="1">IFERROR((Inv_SY_B!I56/Inv_SY_B!$Z56)-1,"")</f>
        <v/>
      </c>
      <c r="J55" s="201" t="str">
        <f ca="1">IFERROR((Inv_SY_B!J56/Inv_SY_B!$Z56)-1,"")</f>
        <v/>
      </c>
      <c r="K55" s="201" t="str">
        <f ca="1">IFERROR((Inv_SY_B!K56/Inv_SY_B!$Z56)-1,"")</f>
        <v/>
      </c>
      <c r="L55" s="201" t="str">
        <f ca="1">IFERROR((Inv_SY_B!L56/Inv_SY_B!$Z56)-1,"")</f>
        <v/>
      </c>
      <c r="M55" s="201" t="str">
        <f ca="1">IFERROR((Inv_SY_B!M56/Inv_SY_B!$Z56)-1,"")</f>
        <v/>
      </c>
      <c r="N55" s="201" t="str">
        <f ca="1">IFERROR((Inv_SY_B!N56/Inv_SY_B!$Z56)-1,"")</f>
        <v/>
      </c>
      <c r="O55" s="201" t="str">
        <f ca="1">IFERROR((Inv_SY_B!O56/Inv_SY_B!$Z56)-1,"")</f>
        <v/>
      </c>
      <c r="P55" s="201" t="str">
        <f ca="1">IFERROR((Inv_SY_B!P56/Inv_SY_B!$Z56)-1,"")</f>
        <v/>
      </c>
      <c r="Q55" s="201" t="str">
        <f ca="1">IFERROR((Inv_SY_B!Q56/Inv_SY_B!$Z56)-1,"")</f>
        <v/>
      </c>
      <c r="R55" s="201" t="str">
        <f ca="1">IFERROR((Inv_SY_B!R56/Inv_SY_B!$Z56)-1,"")</f>
        <v/>
      </c>
      <c r="S55" s="201" t="str">
        <f ca="1">IFERROR((Inv_SY_B!S56/Inv_SY_B!$Z56)-1,"")</f>
        <v/>
      </c>
      <c r="T55" s="201" t="str">
        <f ca="1">IFERROR((Inv_SY_B!T56/Inv_SY_B!$Z56)-1,"")</f>
        <v/>
      </c>
      <c r="U55" s="201" t="str">
        <f ca="1">IFERROR((Inv_SY_B!U56/Inv_SY_B!$Z56)-1,"")</f>
        <v/>
      </c>
      <c r="V55" s="201" t="str">
        <f ca="1">IFERROR((Inv_SY_B!V56/Inv_SY_B!$Z56)-1,"")</f>
        <v/>
      </c>
      <c r="W55" s="201" t="str">
        <f ca="1">IFERROR((Inv_SY_B!W56/Inv_SY_B!$Z56)-1,"")</f>
        <v/>
      </c>
      <c r="X55" s="201" t="str">
        <f ca="1">IFERROR((Inv_SY_B!X56/Inv_SY_B!$Z56)-1,"")</f>
        <v/>
      </c>
      <c r="Y55" s="201" t="str">
        <f ca="1">IFERROR((Inv_SY_B!Y56/Inv_SY_B!$Z56)-1,"")</f>
        <v/>
      </c>
    </row>
    <row r="56" spans="2:25">
      <c r="B56" s="199">
        <f t="shared" ca="1" si="1"/>
        <v>45845</v>
      </c>
      <c r="C56" s="201" t="str">
        <f ca="1">IFERROR((Inv_SY_B!C57/Inv_SY_B!$Z57)-1,"")</f>
        <v/>
      </c>
      <c r="D56" s="201" t="str">
        <f ca="1">IFERROR((Inv_SY_B!D57/Inv_SY_B!$Z57)-1,"")</f>
        <v/>
      </c>
      <c r="E56" s="201" t="str">
        <f ca="1">IFERROR((Inv_SY_B!E57/Inv_SY_B!$Z57)-1,"")</f>
        <v/>
      </c>
      <c r="F56" s="201" t="str">
        <f ca="1">IFERROR((Inv_SY_B!F57/Inv_SY_B!$Z57)-1,"")</f>
        <v/>
      </c>
      <c r="G56" s="201" t="str">
        <f ca="1">IFERROR((Inv_SY_B!G57/Inv_SY_B!$Z57)-1,"")</f>
        <v/>
      </c>
      <c r="H56" s="201" t="str">
        <f ca="1">IFERROR((Inv_SY_B!H57/Inv_SY_B!$Z57)-1,"")</f>
        <v/>
      </c>
      <c r="I56" s="201" t="str">
        <f ca="1">IFERROR((Inv_SY_B!I57/Inv_SY_B!$Z57)-1,"")</f>
        <v/>
      </c>
      <c r="J56" s="201" t="str">
        <f ca="1">IFERROR((Inv_SY_B!J57/Inv_SY_B!$Z57)-1,"")</f>
        <v/>
      </c>
      <c r="K56" s="201" t="str">
        <f ca="1">IFERROR((Inv_SY_B!K57/Inv_SY_B!$Z57)-1,"")</f>
        <v/>
      </c>
      <c r="L56" s="201" t="str">
        <f ca="1">IFERROR((Inv_SY_B!L57/Inv_SY_B!$Z57)-1,"")</f>
        <v/>
      </c>
      <c r="M56" s="201" t="str">
        <f ca="1">IFERROR((Inv_SY_B!M57/Inv_SY_B!$Z57)-1,"")</f>
        <v/>
      </c>
      <c r="N56" s="201" t="str">
        <f ca="1">IFERROR((Inv_SY_B!N57/Inv_SY_B!$Z57)-1,"")</f>
        <v/>
      </c>
      <c r="O56" s="201" t="str">
        <f ca="1">IFERROR((Inv_SY_B!O57/Inv_SY_B!$Z57)-1,"")</f>
        <v/>
      </c>
      <c r="P56" s="201" t="str">
        <f ca="1">IFERROR((Inv_SY_B!P57/Inv_SY_B!$Z57)-1,"")</f>
        <v/>
      </c>
      <c r="Q56" s="201" t="str">
        <f ca="1">IFERROR((Inv_SY_B!Q57/Inv_SY_B!$Z57)-1,"")</f>
        <v/>
      </c>
      <c r="R56" s="201" t="str">
        <f ca="1">IFERROR((Inv_SY_B!R57/Inv_SY_B!$Z57)-1,"")</f>
        <v/>
      </c>
      <c r="S56" s="201" t="str">
        <f ca="1">IFERROR((Inv_SY_B!S57/Inv_SY_B!$Z57)-1,"")</f>
        <v/>
      </c>
      <c r="T56" s="201" t="str">
        <f ca="1">IFERROR((Inv_SY_B!T57/Inv_SY_B!$Z57)-1,"")</f>
        <v/>
      </c>
      <c r="U56" s="201" t="str">
        <f ca="1">IFERROR((Inv_SY_B!U57/Inv_SY_B!$Z57)-1,"")</f>
        <v/>
      </c>
      <c r="V56" s="201" t="str">
        <f ca="1">IFERROR((Inv_SY_B!V57/Inv_SY_B!$Z57)-1,"")</f>
        <v/>
      </c>
      <c r="W56" s="201" t="str">
        <f ca="1">IFERROR((Inv_SY_B!W57/Inv_SY_B!$Z57)-1,"")</f>
        <v/>
      </c>
      <c r="X56" s="201" t="str">
        <f ca="1">IFERROR((Inv_SY_B!X57/Inv_SY_B!$Z57)-1,"")</f>
        <v/>
      </c>
      <c r="Y56" s="201" t="str">
        <f ca="1">IFERROR((Inv_SY_B!Y57/Inv_SY_B!$Z57)-1,"")</f>
        <v/>
      </c>
    </row>
    <row r="57" spans="2:25">
      <c r="B57" s="199">
        <f t="shared" ca="1" si="1"/>
        <v>45846</v>
      </c>
      <c r="C57" s="201" t="str">
        <f ca="1">IFERROR((Inv_SY_B!C58/Inv_SY_B!$Z58)-1,"")</f>
        <v/>
      </c>
      <c r="D57" s="201" t="str">
        <f ca="1">IFERROR((Inv_SY_B!D58/Inv_SY_B!$Z58)-1,"")</f>
        <v/>
      </c>
      <c r="E57" s="201" t="str">
        <f ca="1">IFERROR((Inv_SY_B!E58/Inv_SY_B!$Z58)-1,"")</f>
        <v/>
      </c>
      <c r="F57" s="201" t="str">
        <f ca="1">IFERROR((Inv_SY_B!F58/Inv_SY_B!$Z58)-1,"")</f>
        <v/>
      </c>
      <c r="G57" s="201" t="str">
        <f ca="1">IFERROR((Inv_SY_B!G58/Inv_SY_B!$Z58)-1,"")</f>
        <v/>
      </c>
      <c r="H57" s="201" t="str">
        <f ca="1">IFERROR((Inv_SY_B!H58/Inv_SY_B!$Z58)-1,"")</f>
        <v/>
      </c>
      <c r="I57" s="201" t="str">
        <f ca="1">IFERROR((Inv_SY_B!I58/Inv_SY_B!$Z58)-1,"")</f>
        <v/>
      </c>
      <c r="J57" s="201" t="str">
        <f ca="1">IFERROR((Inv_SY_B!J58/Inv_SY_B!$Z58)-1,"")</f>
        <v/>
      </c>
      <c r="K57" s="201" t="str">
        <f ca="1">IFERROR((Inv_SY_B!K58/Inv_SY_B!$Z58)-1,"")</f>
        <v/>
      </c>
      <c r="L57" s="201" t="str">
        <f ca="1">IFERROR((Inv_SY_B!L58/Inv_SY_B!$Z58)-1,"")</f>
        <v/>
      </c>
      <c r="M57" s="201" t="str">
        <f ca="1">IFERROR((Inv_SY_B!M58/Inv_SY_B!$Z58)-1,"")</f>
        <v/>
      </c>
      <c r="N57" s="201" t="str">
        <f ca="1">IFERROR((Inv_SY_B!N58/Inv_SY_B!$Z58)-1,"")</f>
        <v/>
      </c>
      <c r="O57" s="201" t="str">
        <f ca="1">IFERROR((Inv_SY_B!O58/Inv_SY_B!$Z58)-1,"")</f>
        <v/>
      </c>
      <c r="P57" s="201" t="str">
        <f ca="1">IFERROR((Inv_SY_B!P58/Inv_SY_B!$Z58)-1,"")</f>
        <v/>
      </c>
      <c r="Q57" s="201" t="str">
        <f ca="1">IFERROR((Inv_SY_B!Q58/Inv_SY_B!$Z58)-1,"")</f>
        <v/>
      </c>
      <c r="R57" s="201" t="str">
        <f ca="1">IFERROR((Inv_SY_B!R58/Inv_SY_B!$Z58)-1,"")</f>
        <v/>
      </c>
      <c r="S57" s="201" t="str">
        <f ca="1">IFERROR((Inv_SY_B!S58/Inv_SY_B!$Z58)-1,"")</f>
        <v/>
      </c>
      <c r="T57" s="201" t="str">
        <f ca="1">IFERROR((Inv_SY_B!T58/Inv_SY_B!$Z58)-1,"")</f>
        <v/>
      </c>
      <c r="U57" s="201" t="str">
        <f ca="1">IFERROR((Inv_SY_B!U58/Inv_SY_B!$Z58)-1,"")</f>
        <v/>
      </c>
      <c r="V57" s="201" t="str">
        <f ca="1">IFERROR((Inv_SY_B!V58/Inv_SY_B!$Z58)-1,"")</f>
        <v/>
      </c>
      <c r="W57" s="201" t="str">
        <f ca="1">IFERROR((Inv_SY_B!W58/Inv_SY_B!$Z58)-1,"")</f>
        <v/>
      </c>
      <c r="X57" s="201" t="str">
        <f ca="1">IFERROR((Inv_SY_B!X58/Inv_SY_B!$Z58)-1,"")</f>
        <v/>
      </c>
      <c r="Y57" s="201" t="str">
        <f ca="1">IFERROR((Inv_SY_B!Y58/Inv_SY_B!$Z58)-1,"")</f>
        <v/>
      </c>
    </row>
    <row r="58" spans="2:25">
      <c r="B58" s="199">
        <f t="shared" ca="1" si="1"/>
        <v>45847</v>
      </c>
      <c r="C58" s="201" t="str">
        <f ca="1">IFERROR((Inv_SY_B!C59/Inv_SY_B!$Z59)-1,"")</f>
        <v/>
      </c>
      <c r="D58" s="201" t="str">
        <f ca="1">IFERROR((Inv_SY_B!D59/Inv_SY_B!$Z59)-1,"")</f>
        <v/>
      </c>
      <c r="E58" s="201" t="str">
        <f ca="1">IFERROR((Inv_SY_B!E59/Inv_SY_B!$Z59)-1,"")</f>
        <v/>
      </c>
      <c r="F58" s="201" t="str">
        <f ca="1">IFERROR((Inv_SY_B!F59/Inv_SY_B!$Z59)-1,"")</f>
        <v/>
      </c>
      <c r="G58" s="201" t="str">
        <f ca="1">IFERROR((Inv_SY_B!G59/Inv_SY_B!$Z59)-1,"")</f>
        <v/>
      </c>
      <c r="H58" s="201" t="str">
        <f ca="1">IFERROR((Inv_SY_B!H59/Inv_SY_B!$Z59)-1,"")</f>
        <v/>
      </c>
      <c r="I58" s="201" t="str">
        <f ca="1">IFERROR((Inv_SY_B!I59/Inv_SY_B!$Z59)-1,"")</f>
        <v/>
      </c>
      <c r="J58" s="201" t="str">
        <f ca="1">IFERROR((Inv_SY_B!J59/Inv_SY_B!$Z59)-1,"")</f>
        <v/>
      </c>
      <c r="K58" s="201" t="str">
        <f ca="1">IFERROR((Inv_SY_B!K59/Inv_SY_B!$Z59)-1,"")</f>
        <v/>
      </c>
      <c r="L58" s="201" t="str">
        <f ca="1">IFERROR((Inv_SY_B!L59/Inv_SY_B!$Z59)-1,"")</f>
        <v/>
      </c>
      <c r="M58" s="201" t="str">
        <f ca="1">IFERROR((Inv_SY_B!M59/Inv_SY_B!$Z59)-1,"")</f>
        <v/>
      </c>
      <c r="N58" s="201" t="str">
        <f ca="1">IFERROR((Inv_SY_B!N59/Inv_SY_B!$Z59)-1,"")</f>
        <v/>
      </c>
      <c r="O58" s="201" t="str">
        <f ca="1">IFERROR((Inv_SY_B!O59/Inv_SY_B!$Z59)-1,"")</f>
        <v/>
      </c>
      <c r="P58" s="201" t="str">
        <f ca="1">IFERROR((Inv_SY_B!P59/Inv_SY_B!$Z59)-1,"")</f>
        <v/>
      </c>
      <c r="Q58" s="201" t="str">
        <f ca="1">IFERROR((Inv_SY_B!Q59/Inv_SY_B!$Z59)-1,"")</f>
        <v/>
      </c>
      <c r="R58" s="201" t="str">
        <f ca="1">IFERROR((Inv_SY_B!R59/Inv_SY_B!$Z59)-1,"")</f>
        <v/>
      </c>
      <c r="S58" s="201" t="str">
        <f ca="1">IFERROR((Inv_SY_B!S59/Inv_SY_B!$Z59)-1,"")</f>
        <v/>
      </c>
      <c r="T58" s="201" t="str">
        <f ca="1">IFERROR((Inv_SY_B!T59/Inv_SY_B!$Z59)-1,"")</f>
        <v/>
      </c>
      <c r="U58" s="201" t="str">
        <f ca="1">IFERROR((Inv_SY_B!U59/Inv_SY_B!$Z59)-1,"")</f>
        <v/>
      </c>
      <c r="V58" s="201" t="str">
        <f ca="1">IFERROR((Inv_SY_B!V59/Inv_SY_B!$Z59)-1,"")</f>
        <v/>
      </c>
      <c r="W58" s="201" t="str">
        <f ca="1">IFERROR((Inv_SY_B!W59/Inv_SY_B!$Z59)-1,"")</f>
        <v/>
      </c>
      <c r="X58" s="201" t="str">
        <f ca="1">IFERROR((Inv_SY_B!X59/Inv_SY_B!$Z59)-1,"")</f>
        <v/>
      </c>
      <c r="Y58" s="201" t="str">
        <f ca="1">IFERROR((Inv_SY_B!Y59/Inv_SY_B!$Z59)-1,"")</f>
        <v/>
      </c>
    </row>
    <row r="59" spans="2:25">
      <c r="B59" s="199">
        <f t="shared" ca="1" si="1"/>
        <v>45848</v>
      </c>
      <c r="C59" s="201" t="str">
        <f ca="1">IFERROR((Inv_SY_B!C60/Inv_SY_B!$Z60)-1,"")</f>
        <v/>
      </c>
      <c r="D59" s="201" t="str">
        <f ca="1">IFERROR((Inv_SY_B!D60/Inv_SY_B!$Z60)-1,"")</f>
        <v/>
      </c>
      <c r="E59" s="201" t="str">
        <f ca="1">IFERROR((Inv_SY_B!E60/Inv_SY_B!$Z60)-1,"")</f>
        <v/>
      </c>
      <c r="F59" s="201" t="str">
        <f ca="1">IFERROR((Inv_SY_B!F60/Inv_SY_B!$Z60)-1,"")</f>
        <v/>
      </c>
      <c r="G59" s="201" t="str">
        <f ca="1">IFERROR((Inv_SY_B!G60/Inv_SY_B!$Z60)-1,"")</f>
        <v/>
      </c>
      <c r="H59" s="201" t="str">
        <f ca="1">IFERROR((Inv_SY_B!H60/Inv_SY_B!$Z60)-1,"")</f>
        <v/>
      </c>
      <c r="I59" s="201" t="str">
        <f ca="1">IFERROR((Inv_SY_B!I60/Inv_SY_B!$Z60)-1,"")</f>
        <v/>
      </c>
      <c r="J59" s="201" t="str">
        <f ca="1">IFERROR((Inv_SY_B!J60/Inv_SY_B!$Z60)-1,"")</f>
        <v/>
      </c>
      <c r="K59" s="201" t="str">
        <f ca="1">IFERROR((Inv_SY_B!K60/Inv_SY_B!$Z60)-1,"")</f>
        <v/>
      </c>
      <c r="L59" s="201" t="str">
        <f ca="1">IFERROR((Inv_SY_B!L60/Inv_SY_B!$Z60)-1,"")</f>
        <v/>
      </c>
      <c r="M59" s="201" t="str">
        <f ca="1">IFERROR((Inv_SY_B!M60/Inv_SY_B!$Z60)-1,"")</f>
        <v/>
      </c>
      <c r="N59" s="201" t="str">
        <f ca="1">IFERROR((Inv_SY_B!N60/Inv_SY_B!$Z60)-1,"")</f>
        <v/>
      </c>
      <c r="O59" s="201" t="str">
        <f ca="1">IFERROR((Inv_SY_B!O60/Inv_SY_B!$Z60)-1,"")</f>
        <v/>
      </c>
      <c r="P59" s="201" t="str">
        <f ca="1">IFERROR((Inv_SY_B!P60/Inv_SY_B!$Z60)-1,"")</f>
        <v/>
      </c>
      <c r="Q59" s="201" t="str">
        <f ca="1">IFERROR((Inv_SY_B!Q60/Inv_SY_B!$Z60)-1,"")</f>
        <v/>
      </c>
      <c r="R59" s="201" t="str">
        <f ca="1">IFERROR((Inv_SY_B!R60/Inv_SY_B!$Z60)-1,"")</f>
        <v/>
      </c>
      <c r="S59" s="201" t="str">
        <f ca="1">IFERROR((Inv_SY_B!S60/Inv_SY_B!$Z60)-1,"")</f>
        <v/>
      </c>
      <c r="T59" s="201" t="str">
        <f ca="1">IFERROR((Inv_SY_B!T60/Inv_SY_B!$Z60)-1,"")</f>
        <v/>
      </c>
      <c r="U59" s="201" t="str">
        <f ca="1">IFERROR((Inv_SY_B!U60/Inv_SY_B!$Z60)-1,"")</f>
        <v/>
      </c>
      <c r="V59" s="201" t="str">
        <f ca="1">IFERROR((Inv_SY_B!V60/Inv_SY_B!$Z60)-1,"")</f>
        <v/>
      </c>
      <c r="W59" s="201" t="str">
        <f ca="1">IFERROR((Inv_SY_B!W60/Inv_SY_B!$Z60)-1,"")</f>
        <v/>
      </c>
      <c r="X59" s="201" t="str">
        <f ca="1">IFERROR((Inv_SY_B!X60/Inv_SY_B!$Z60)-1,"")</f>
        <v/>
      </c>
      <c r="Y59" s="201" t="str">
        <f ca="1">IFERROR((Inv_SY_B!Y60/Inv_SY_B!$Z60)-1,"")</f>
        <v/>
      </c>
    </row>
    <row r="60" spans="2:25">
      <c r="B60" s="199">
        <f t="shared" ca="1" si="1"/>
        <v>45849</v>
      </c>
      <c r="C60" s="201" t="str">
        <f ca="1">IFERROR((Inv_SY_B!C61/Inv_SY_B!$Z61)-1,"")</f>
        <v/>
      </c>
      <c r="D60" s="201" t="str">
        <f ca="1">IFERROR((Inv_SY_B!D61/Inv_SY_B!$Z61)-1,"")</f>
        <v/>
      </c>
      <c r="E60" s="201" t="str">
        <f ca="1">IFERROR((Inv_SY_B!E61/Inv_SY_B!$Z61)-1,"")</f>
        <v/>
      </c>
      <c r="F60" s="201" t="str">
        <f ca="1">IFERROR((Inv_SY_B!F61/Inv_SY_B!$Z61)-1,"")</f>
        <v/>
      </c>
      <c r="G60" s="201" t="str">
        <f ca="1">IFERROR((Inv_SY_B!G61/Inv_SY_B!$Z61)-1,"")</f>
        <v/>
      </c>
      <c r="H60" s="201" t="str">
        <f ca="1">IFERROR((Inv_SY_B!H61/Inv_SY_B!$Z61)-1,"")</f>
        <v/>
      </c>
      <c r="I60" s="201" t="str">
        <f ca="1">IFERROR((Inv_SY_B!I61/Inv_SY_B!$Z61)-1,"")</f>
        <v/>
      </c>
      <c r="J60" s="201" t="str">
        <f ca="1">IFERROR((Inv_SY_B!J61/Inv_SY_B!$Z61)-1,"")</f>
        <v/>
      </c>
      <c r="K60" s="201" t="str">
        <f ca="1">IFERROR((Inv_SY_B!K61/Inv_SY_B!$Z61)-1,"")</f>
        <v/>
      </c>
      <c r="L60" s="201" t="str">
        <f ca="1">IFERROR((Inv_SY_B!L61/Inv_SY_B!$Z61)-1,"")</f>
        <v/>
      </c>
      <c r="M60" s="201" t="str">
        <f ca="1">IFERROR((Inv_SY_B!M61/Inv_SY_B!$Z61)-1,"")</f>
        <v/>
      </c>
      <c r="N60" s="201" t="str">
        <f ca="1">IFERROR((Inv_SY_B!N61/Inv_SY_B!$Z61)-1,"")</f>
        <v/>
      </c>
      <c r="O60" s="201" t="str">
        <f ca="1">IFERROR((Inv_SY_B!O61/Inv_SY_B!$Z61)-1,"")</f>
        <v/>
      </c>
      <c r="P60" s="201" t="str">
        <f ca="1">IFERROR((Inv_SY_B!P61/Inv_SY_B!$Z61)-1,"")</f>
        <v/>
      </c>
      <c r="Q60" s="201" t="str">
        <f ca="1">IFERROR((Inv_SY_B!Q61/Inv_SY_B!$Z61)-1,"")</f>
        <v/>
      </c>
      <c r="R60" s="201" t="str">
        <f ca="1">IFERROR((Inv_SY_B!R61/Inv_SY_B!$Z61)-1,"")</f>
        <v/>
      </c>
      <c r="S60" s="201" t="str">
        <f ca="1">IFERROR((Inv_SY_B!S61/Inv_SY_B!$Z61)-1,"")</f>
        <v/>
      </c>
      <c r="T60" s="201" t="str">
        <f ca="1">IFERROR((Inv_SY_B!T61/Inv_SY_B!$Z61)-1,"")</f>
        <v/>
      </c>
      <c r="U60" s="201" t="str">
        <f ca="1">IFERROR((Inv_SY_B!U61/Inv_SY_B!$Z61)-1,"")</f>
        <v/>
      </c>
      <c r="V60" s="201" t="str">
        <f ca="1">IFERROR((Inv_SY_B!V61/Inv_SY_B!$Z61)-1,"")</f>
        <v/>
      </c>
      <c r="W60" s="201" t="str">
        <f ca="1">IFERROR((Inv_SY_B!W61/Inv_SY_B!$Z61)-1,"")</f>
        <v/>
      </c>
      <c r="X60" s="201" t="str">
        <f ca="1">IFERROR((Inv_SY_B!X61/Inv_SY_B!$Z61)-1,"")</f>
        <v/>
      </c>
      <c r="Y60" s="201" t="str">
        <f ca="1">IFERROR((Inv_SY_B!Y61/Inv_SY_B!$Z61)-1,"")</f>
        <v/>
      </c>
    </row>
    <row r="61" spans="2:25">
      <c r="B61" s="199">
        <f t="shared" ca="1" si="1"/>
        <v>45850</v>
      </c>
      <c r="C61" s="201">
        <f ca="1">IFERROR((Inv_SY_B!C62/Inv_SY_B!$Z62)-1,"")</f>
        <v>8.5627280857202726E-2</v>
      </c>
      <c r="D61" s="201">
        <f ca="1">IFERROR((Inv_SY_B!D62/Inv_SY_B!$Z62)-1,"")</f>
        <v>-1.3749561717094516E-2</v>
      </c>
      <c r="E61" s="201">
        <f ca="1">IFERROR((Inv_SY_B!E62/Inv_SY_B!$Z62)-1,"")</f>
        <v>-0.35198710024758062</v>
      </c>
      <c r="F61" s="201">
        <f ca="1">IFERROR((Inv_SY_B!F62/Inv_SY_B!$Z62)-1,"")</f>
        <v>-0.37342226527277389</v>
      </c>
      <c r="G61" s="201">
        <f ca="1">IFERROR((Inv_SY_B!G62/Inv_SY_B!$Z62)-1,"")</f>
        <v>-0.40517583973340299</v>
      </c>
      <c r="H61" s="201">
        <f ca="1">IFERROR((Inv_SY_B!H62/Inv_SY_B!$Z62)-1,"")</f>
        <v>4.8892431988782903E-2</v>
      </c>
      <c r="I61" s="201">
        <f ca="1">IFERROR((Inv_SY_B!I62/Inv_SY_B!$Z62)-1,"")</f>
        <v>1.0098150541248656</v>
      </c>
      <c r="J61" s="201" t="str">
        <f ca="1">IFERROR((Inv_SY_B!J62/Inv_SY_B!$Z62)-1,"")</f>
        <v/>
      </c>
      <c r="K61" s="201" t="str">
        <f ca="1">IFERROR((Inv_SY_B!K62/Inv_SY_B!$Z62)-1,"")</f>
        <v/>
      </c>
      <c r="L61" s="201" t="str">
        <f ca="1">IFERROR((Inv_SY_B!L62/Inv_SY_B!$Z62)-1,"")</f>
        <v/>
      </c>
      <c r="M61" s="201" t="str">
        <f ca="1">IFERROR((Inv_SY_B!M62/Inv_SY_B!$Z62)-1,"")</f>
        <v/>
      </c>
      <c r="N61" s="201" t="str">
        <f ca="1">IFERROR((Inv_SY_B!N62/Inv_SY_B!$Z62)-1,"")</f>
        <v/>
      </c>
      <c r="O61" s="201" t="str">
        <f ca="1">IFERROR((Inv_SY_B!O62/Inv_SY_B!$Z62)-1,"")</f>
        <v/>
      </c>
      <c r="P61" s="201" t="str">
        <f ca="1">IFERROR((Inv_SY_B!P62/Inv_SY_B!$Z62)-1,"")</f>
        <v/>
      </c>
      <c r="Q61" s="201" t="str">
        <f ca="1">IFERROR((Inv_SY_B!Q62/Inv_SY_B!$Z62)-1,"")</f>
        <v/>
      </c>
      <c r="R61" s="201" t="str">
        <f ca="1">IFERROR((Inv_SY_B!R62/Inv_SY_B!$Z62)-1,"")</f>
        <v/>
      </c>
      <c r="S61" s="201" t="str">
        <f ca="1">IFERROR((Inv_SY_B!S62/Inv_SY_B!$Z62)-1,"")</f>
        <v/>
      </c>
      <c r="T61" s="201" t="str">
        <f ca="1">IFERROR((Inv_SY_B!T62/Inv_SY_B!$Z62)-1,"")</f>
        <v/>
      </c>
      <c r="U61" s="201" t="str">
        <f ca="1">IFERROR((Inv_SY_B!U62/Inv_SY_B!$Z62)-1,"")</f>
        <v/>
      </c>
      <c r="V61" s="201" t="str">
        <f ca="1">IFERROR((Inv_SY_B!V62/Inv_SY_B!$Z62)-1,"")</f>
        <v/>
      </c>
      <c r="W61" s="201" t="str">
        <f ca="1">IFERROR((Inv_SY_B!W62/Inv_SY_B!$Z62)-1,"")</f>
        <v/>
      </c>
      <c r="X61" s="201" t="str">
        <f ca="1">IFERROR((Inv_SY_B!X62/Inv_SY_B!$Z62)-1,"")</f>
        <v/>
      </c>
      <c r="Y61" s="201" t="str">
        <f ca="1">IFERROR((Inv_SY_B!Y62/Inv_SY_B!$Z62)-1,"")</f>
        <v/>
      </c>
    </row>
    <row r="62" spans="2:25">
      <c r="B62" s="199">
        <f t="shared" ca="1" si="1"/>
        <v>45851</v>
      </c>
      <c r="C62" s="201">
        <f ca="1">IFERROR((Inv_SY_B!C63/Inv_SY_B!$Z63)-1,"")</f>
        <v>0.48581919966769838</v>
      </c>
      <c r="D62" s="201">
        <f ca="1">IFERROR((Inv_SY_B!D63/Inv_SY_B!$Z63)-1,"")</f>
        <v>-0.17396039693166698</v>
      </c>
      <c r="E62" s="201">
        <f ca="1">IFERROR((Inv_SY_B!E63/Inv_SY_B!$Z63)-1,"")</f>
        <v>-0.60407816160197714</v>
      </c>
      <c r="F62" s="201">
        <f ca="1">IFERROR((Inv_SY_B!F63/Inv_SY_B!$Z63)-1,"")</f>
        <v>-0.59261471067297711</v>
      </c>
      <c r="G62" s="201">
        <f ca="1">IFERROR((Inv_SY_B!G63/Inv_SY_B!$Z63)-1,"")</f>
        <v>-0.53786958244318428</v>
      </c>
      <c r="H62" s="201">
        <f ca="1">IFERROR((Inv_SY_B!H63/Inv_SY_B!$Z63)-1,"")</f>
        <v>0.64522324955144539</v>
      </c>
      <c r="I62" s="201">
        <f ca="1">IFERROR((Inv_SY_B!I63/Inv_SY_B!$Z63)-1,"")</f>
        <v>0.77748040243066274</v>
      </c>
      <c r="J62" s="201" t="str">
        <f ca="1">IFERROR((Inv_SY_B!J63/Inv_SY_B!$Z63)-1,"")</f>
        <v/>
      </c>
      <c r="K62" s="201" t="str">
        <f ca="1">IFERROR((Inv_SY_B!K63/Inv_SY_B!$Z63)-1,"")</f>
        <v/>
      </c>
      <c r="L62" s="201" t="str">
        <f ca="1">IFERROR((Inv_SY_B!L63/Inv_SY_B!$Z63)-1,"")</f>
        <v/>
      </c>
      <c r="M62" s="201" t="str">
        <f ca="1">IFERROR((Inv_SY_B!M63/Inv_SY_B!$Z63)-1,"")</f>
        <v/>
      </c>
      <c r="N62" s="201" t="str">
        <f ca="1">IFERROR((Inv_SY_B!N63/Inv_SY_B!$Z63)-1,"")</f>
        <v/>
      </c>
      <c r="O62" s="201" t="str">
        <f ca="1">IFERROR((Inv_SY_B!O63/Inv_SY_B!$Z63)-1,"")</f>
        <v/>
      </c>
      <c r="P62" s="201" t="str">
        <f ca="1">IFERROR((Inv_SY_B!P63/Inv_SY_B!$Z63)-1,"")</f>
        <v/>
      </c>
      <c r="Q62" s="201" t="str">
        <f ca="1">IFERROR((Inv_SY_B!Q63/Inv_SY_B!$Z63)-1,"")</f>
        <v/>
      </c>
      <c r="R62" s="201" t="str">
        <f ca="1">IFERROR((Inv_SY_B!R63/Inv_SY_B!$Z63)-1,"")</f>
        <v/>
      </c>
      <c r="S62" s="201" t="str">
        <f ca="1">IFERROR((Inv_SY_B!S63/Inv_SY_B!$Z63)-1,"")</f>
        <v/>
      </c>
      <c r="T62" s="201" t="str">
        <f ca="1">IFERROR((Inv_SY_B!T63/Inv_SY_B!$Z63)-1,"")</f>
        <v/>
      </c>
      <c r="U62" s="201" t="str">
        <f ca="1">IFERROR((Inv_SY_B!U63/Inv_SY_B!$Z63)-1,"")</f>
        <v/>
      </c>
      <c r="V62" s="201" t="str">
        <f ca="1">IFERROR((Inv_SY_B!V63/Inv_SY_B!$Z63)-1,"")</f>
        <v/>
      </c>
      <c r="W62" s="201" t="str">
        <f ca="1">IFERROR((Inv_SY_B!W63/Inv_SY_B!$Z63)-1,"")</f>
        <v/>
      </c>
      <c r="X62" s="201" t="str">
        <f ca="1">IFERROR((Inv_SY_B!X63/Inv_SY_B!$Z63)-1,"")</f>
        <v/>
      </c>
      <c r="Y62" s="201" t="str">
        <f ca="1">IFERROR((Inv_SY_B!Y63/Inv_SY_B!$Z63)-1,"")</f>
        <v/>
      </c>
    </row>
    <row r="63" spans="2:25">
      <c r="B63" s="199">
        <f t="shared" ca="1" si="1"/>
        <v>45852</v>
      </c>
      <c r="C63" s="201" t="str">
        <f ca="1">IFERROR((Inv_SY_B!C64/Inv_SY_B!$Z64)-1,"")</f>
        <v/>
      </c>
      <c r="D63" s="201" t="str">
        <f ca="1">IFERROR((Inv_SY_B!D64/Inv_SY_B!$Z64)-1,"")</f>
        <v/>
      </c>
      <c r="E63" s="201" t="str">
        <f ca="1">IFERROR((Inv_SY_B!E64/Inv_SY_B!$Z64)-1,"")</f>
        <v/>
      </c>
      <c r="F63" s="201" t="str">
        <f ca="1">IFERROR((Inv_SY_B!F64/Inv_SY_B!$Z64)-1,"")</f>
        <v/>
      </c>
      <c r="G63" s="201" t="str">
        <f ca="1">IFERROR((Inv_SY_B!G64/Inv_SY_B!$Z64)-1,"")</f>
        <v/>
      </c>
      <c r="H63" s="201" t="str">
        <f ca="1">IFERROR((Inv_SY_B!H64/Inv_SY_B!$Z64)-1,"")</f>
        <v/>
      </c>
      <c r="I63" s="201" t="str">
        <f ca="1">IFERROR((Inv_SY_B!I64/Inv_SY_B!$Z64)-1,"")</f>
        <v/>
      </c>
      <c r="J63" s="201" t="str">
        <f ca="1">IFERROR((Inv_SY_B!J64/Inv_SY_B!$Z64)-1,"")</f>
        <v/>
      </c>
      <c r="K63" s="201" t="str">
        <f ca="1">IFERROR((Inv_SY_B!K64/Inv_SY_B!$Z64)-1,"")</f>
        <v/>
      </c>
      <c r="L63" s="201" t="str">
        <f ca="1">IFERROR((Inv_SY_B!L64/Inv_SY_B!$Z64)-1,"")</f>
        <v/>
      </c>
      <c r="M63" s="201" t="str">
        <f ca="1">IFERROR((Inv_SY_B!M64/Inv_SY_B!$Z64)-1,"")</f>
        <v/>
      </c>
      <c r="N63" s="201" t="str">
        <f ca="1">IFERROR((Inv_SY_B!N64/Inv_SY_B!$Z64)-1,"")</f>
        <v/>
      </c>
      <c r="O63" s="201" t="str">
        <f ca="1">IFERROR((Inv_SY_B!O64/Inv_SY_B!$Z64)-1,"")</f>
        <v/>
      </c>
      <c r="P63" s="201" t="str">
        <f ca="1">IFERROR((Inv_SY_B!P64/Inv_SY_B!$Z64)-1,"")</f>
        <v/>
      </c>
      <c r="Q63" s="201" t="str">
        <f ca="1">IFERROR((Inv_SY_B!Q64/Inv_SY_B!$Z64)-1,"")</f>
        <v/>
      </c>
      <c r="R63" s="201" t="str">
        <f ca="1">IFERROR((Inv_SY_B!R64/Inv_SY_B!$Z64)-1,"")</f>
        <v/>
      </c>
      <c r="S63" s="201" t="str">
        <f ca="1">IFERROR((Inv_SY_B!S64/Inv_SY_B!$Z64)-1,"")</f>
        <v/>
      </c>
      <c r="T63" s="201" t="str">
        <f ca="1">IFERROR((Inv_SY_B!T64/Inv_SY_B!$Z64)-1,"")</f>
        <v/>
      </c>
      <c r="U63" s="201" t="str">
        <f ca="1">IFERROR((Inv_SY_B!U64/Inv_SY_B!$Z64)-1,"")</f>
        <v/>
      </c>
      <c r="V63" s="201" t="str">
        <f ca="1">IFERROR((Inv_SY_B!V64/Inv_SY_B!$Z64)-1,"")</f>
        <v/>
      </c>
      <c r="W63" s="201" t="str">
        <f ca="1">IFERROR((Inv_SY_B!W64/Inv_SY_B!$Z64)-1,"")</f>
        <v/>
      </c>
      <c r="X63" s="201" t="str">
        <f ca="1">IFERROR((Inv_SY_B!X64/Inv_SY_B!$Z64)-1,"")</f>
        <v/>
      </c>
      <c r="Y63" s="201" t="str">
        <f ca="1">IFERROR((Inv_SY_B!Y64/Inv_SY_B!$Z64)-1,"")</f>
        <v/>
      </c>
    </row>
  </sheetData>
  <phoneticPr fontId="59" type="noConversion"/>
  <conditionalFormatting sqref="C3:Y63">
    <cfRule type="cellIs" dxfId="36" priority="5" operator="lessThan">
      <formula>-0.03</formula>
    </cfRule>
  </conditionalFormatting>
  <pageMargins left="0.7" right="0.7" top="0.75" bottom="0.75" header="0.3" footer="0.3"/>
  <ignoredErrors>
    <ignoredError sqref="B4:B63" calculatedColumn="1"/>
  </ignoredErrors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F383D-BB1B-487F-80FA-F64BE6B5F631}">
  <dimension ref="B1:I64"/>
  <sheetViews>
    <sheetView zoomScale="97" zoomScaleNormal="190" workbookViewId="0">
      <pane xSplit="2" ySplit="3" topLeftCell="C59" activePane="bottomRight" state="frozen"/>
      <selection pane="topRight" activeCell="C1" sqref="C1"/>
      <selection pane="bottomLeft" activeCell="A4" sqref="A4"/>
      <selection pane="bottomRight" activeCell="M64" sqref="M64"/>
    </sheetView>
  </sheetViews>
  <sheetFormatPr defaultColWidth="8.81640625" defaultRowHeight="14.5"/>
  <cols>
    <col min="1" max="1" width="1.453125" customWidth="1"/>
    <col min="2" max="2" width="10.453125" customWidth="1"/>
    <col min="3" max="3" width="19.453125" style="4" bestFit="1" customWidth="1"/>
    <col min="4" max="7" width="15.453125" style="4" customWidth="1"/>
    <col min="8" max="8" width="16.81640625" style="4" customWidth="1"/>
    <col min="9" max="9" width="16.453125" style="4" customWidth="1"/>
  </cols>
  <sheetData>
    <row r="1" spans="2:9">
      <c r="B1" t="s">
        <v>330</v>
      </c>
      <c r="C1" s="4">
        <v>4662.4750000000004</v>
      </c>
      <c r="D1" s="4">
        <v>4662.4750000000004</v>
      </c>
      <c r="E1" s="4">
        <v>6511.66</v>
      </c>
      <c r="F1" s="4">
        <v>6495.8549999999996</v>
      </c>
      <c r="G1" s="4">
        <v>6527.4649999999992</v>
      </c>
      <c r="H1" s="4">
        <v>5104</v>
      </c>
      <c r="I1" s="4">
        <v>5104</v>
      </c>
    </row>
    <row r="2" spans="2:9">
      <c r="C2" s="4">
        <v>8</v>
      </c>
      <c r="D2" s="4">
        <f>C2+1</f>
        <v>9</v>
      </c>
      <c r="E2" s="4">
        <f t="shared" ref="E2:I2" si="0">D2+1</f>
        <v>10</v>
      </c>
      <c r="F2" s="4">
        <f t="shared" si="0"/>
        <v>11</v>
      </c>
      <c r="G2" s="4">
        <f t="shared" si="0"/>
        <v>12</v>
      </c>
      <c r="H2" s="4">
        <f t="shared" si="0"/>
        <v>13</v>
      </c>
      <c r="I2" s="4">
        <f t="shared" si="0"/>
        <v>14</v>
      </c>
    </row>
    <row r="3" spans="2:9" ht="21" customHeight="1">
      <c r="B3" s="198" t="s">
        <v>77</v>
      </c>
      <c r="C3" s="195" t="s">
        <v>125</v>
      </c>
      <c r="D3" s="195" t="s">
        <v>126</v>
      </c>
      <c r="E3" s="195" t="s">
        <v>127</v>
      </c>
      <c r="F3" s="195" t="s">
        <v>128</v>
      </c>
      <c r="G3" s="195" t="s">
        <v>129</v>
      </c>
      <c r="H3" s="195" t="s">
        <v>130</v>
      </c>
      <c r="I3" s="195" t="s">
        <v>131</v>
      </c>
    </row>
    <row r="4" spans="2:9">
      <c r="B4" s="199">
        <f t="shared" ref="B4" ca="1" si="1">TODAY()-60</f>
        <v>45792</v>
      </c>
      <c r="C4" s="271" t="str">
        <f ca="1">IFERROR(VLOOKUP($B4,#REF!,C$2,0)/C$1/_xlfn.XLOOKUP(Inv_SY_B12[[#This Row],[Date]],Daily_KPI[Date],Daily_KPI[POA-UP(KWh/m2)]),"")</f>
        <v/>
      </c>
      <c r="D4" s="271" t="str">
        <f ca="1">IFERROR(VLOOKUP($B4,#REF!,D$2,0)/D$1/_xlfn.XLOOKUP(Inv_SY_B12[[#This Row],[Date]],Daily_KPI[Date],Daily_KPI[POA-UP(KWh/m2)]),"")</f>
        <v/>
      </c>
      <c r="E4" s="271" t="str">
        <f ca="1">IFERROR(VLOOKUP($B4,#REF!,E$2,0)/E$1/_xlfn.XLOOKUP(Inv_SY_B12[[#This Row],[Date]],Daily_KPI[Date],Daily_KPI[POA-UP(KWh/m2)]),"")</f>
        <v/>
      </c>
      <c r="F4" s="271" t="str">
        <f ca="1">IFERROR(VLOOKUP($B4,#REF!,F$2,0)/F$1/_xlfn.XLOOKUP(Inv_SY_B12[[#This Row],[Date]],Daily_KPI[Date],Daily_KPI[POA-UP(KWh/m2)]),"")</f>
        <v/>
      </c>
      <c r="G4" s="271" t="str">
        <f ca="1">IFERROR(VLOOKUP($B4,#REF!,G$2,0)/G$1/_xlfn.XLOOKUP(Inv_SY_B12[[#This Row],[Date]],Daily_KPI[Date],Daily_KPI[POA-UP(KWh/m2)]),"")</f>
        <v/>
      </c>
      <c r="H4" s="271" t="str">
        <f ca="1">IFERROR(VLOOKUP($B4,#REF!,H$2,0)/H$1/_xlfn.XLOOKUP(Inv_SY_B12[[#This Row],[Date]],Daily_KPI[Date],Daily_KPI[POA-UP(KWh/m2)]),"")</f>
        <v/>
      </c>
      <c r="I4" s="271" t="str">
        <f ca="1">IFERROR(VLOOKUP($B4,#REF!,I$2,0)/I$1/_xlfn.XLOOKUP(Inv_SY_B12[[#This Row],[Date]],Daily_KPI[Date],Daily_KPI[POA-UP(KWh/m2)]),"")</f>
        <v/>
      </c>
    </row>
    <row r="5" spans="2:9">
      <c r="B5" s="199">
        <f ca="1">B4+1</f>
        <v>45793</v>
      </c>
      <c r="C5" s="271" t="str">
        <f ca="1">IFERROR(VLOOKUP($B5,#REF!,C$2,0)/C$1/_xlfn.XLOOKUP(Inv_SY_B12[[#This Row],[Date]],Daily_KPI[Date],Daily_KPI[POA-UP(KWh/m2)]),"")</f>
        <v/>
      </c>
      <c r="D5" s="271" t="str">
        <f ca="1">IFERROR(VLOOKUP($B5,#REF!,D$2,0)/D$1/_xlfn.XLOOKUP(Inv_SY_B12[[#This Row],[Date]],Daily_KPI[Date],Daily_KPI[POA-UP(KWh/m2)]),"")</f>
        <v/>
      </c>
      <c r="E5" s="271" t="str">
        <f ca="1">IFERROR(VLOOKUP($B5,#REF!,E$2,0)/E$1/_xlfn.XLOOKUP(Inv_SY_B12[[#This Row],[Date]],Daily_KPI[Date],Daily_KPI[POA-UP(KWh/m2)]),"")</f>
        <v/>
      </c>
      <c r="F5" s="271" t="str">
        <f ca="1">IFERROR(VLOOKUP($B5,#REF!,F$2,0)/F$1/_xlfn.XLOOKUP(Inv_SY_B12[[#This Row],[Date]],Daily_KPI[Date],Daily_KPI[POA-UP(KWh/m2)]),"")</f>
        <v/>
      </c>
      <c r="G5" s="271" t="str">
        <f ca="1">IFERROR(VLOOKUP($B5,#REF!,G$2,0)/G$1/_xlfn.XLOOKUP(Inv_SY_B12[[#This Row],[Date]],Daily_KPI[Date],Daily_KPI[POA-UP(KWh/m2)]),"")</f>
        <v/>
      </c>
      <c r="H5" s="271" t="str">
        <f ca="1">IFERROR(VLOOKUP($B5,#REF!,H$2,0)/H$1/_xlfn.XLOOKUP(Inv_SY_B12[[#This Row],[Date]],Daily_KPI[Date],Daily_KPI[POA-UP(KWh/m2)]),"")</f>
        <v/>
      </c>
      <c r="I5" s="271" t="str">
        <f ca="1">IFERROR(VLOOKUP($B5,#REF!,I$2,0)/I$1/_xlfn.XLOOKUP(Inv_SY_B12[[#This Row],[Date]],Daily_KPI[Date],Daily_KPI[POA-UP(KWh/m2)]),"")</f>
        <v/>
      </c>
    </row>
    <row r="6" spans="2:9">
      <c r="B6" s="199">
        <f t="shared" ref="B6:B64" ca="1" si="2">B5+1</f>
        <v>45794</v>
      </c>
      <c r="C6" s="271" t="str">
        <f ca="1">IFERROR(VLOOKUP($B6,#REF!,C$2,0)/C$1/_xlfn.XLOOKUP(Inv_SY_B12[[#This Row],[Date]],Daily_KPI[Date],Daily_KPI[POA-UP(KWh/m2)]),"")</f>
        <v/>
      </c>
      <c r="D6" s="271" t="str">
        <f ca="1">IFERROR(VLOOKUP($B6,#REF!,D$2,0)/D$1/_xlfn.XLOOKUP(Inv_SY_B12[[#This Row],[Date]],Daily_KPI[Date],Daily_KPI[POA-UP(KWh/m2)]),"")</f>
        <v/>
      </c>
      <c r="E6" s="271" t="str">
        <f ca="1">IFERROR(VLOOKUP($B6,#REF!,E$2,0)/E$1/_xlfn.XLOOKUP(Inv_SY_B12[[#This Row],[Date]],Daily_KPI[Date],Daily_KPI[POA-UP(KWh/m2)]),"")</f>
        <v/>
      </c>
      <c r="F6" s="271" t="str">
        <f ca="1">IFERROR(VLOOKUP($B6,#REF!,F$2,0)/F$1/_xlfn.XLOOKUP(Inv_SY_B12[[#This Row],[Date]],Daily_KPI[Date],Daily_KPI[POA-UP(KWh/m2)]),"")</f>
        <v/>
      </c>
      <c r="G6" s="271" t="str">
        <f ca="1">IFERROR(VLOOKUP($B6,#REF!,G$2,0)/G$1/_xlfn.XLOOKUP(Inv_SY_B12[[#This Row],[Date]],Daily_KPI[Date],Daily_KPI[POA-UP(KWh/m2)]),"")</f>
        <v/>
      </c>
      <c r="H6" s="271" t="str">
        <f ca="1">IFERROR(VLOOKUP($B6,#REF!,H$2,0)/H$1/_xlfn.XLOOKUP(Inv_SY_B12[[#This Row],[Date]],Daily_KPI[Date],Daily_KPI[POA-UP(KWh/m2)]),"")</f>
        <v/>
      </c>
      <c r="I6" s="271" t="str">
        <f ca="1">IFERROR(VLOOKUP($B6,#REF!,I$2,0)/I$1/_xlfn.XLOOKUP(Inv_SY_B12[[#This Row],[Date]],Daily_KPI[Date],Daily_KPI[POA-UP(KWh/m2)]),"")</f>
        <v/>
      </c>
    </row>
    <row r="7" spans="2:9">
      <c r="B7" s="199">
        <f t="shared" ca="1" si="2"/>
        <v>45795</v>
      </c>
      <c r="C7" s="271" t="str">
        <f ca="1">IFERROR(VLOOKUP($B7,#REF!,C$2,0)/C$1/_xlfn.XLOOKUP(Inv_SY_B12[[#This Row],[Date]],Daily_KPI[Date],Daily_KPI[POA-UP(KWh/m2)]),"")</f>
        <v/>
      </c>
      <c r="D7" s="271" t="str">
        <f ca="1">IFERROR(VLOOKUP($B7,#REF!,D$2,0)/D$1/_xlfn.XLOOKUP(Inv_SY_B12[[#This Row],[Date]],Daily_KPI[Date],Daily_KPI[POA-UP(KWh/m2)]),"")</f>
        <v/>
      </c>
      <c r="E7" s="271" t="str">
        <f ca="1">IFERROR(VLOOKUP($B7,#REF!,E$2,0)/E$1/_xlfn.XLOOKUP(Inv_SY_B12[[#This Row],[Date]],Daily_KPI[Date],Daily_KPI[POA-UP(KWh/m2)]),"")</f>
        <v/>
      </c>
      <c r="F7" s="271" t="str">
        <f ca="1">IFERROR(VLOOKUP($B7,#REF!,F$2,0)/F$1/_xlfn.XLOOKUP(Inv_SY_B12[[#This Row],[Date]],Daily_KPI[Date],Daily_KPI[POA-UP(KWh/m2)]),"")</f>
        <v/>
      </c>
      <c r="G7" s="271" t="str">
        <f ca="1">IFERROR(VLOOKUP($B7,#REF!,G$2,0)/G$1/_xlfn.XLOOKUP(Inv_SY_B12[[#This Row],[Date]],Daily_KPI[Date],Daily_KPI[POA-UP(KWh/m2)]),"")</f>
        <v/>
      </c>
      <c r="H7" s="271" t="str">
        <f ca="1">IFERROR(VLOOKUP($B7,#REF!,H$2,0)/H$1/_xlfn.XLOOKUP(Inv_SY_B12[[#This Row],[Date]],Daily_KPI[Date],Daily_KPI[POA-UP(KWh/m2)]),"")</f>
        <v/>
      </c>
      <c r="I7" s="271" t="str">
        <f ca="1">IFERROR(VLOOKUP($B7,#REF!,I$2,0)/I$1/_xlfn.XLOOKUP(Inv_SY_B12[[#This Row],[Date]],Daily_KPI[Date],Daily_KPI[POA-UP(KWh/m2)]),"")</f>
        <v/>
      </c>
    </row>
    <row r="8" spans="2:9">
      <c r="B8" s="199">
        <f t="shared" ca="1" si="2"/>
        <v>45796</v>
      </c>
      <c r="C8" s="271" t="str">
        <f ca="1">IFERROR(VLOOKUP($B8,#REF!,C$2,0)/C$1/_xlfn.XLOOKUP(Inv_SY_B12[[#This Row],[Date]],Daily_KPI[Date],Daily_KPI[POA-UP(KWh/m2)]),"")</f>
        <v/>
      </c>
      <c r="D8" s="271" t="str">
        <f ca="1">IFERROR(VLOOKUP($B8,#REF!,D$2,0)/D$1/_xlfn.XLOOKUP(Inv_SY_B12[[#This Row],[Date]],Daily_KPI[Date],Daily_KPI[POA-UP(KWh/m2)]),"")</f>
        <v/>
      </c>
      <c r="E8" s="271" t="str">
        <f ca="1">IFERROR(VLOOKUP($B8,#REF!,E$2,0)/E$1/_xlfn.XLOOKUP(Inv_SY_B12[[#This Row],[Date]],Daily_KPI[Date],Daily_KPI[POA-UP(KWh/m2)]),"")</f>
        <v/>
      </c>
      <c r="F8" s="271" t="str">
        <f ca="1">IFERROR(VLOOKUP($B8,#REF!,F$2,0)/F$1/_xlfn.XLOOKUP(Inv_SY_B12[[#This Row],[Date]],Daily_KPI[Date],Daily_KPI[POA-UP(KWh/m2)]),"")</f>
        <v/>
      </c>
      <c r="G8" s="271" t="str">
        <f ca="1">IFERROR(VLOOKUP($B8,#REF!,G$2,0)/G$1/_xlfn.XLOOKUP(Inv_SY_B12[[#This Row],[Date]],Daily_KPI[Date],Daily_KPI[POA-UP(KWh/m2)]),"")</f>
        <v/>
      </c>
      <c r="H8" s="271" t="str">
        <f ca="1">IFERROR(VLOOKUP($B8,#REF!,H$2,0)/H$1/_xlfn.XLOOKUP(Inv_SY_B12[[#This Row],[Date]],Daily_KPI[Date],Daily_KPI[POA-UP(KWh/m2)]),"")</f>
        <v/>
      </c>
      <c r="I8" s="271" t="str">
        <f ca="1">IFERROR(VLOOKUP($B8,#REF!,I$2,0)/I$1/_xlfn.XLOOKUP(Inv_SY_B12[[#This Row],[Date]],Daily_KPI[Date],Daily_KPI[POA-UP(KWh/m2)]),"")</f>
        <v/>
      </c>
    </row>
    <row r="9" spans="2:9">
      <c r="B9" s="199">
        <f t="shared" ca="1" si="2"/>
        <v>45797</v>
      </c>
      <c r="C9" s="271" t="str">
        <f ca="1">IFERROR(VLOOKUP($B9,#REF!,C$2,0)/C$1/_xlfn.XLOOKUP(Inv_SY_B12[[#This Row],[Date]],Daily_KPI[Date],Daily_KPI[POA-UP(KWh/m2)]),"")</f>
        <v/>
      </c>
      <c r="D9" s="271" t="str">
        <f ca="1">IFERROR(VLOOKUP($B9,#REF!,D$2,0)/D$1/_xlfn.XLOOKUP(Inv_SY_B12[[#This Row],[Date]],Daily_KPI[Date],Daily_KPI[POA-UP(KWh/m2)]),"")</f>
        <v/>
      </c>
      <c r="E9" s="271" t="str">
        <f ca="1">IFERROR(VLOOKUP($B9,#REF!,E$2,0)/E$1/_xlfn.XLOOKUP(Inv_SY_B12[[#This Row],[Date]],Daily_KPI[Date],Daily_KPI[POA-UP(KWh/m2)]),"")</f>
        <v/>
      </c>
      <c r="F9" s="271" t="str">
        <f ca="1">IFERROR(VLOOKUP($B9,#REF!,F$2,0)/F$1/_xlfn.XLOOKUP(Inv_SY_B12[[#This Row],[Date]],Daily_KPI[Date],Daily_KPI[POA-UP(KWh/m2)]),"")</f>
        <v/>
      </c>
      <c r="G9" s="271" t="str">
        <f ca="1">IFERROR(VLOOKUP($B9,#REF!,G$2,0)/G$1/_xlfn.XLOOKUP(Inv_SY_B12[[#This Row],[Date]],Daily_KPI[Date],Daily_KPI[POA-UP(KWh/m2)]),"")</f>
        <v/>
      </c>
      <c r="H9" s="271" t="str">
        <f ca="1">IFERROR(VLOOKUP($B9,#REF!,H$2,0)/H$1/_xlfn.XLOOKUP(Inv_SY_B12[[#This Row],[Date]],Daily_KPI[Date],Daily_KPI[POA-UP(KWh/m2)]),"")</f>
        <v/>
      </c>
      <c r="I9" s="271" t="str">
        <f ca="1">IFERROR(VLOOKUP($B9,#REF!,I$2,0)/I$1/_xlfn.XLOOKUP(Inv_SY_B12[[#This Row],[Date]],Daily_KPI[Date],Daily_KPI[POA-UP(KWh/m2)]),"")</f>
        <v/>
      </c>
    </row>
    <row r="10" spans="2:9">
      <c r="B10" s="199">
        <f t="shared" ca="1" si="2"/>
        <v>45798</v>
      </c>
      <c r="C10" s="271" t="str">
        <f ca="1">IFERROR(VLOOKUP($B10,#REF!,C$2,0)/C$1/_xlfn.XLOOKUP(Inv_SY_B12[[#This Row],[Date]],Daily_KPI[Date],Daily_KPI[POA-UP(KWh/m2)]),"")</f>
        <v/>
      </c>
      <c r="D10" s="271" t="str">
        <f ca="1">IFERROR(VLOOKUP($B10,#REF!,D$2,0)/D$1/_xlfn.XLOOKUP(Inv_SY_B12[[#This Row],[Date]],Daily_KPI[Date],Daily_KPI[POA-UP(KWh/m2)]),"")</f>
        <v/>
      </c>
      <c r="E10" s="271" t="str">
        <f ca="1">IFERROR(VLOOKUP($B10,#REF!,E$2,0)/E$1/_xlfn.XLOOKUP(Inv_SY_B12[[#This Row],[Date]],Daily_KPI[Date],Daily_KPI[POA-UP(KWh/m2)]),"")</f>
        <v/>
      </c>
      <c r="F10" s="271" t="str">
        <f ca="1">IFERROR(VLOOKUP($B10,#REF!,F$2,0)/F$1/_xlfn.XLOOKUP(Inv_SY_B12[[#This Row],[Date]],Daily_KPI[Date],Daily_KPI[POA-UP(KWh/m2)]),"")</f>
        <v/>
      </c>
      <c r="G10" s="271" t="str">
        <f ca="1">IFERROR(VLOOKUP($B10,#REF!,G$2,0)/G$1/_xlfn.XLOOKUP(Inv_SY_B12[[#This Row],[Date]],Daily_KPI[Date],Daily_KPI[POA-UP(KWh/m2)]),"")</f>
        <v/>
      </c>
      <c r="H10" s="271" t="str">
        <f ca="1">IFERROR(VLOOKUP($B10,#REF!,H$2,0)/H$1/_xlfn.XLOOKUP(Inv_SY_B12[[#This Row],[Date]],Daily_KPI[Date],Daily_KPI[POA-UP(KWh/m2)]),"")</f>
        <v/>
      </c>
      <c r="I10" s="271" t="str">
        <f ca="1">IFERROR(VLOOKUP($B10,#REF!,I$2,0)/I$1/_xlfn.XLOOKUP(Inv_SY_B12[[#This Row],[Date]],Daily_KPI[Date],Daily_KPI[POA-UP(KWh/m2)]),"")</f>
        <v/>
      </c>
    </row>
    <row r="11" spans="2:9">
      <c r="B11" s="199">
        <f t="shared" ca="1" si="2"/>
        <v>45799</v>
      </c>
      <c r="C11" s="271" t="str">
        <f ca="1">IFERROR(VLOOKUP($B11,#REF!,C$2,0)/C$1/_xlfn.XLOOKUP(Inv_SY_B12[[#This Row],[Date]],Daily_KPI[Date],Daily_KPI[POA-UP(KWh/m2)]),"")</f>
        <v/>
      </c>
      <c r="D11" s="271" t="str">
        <f ca="1">IFERROR(VLOOKUP($B11,#REF!,D$2,0)/D$1/_xlfn.XLOOKUP(Inv_SY_B12[[#This Row],[Date]],Daily_KPI[Date],Daily_KPI[POA-UP(KWh/m2)]),"")</f>
        <v/>
      </c>
      <c r="E11" s="271" t="str">
        <f ca="1">IFERROR(VLOOKUP($B11,#REF!,E$2,0)/E$1/_xlfn.XLOOKUP(Inv_SY_B12[[#This Row],[Date]],Daily_KPI[Date],Daily_KPI[POA-UP(KWh/m2)]),"")</f>
        <v/>
      </c>
      <c r="F11" s="271" t="str">
        <f ca="1">IFERROR(VLOOKUP($B11,#REF!,F$2,0)/F$1/_xlfn.XLOOKUP(Inv_SY_B12[[#This Row],[Date]],Daily_KPI[Date],Daily_KPI[POA-UP(KWh/m2)]),"")</f>
        <v/>
      </c>
      <c r="G11" s="271" t="str">
        <f ca="1">IFERROR(VLOOKUP($B11,#REF!,G$2,0)/G$1/_xlfn.XLOOKUP(Inv_SY_B12[[#This Row],[Date]],Daily_KPI[Date],Daily_KPI[POA-UP(KWh/m2)]),"")</f>
        <v/>
      </c>
      <c r="H11" s="271" t="str">
        <f ca="1">IFERROR(VLOOKUP($B11,#REF!,H$2,0)/H$1/_xlfn.XLOOKUP(Inv_SY_B12[[#This Row],[Date]],Daily_KPI[Date],Daily_KPI[POA-UP(KWh/m2)]),"")</f>
        <v/>
      </c>
      <c r="I11" s="271" t="str">
        <f ca="1">IFERROR(VLOOKUP($B11,#REF!,I$2,0)/I$1/_xlfn.XLOOKUP(Inv_SY_B12[[#This Row],[Date]],Daily_KPI[Date],Daily_KPI[POA-UP(KWh/m2)]),"")</f>
        <v/>
      </c>
    </row>
    <row r="12" spans="2:9">
      <c r="B12" s="199">
        <f t="shared" ca="1" si="2"/>
        <v>45800</v>
      </c>
      <c r="C12" s="271" t="str">
        <f ca="1">IFERROR(VLOOKUP($B12,#REF!,C$2,0)/C$1/_xlfn.XLOOKUP(Inv_SY_B12[[#This Row],[Date]],Daily_KPI[Date],Daily_KPI[POA-UP(KWh/m2)]),"")</f>
        <v/>
      </c>
      <c r="D12" s="271" t="str">
        <f ca="1">IFERROR(VLOOKUP($B12,#REF!,D$2,0)/D$1/_xlfn.XLOOKUP(Inv_SY_B12[[#This Row],[Date]],Daily_KPI[Date],Daily_KPI[POA-UP(KWh/m2)]),"")</f>
        <v/>
      </c>
      <c r="E12" s="271" t="str">
        <f ca="1">IFERROR(VLOOKUP($B12,#REF!,E$2,0)/E$1/_xlfn.XLOOKUP(Inv_SY_B12[[#This Row],[Date]],Daily_KPI[Date],Daily_KPI[POA-UP(KWh/m2)]),"")</f>
        <v/>
      </c>
      <c r="F12" s="271" t="str">
        <f ca="1">IFERROR(VLOOKUP($B12,#REF!,F$2,0)/F$1/_xlfn.XLOOKUP(Inv_SY_B12[[#This Row],[Date]],Daily_KPI[Date],Daily_KPI[POA-UP(KWh/m2)]),"")</f>
        <v/>
      </c>
      <c r="G12" s="271" t="str">
        <f ca="1">IFERROR(VLOOKUP($B12,#REF!,G$2,0)/G$1/_xlfn.XLOOKUP(Inv_SY_B12[[#This Row],[Date]],Daily_KPI[Date],Daily_KPI[POA-UP(KWh/m2)]),"")</f>
        <v/>
      </c>
      <c r="H12" s="271" t="str">
        <f ca="1">IFERROR(VLOOKUP($B12,#REF!,H$2,0)/H$1/_xlfn.XLOOKUP(Inv_SY_B12[[#This Row],[Date]],Daily_KPI[Date],Daily_KPI[POA-UP(KWh/m2)]),"")</f>
        <v/>
      </c>
      <c r="I12" s="271" t="str">
        <f ca="1">IFERROR(VLOOKUP($B12,#REF!,I$2,0)/I$1/_xlfn.XLOOKUP(Inv_SY_B12[[#This Row],[Date]],Daily_KPI[Date],Daily_KPI[POA-UP(KWh/m2)]),"")</f>
        <v/>
      </c>
    </row>
    <row r="13" spans="2:9">
      <c r="B13" s="199">
        <f t="shared" ca="1" si="2"/>
        <v>45801</v>
      </c>
      <c r="C13" s="271" t="str">
        <f ca="1">IFERROR(VLOOKUP($B13,#REF!,C$2,0)/C$1/_xlfn.XLOOKUP(Inv_SY_B12[[#This Row],[Date]],Daily_KPI[Date],Daily_KPI[POA-UP(KWh/m2)]),"")</f>
        <v/>
      </c>
      <c r="D13" s="271" t="str">
        <f ca="1">IFERROR(VLOOKUP($B13,#REF!,D$2,0)/D$1/_xlfn.XLOOKUP(Inv_SY_B12[[#This Row],[Date]],Daily_KPI[Date],Daily_KPI[POA-UP(KWh/m2)]),"")</f>
        <v/>
      </c>
      <c r="E13" s="271" t="str">
        <f ca="1">IFERROR(VLOOKUP($B13,#REF!,E$2,0)/E$1/_xlfn.XLOOKUP(Inv_SY_B12[[#This Row],[Date]],Daily_KPI[Date],Daily_KPI[POA-UP(KWh/m2)]),"")</f>
        <v/>
      </c>
      <c r="F13" s="271" t="str">
        <f ca="1">IFERROR(VLOOKUP($B13,#REF!,F$2,0)/F$1/_xlfn.XLOOKUP(Inv_SY_B12[[#This Row],[Date]],Daily_KPI[Date],Daily_KPI[POA-UP(KWh/m2)]),"")</f>
        <v/>
      </c>
      <c r="G13" s="271" t="str">
        <f ca="1">IFERROR(VLOOKUP($B13,#REF!,G$2,0)/G$1/_xlfn.XLOOKUP(Inv_SY_B12[[#This Row],[Date]],Daily_KPI[Date],Daily_KPI[POA-UP(KWh/m2)]),"")</f>
        <v/>
      </c>
      <c r="H13" s="271" t="str">
        <f ca="1">IFERROR(VLOOKUP($B13,#REF!,H$2,0)/H$1/_xlfn.XLOOKUP(Inv_SY_B12[[#This Row],[Date]],Daily_KPI[Date],Daily_KPI[POA-UP(KWh/m2)]),"")</f>
        <v/>
      </c>
      <c r="I13" s="271" t="str">
        <f ca="1">IFERROR(VLOOKUP($B13,#REF!,I$2,0)/I$1/_xlfn.XLOOKUP(Inv_SY_B12[[#This Row],[Date]],Daily_KPI[Date],Daily_KPI[POA-UP(KWh/m2)]),"")</f>
        <v/>
      </c>
    </row>
    <row r="14" spans="2:9">
      <c r="B14" s="199">
        <f t="shared" ca="1" si="2"/>
        <v>45802</v>
      </c>
      <c r="C14" s="271" t="str">
        <f ca="1">IFERROR(VLOOKUP($B14,#REF!,C$2,0)/C$1/_xlfn.XLOOKUP(Inv_SY_B12[[#This Row],[Date]],Daily_KPI[Date],Daily_KPI[POA-UP(KWh/m2)]),"")</f>
        <v/>
      </c>
      <c r="D14" s="271" t="str">
        <f ca="1">IFERROR(VLOOKUP($B14,#REF!,D$2,0)/D$1/_xlfn.XLOOKUP(Inv_SY_B12[[#This Row],[Date]],Daily_KPI[Date],Daily_KPI[POA-UP(KWh/m2)]),"")</f>
        <v/>
      </c>
      <c r="E14" s="271" t="str">
        <f ca="1">IFERROR(VLOOKUP($B14,#REF!,E$2,0)/E$1/_xlfn.XLOOKUP(Inv_SY_B12[[#This Row],[Date]],Daily_KPI[Date],Daily_KPI[POA-UP(KWh/m2)]),"")</f>
        <v/>
      </c>
      <c r="F14" s="271" t="str">
        <f ca="1">IFERROR(VLOOKUP($B14,#REF!,F$2,0)/F$1/_xlfn.XLOOKUP(Inv_SY_B12[[#This Row],[Date]],Daily_KPI[Date],Daily_KPI[POA-UP(KWh/m2)]),"")</f>
        <v/>
      </c>
      <c r="G14" s="271" t="str">
        <f ca="1">IFERROR(VLOOKUP($B14,#REF!,G$2,0)/G$1/_xlfn.XLOOKUP(Inv_SY_B12[[#This Row],[Date]],Daily_KPI[Date],Daily_KPI[POA-UP(KWh/m2)]),"")</f>
        <v/>
      </c>
      <c r="H14" s="271" t="str">
        <f ca="1">IFERROR(VLOOKUP($B14,#REF!,H$2,0)/H$1/_xlfn.XLOOKUP(Inv_SY_B12[[#This Row],[Date]],Daily_KPI[Date],Daily_KPI[POA-UP(KWh/m2)]),"")</f>
        <v/>
      </c>
      <c r="I14" s="271" t="str">
        <f ca="1">IFERROR(VLOOKUP($B14,#REF!,I$2,0)/I$1/_xlfn.XLOOKUP(Inv_SY_B12[[#This Row],[Date]],Daily_KPI[Date],Daily_KPI[POA-UP(KWh/m2)]),"")</f>
        <v/>
      </c>
    </row>
    <row r="15" spans="2:9">
      <c r="B15" s="199">
        <f t="shared" ca="1" si="2"/>
        <v>45803</v>
      </c>
      <c r="C15" s="271" t="str">
        <f ca="1">IFERROR(VLOOKUP($B15,#REF!,C$2,0)/C$1/_xlfn.XLOOKUP(Inv_SY_B12[[#This Row],[Date]],Daily_KPI[Date],Daily_KPI[POA-UP(KWh/m2)]),"")</f>
        <v/>
      </c>
      <c r="D15" s="271" t="str">
        <f ca="1">IFERROR(VLOOKUP($B15,#REF!,D$2,0)/D$1/_xlfn.XLOOKUP(Inv_SY_B12[[#This Row],[Date]],Daily_KPI[Date],Daily_KPI[POA-UP(KWh/m2)]),"")</f>
        <v/>
      </c>
      <c r="E15" s="271" t="str">
        <f ca="1">IFERROR(VLOOKUP($B15,#REF!,E$2,0)/E$1/_xlfn.XLOOKUP(Inv_SY_B12[[#This Row],[Date]],Daily_KPI[Date],Daily_KPI[POA-UP(KWh/m2)]),"")</f>
        <v/>
      </c>
      <c r="F15" s="271" t="str">
        <f ca="1">IFERROR(VLOOKUP($B15,#REF!,F$2,0)/F$1/_xlfn.XLOOKUP(Inv_SY_B12[[#This Row],[Date]],Daily_KPI[Date],Daily_KPI[POA-UP(KWh/m2)]),"")</f>
        <v/>
      </c>
      <c r="G15" s="271" t="str">
        <f ca="1">IFERROR(VLOOKUP($B15,#REF!,G$2,0)/G$1/_xlfn.XLOOKUP(Inv_SY_B12[[#This Row],[Date]],Daily_KPI[Date],Daily_KPI[POA-UP(KWh/m2)]),"")</f>
        <v/>
      </c>
      <c r="H15" s="271" t="str">
        <f ca="1">IFERROR(VLOOKUP($B15,#REF!,H$2,0)/H$1/_xlfn.XLOOKUP(Inv_SY_B12[[#This Row],[Date]],Daily_KPI[Date],Daily_KPI[POA-UP(KWh/m2)]),"")</f>
        <v/>
      </c>
      <c r="I15" s="271" t="str">
        <f ca="1">IFERROR(VLOOKUP($B15,#REF!,I$2,0)/I$1/_xlfn.XLOOKUP(Inv_SY_B12[[#This Row],[Date]],Daily_KPI[Date],Daily_KPI[POA-UP(KWh/m2)]),"")</f>
        <v/>
      </c>
    </row>
    <row r="16" spans="2:9">
      <c r="B16" s="199">
        <f t="shared" ca="1" si="2"/>
        <v>45804</v>
      </c>
      <c r="C16" s="271" t="str">
        <f ca="1">IFERROR(VLOOKUP($B16,#REF!,C$2,0)/C$1/_xlfn.XLOOKUP(Inv_SY_B12[[#This Row],[Date]],Daily_KPI[Date],Daily_KPI[POA-UP(KWh/m2)]),"")</f>
        <v/>
      </c>
      <c r="D16" s="271" t="str">
        <f ca="1">IFERROR(VLOOKUP($B16,#REF!,D$2,0)/D$1/_xlfn.XLOOKUP(Inv_SY_B12[[#This Row],[Date]],Daily_KPI[Date],Daily_KPI[POA-UP(KWh/m2)]),"")</f>
        <v/>
      </c>
      <c r="E16" s="271" t="str">
        <f ca="1">IFERROR(VLOOKUP($B16,#REF!,E$2,0)/E$1/_xlfn.XLOOKUP(Inv_SY_B12[[#This Row],[Date]],Daily_KPI[Date],Daily_KPI[POA-UP(KWh/m2)]),"")</f>
        <v/>
      </c>
      <c r="F16" s="271" t="str">
        <f ca="1">IFERROR(VLOOKUP($B16,#REF!,F$2,0)/F$1/_xlfn.XLOOKUP(Inv_SY_B12[[#This Row],[Date]],Daily_KPI[Date],Daily_KPI[POA-UP(KWh/m2)]),"")</f>
        <v/>
      </c>
      <c r="G16" s="271" t="str">
        <f ca="1">IFERROR(VLOOKUP($B16,#REF!,G$2,0)/G$1/_xlfn.XLOOKUP(Inv_SY_B12[[#This Row],[Date]],Daily_KPI[Date],Daily_KPI[POA-UP(KWh/m2)]),"")</f>
        <v/>
      </c>
      <c r="H16" s="271" t="str">
        <f ca="1">IFERROR(VLOOKUP($B16,#REF!,H$2,0)/H$1/_xlfn.XLOOKUP(Inv_SY_B12[[#This Row],[Date]],Daily_KPI[Date],Daily_KPI[POA-UP(KWh/m2)]),"")</f>
        <v/>
      </c>
      <c r="I16" s="271" t="str">
        <f ca="1">IFERROR(VLOOKUP($B16,#REF!,I$2,0)/I$1/_xlfn.XLOOKUP(Inv_SY_B12[[#This Row],[Date]],Daily_KPI[Date],Daily_KPI[POA-UP(KWh/m2)]),"")</f>
        <v/>
      </c>
    </row>
    <row r="17" spans="2:9">
      <c r="B17" s="199">
        <f t="shared" ca="1" si="2"/>
        <v>45805</v>
      </c>
      <c r="C17" s="271" t="str">
        <f ca="1">IFERROR(VLOOKUP($B17,#REF!,C$2,0)/C$1/_xlfn.XLOOKUP(Inv_SY_B12[[#This Row],[Date]],Daily_KPI[Date],Daily_KPI[POA-UP(KWh/m2)]),"")</f>
        <v/>
      </c>
      <c r="D17" s="271" t="str">
        <f ca="1">IFERROR(VLOOKUP($B17,#REF!,D$2,0)/D$1/_xlfn.XLOOKUP(Inv_SY_B12[[#This Row],[Date]],Daily_KPI[Date],Daily_KPI[POA-UP(KWh/m2)]),"")</f>
        <v/>
      </c>
      <c r="E17" s="271" t="str">
        <f ca="1">IFERROR(VLOOKUP($B17,#REF!,E$2,0)/E$1/_xlfn.XLOOKUP(Inv_SY_B12[[#This Row],[Date]],Daily_KPI[Date],Daily_KPI[POA-UP(KWh/m2)]),"")</f>
        <v/>
      </c>
      <c r="F17" s="271" t="str">
        <f ca="1">IFERROR(VLOOKUP($B17,#REF!,F$2,0)/F$1/_xlfn.XLOOKUP(Inv_SY_B12[[#This Row],[Date]],Daily_KPI[Date],Daily_KPI[POA-UP(KWh/m2)]),"")</f>
        <v/>
      </c>
      <c r="G17" s="271" t="str">
        <f ca="1">IFERROR(VLOOKUP($B17,#REF!,G$2,0)/G$1/_xlfn.XLOOKUP(Inv_SY_B12[[#This Row],[Date]],Daily_KPI[Date],Daily_KPI[POA-UP(KWh/m2)]),"")</f>
        <v/>
      </c>
      <c r="H17" s="271" t="str">
        <f ca="1">IFERROR(VLOOKUP($B17,#REF!,H$2,0)/H$1/_xlfn.XLOOKUP(Inv_SY_B12[[#This Row],[Date]],Daily_KPI[Date],Daily_KPI[POA-UP(KWh/m2)]),"")</f>
        <v/>
      </c>
      <c r="I17" s="271" t="str">
        <f ca="1">IFERROR(VLOOKUP($B17,#REF!,I$2,0)/I$1/_xlfn.XLOOKUP(Inv_SY_B12[[#This Row],[Date]],Daily_KPI[Date],Daily_KPI[POA-UP(KWh/m2)]),"")</f>
        <v/>
      </c>
    </row>
    <row r="18" spans="2:9">
      <c r="B18" s="199">
        <f t="shared" ca="1" si="2"/>
        <v>45806</v>
      </c>
      <c r="C18" s="271" t="str">
        <f ca="1">IFERROR(VLOOKUP($B18,#REF!,C$2,0)/C$1/_xlfn.XLOOKUP(Inv_SY_B12[[#This Row],[Date]],Daily_KPI[Date],Daily_KPI[POA-UP(KWh/m2)]),"")</f>
        <v/>
      </c>
      <c r="D18" s="271" t="str">
        <f ca="1">IFERROR(VLOOKUP($B18,#REF!,D$2,0)/D$1/_xlfn.XLOOKUP(Inv_SY_B12[[#This Row],[Date]],Daily_KPI[Date],Daily_KPI[POA-UP(KWh/m2)]),"")</f>
        <v/>
      </c>
      <c r="E18" s="271" t="str">
        <f ca="1">IFERROR(VLOOKUP($B18,#REF!,E$2,0)/E$1/_xlfn.XLOOKUP(Inv_SY_B12[[#This Row],[Date]],Daily_KPI[Date],Daily_KPI[POA-UP(KWh/m2)]),"")</f>
        <v/>
      </c>
      <c r="F18" s="271" t="str">
        <f ca="1">IFERROR(VLOOKUP($B18,#REF!,F$2,0)/F$1/_xlfn.XLOOKUP(Inv_SY_B12[[#This Row],[Date]],Daily_KPI[Date],Daily_KPI[POA-UP(KWh/m2)]),"")</f>
        <v/>
      </c>
      <c r="G18" s="271" t="str">
        <f ca="1">IFERROR(VLOOKUP($B18,#REF!,G$2,0)/G$1/_xlfn.XLOOKUP(Inv_SY_B12[[#This Row],[Date]],Daily_KPI[Date],Daily_KPI[POA-UP(KWh/m2)]),"")</f>
        <v/>
      </c>
      <c r="H18" s="271" t="str">
        <f ca="1">IFERROR(VLOOKUP($B18,#REF!,H$2,0)/H$1/_xlfn.XLOOKUP(Inv_SY_B12[[#This Row],[Date]],Daily_KPI[Date],Daily_KPI[POA-UP(KWh/m2)]),"")</f>
        <v/>
      </c>
      <c r="I18" s="271" t="str">
        <f ca="1">IFERROR(VLOOKUP($B18,#REF!,I$2,0)/I$1/_xlfn.XLOOKUP(Inv_SY_B12[[#This Row],[Date]],Daily_KPI[Date],Daily_KPI[POA-UP(KWh/m2)]),"")</f>
        <v/>
      </c>
    </row>
    <row r="19" spans="2:9">
      <c r="B19" s="199">
        <f t="shared" ca="1" si="2"/>
        <v>45807</v>
      </c>
      <c r="C19" s="271" t="str">
        <f ca="1">IFERROR(VLOOKUP($B19,#REF!,C$2,0)/C$1/_xlfn.XLOOKUP(Inv_SY_B12[[#This Row],[Date]],Daily_KPI[Date],Daily_KPI[POA-UP(KWh/m2)]),"")</f>
        <v/>
      </c>
      <c r="D19" s="271" t="str">
        <f ca="1">IFERROR(VLOOKUP($B19,#REF!,D$2,0)/D$1/_xlfn.XLOOKUP(Inv_SY_B12[[#This Row],[Date]],Daily_KPI[Date],Daily_KPI[POA-UP(KWh/m2)]),"")</f>
        <v/>
      </c>
      <c r="E19" s="271" t="str">
        <f ca="1">IFERROR(VLOOKUP($B19,#REF!,E$2,0)/E$1/_xlfn.XLOOKUP(Inv_SY_B12[[#This Row],[Date]],Daily_KPI[Date],Daily_KPI[POA-UP(KWh/m2)]),"")</f>
        <v/>
      </c>
      <c r="F19" s="271" t="str">
        <f ca="1">IFERROR(VLOOKUP($B19,#REF!,F$2,0)/F$1/_xlfn.XLOOKUP(Inv_SY_B12[[#This Row],[Date]],Daily_KPI[Date],Daily_KPI[POA-UP(KWh/m2)]),"")</f>
        <v/>
      </c>
      <c r="G19" s="271" t="str">
        <f ca="1">IFERROR(VLOOKUP($B19,#REF!,G$2,0)/G$1/_xlfn.XLOOKUP(Inv_SY_B12[[#This Row],[Date]],Daily_KPI[Date],Daily_KPI[POA-UP(KWh/m2)]),"")</f>
        <v/>
      </c>
      <c r="H19" s="271" t="str">
        <f ca="1">IFERROR(VLOOKUP($B19,#REF!,H$2,0)/H$1/_xlfn.XLOOKUP(Inv_SY_B12[[#This Row],[Date]],Daily_KPI[Date],Daily_KPI[POA-UP(KWh/m2)]),"")</f>
        <v/>
      </c>
      <c r="I19" s="271" t="str">
        <f ca="1">IFERROR(VLOOKUP($B19,#REF!,I$2,0)/I$1/_xlfn.XLOOKUP(Inv_SY_B12[[#This Row],[Date]],Daily_KPI[Date],Daily_KPI[POA-UP(KWh/m2)]),"")</f>
        <v/>
      </c>
    </row>
    <row r="20" spans="2:9">
      <c r="B20" s="199">
        <f t="shared" ca="1" si="2"/>
        <v>45808</v>
      </c>
      <c r="C20" s="271" t="str">
        <f ca="1">IFERROR(VLOOKUP($B20,#REF!,C$2,0)/C$1/_xlfn.XLOOKUP(Inv_SY_B12[[#This Row],[Date]],Daily_KPI[Date],Daily_KPI[POA-UP(KWh/m2)]),"")</f>
        <v/>
      </c>
      <c r="D20" s="271" t="str">
        <f ca="1">IFERROR(VLOOKUP($B20,#REF!,D$2,0)/D$1/_xlfn.XLOOKUP(Inv_SY_B12[[#This Row],[Date]],Daily_KPI[Date],Daily_KPI[POA-UP(KWh/m2)]),"")</f>
        <v/>
      </c>
      <c r="E20" s="271" t="str">
        <f ca="1">IFERROR(VLOOKUP($B20,#REF!,E$2,0)/E$1/_xlfn.XLOOKUP(Inv_SY_B12[[#This Row],[Date]],Daily_KPI[Date],Daily_KPI[POA-UP(KWh/m2)]),"")</f>
        <v/>
      </c>
      <c r="F20" s="271" t="str">
        <f ca="1">IFERROR(VLOOKUP($B20,#REF!,F$2,0)/F$1/_xlfn.XLOOKUP(Inv_SY_B12[[#This Row],[Date]],Daily_KPI[Date],Daily_KPI[POA-UP(KWh/m2)]),"")</f>
        <v/>
      </c>
      <c r="G20" s="271" t="str">
        <f ca="1">IFERROR(VLOOKUP($B20,#REF!,G$2,0)/G$1/_xlfn.XLOOKUP(Inv_SY_B12[[#This Row],[Date]],Daily_KPI[Date],Daily_KPI[POA-UP(KWh/m2)]),"")</f>
        <v/>
      </c>
      <c r="H20" s="271" t="str">
        <f ca="1">IFERROR(VLOOKUP($B20,#REF!,H$2,0)/H$1/_xlfn.XLOOKUP(Inv_SY_B12[[#This Row],[Date]],Daily_KPI[Date],Daily_KPI[POA-UP(KWh/m2)]),"")</f>
        <v/>
      </c>
      <c r="I20" s="271" t="str">
        <f ca="1">IFERROR(VLOOKUP($B20,#REF!,I$2,0)/I$1/_xlfn.XLOOKUP(Inv_SY_B12[[#This Row],[Date]],Daily_KPI[Date],Daily_KPI[POA-UP(KWh/m2)]),"")</f>
        <v/>
      </c>
    </row>
    <row r="21" spans="2:9">
      <c r="B21" s="199">
        <f t="shared" ca="1" si="2"/>
        <v>45809</v>
      </c>
      <c r="C21" s="271" t="str">
        <f ca="1">IFERROR(VLOOKUP($B21,#REF!,C$2,0)/C$1/_xlfn.XLOOKUP(Inv_SY_B12[[#This Row],[Date]],Daily_KPI[Date],Daily_KPI[POA-UP(KWh/m2)]),"")</f>
        <v/>
      </c>
      <c r="D21" s="271" t="str">
        <f ca="1">IFERROR(VLOOKUP($B21,#REF!,D$2,0)/D$1/_xlfn.XLOOKUP(Inv_SY_B12[[#This Row],[Date]],Daily_KPI[Date],Daily_KPI[POA-UP(KWh/m2)]),"")</f>
        <v/>
      </c>
      <c r="E21" s="271" t="str">
        <f ca="1">IFERROR(VLOOKUP($B21,#REF!,E$2,0)/E$1/_xlfn.XLOOKUP(Inv_SY_B12[[#This Row],[Date]],Daily_KPI[Date],Daily_KPI[POA-UP(KWh/m2)]),"")</f>
        <v/>
      </c>
      <c r="F21" s="271" t="str">
        <f ca="1">IFERROR(VLOOKUP($B21,#REF!,F$2,0)/F$1/_xlfn.XLOOKUP(Inv_SY_B12[[#This Row],[Date]],Daily_KPI[Date],Daily_KPI[POA-UP(KWh/m2)]),"")</f>
        <v/>
      </c>
      <c r="G21" s="271" t="str">
        <f ca="1">IFERROR(VLOOKUP($B21,#REF!,G$2,0)/G$1/_xlfn.XLOOKUP(Inv_SY_B12[[#This Row],[Date]],Daily_KPI[Date],Daily_KPI[POA-UP(KWh/m2)]),"")</f>
        <v/>
      </c>
      <c r="H21" s="271" t="str">
        <f ca="1">IFERROR(VLOOKUP($B21,#REF!,H$2,0)/H$1/_xlfn.XLOOKUP(Inv_SY_B12[[#This Row],[Date]],Daily_KPI[Date],Daily_KPI[POA-UP(KWh/m2)]),"")</f>
        <v/>
      </c>
      <c r="I21" s="271" t="str">
        <f ca="1">IFERROR(VLOOKUP($B21,#REF!,I$2,0)/I$1/_xlfn.XLOOKUP(Inv_SY_B12[[#This Row],[Date]],Daily_KPI[Date],Daily_KPI[POA-UP(KWh/m2)]),"")</f>
        <v/>
      </c>
    </row>
    <row r="22" spans="2:9">
      <c r="B22" s="199">
        <f t="shared" ca="1" si="2"/>
        <v>45810</v>
      </c>
      <c r="C22" s="271" t="str">
        <f ca="1">IFERROR(VLOOKUP($B22,#REF!,C$2,0)/C$1/_xlfn.XLOOKUP(Inv_SY_B12[[#This Row],[Date]],Daily_KPI[Date],Daily_KPI[POA-UP(KWh/m2)]),"")</f>
        <v/>
      </c>
      <c r="D22" s="271" t="str">
        <f ca="1">IFERROR(VLOOKUP($B22,#REF!,D$2,0)/D$1/_xlfn.XLOOKUP(Inv_SY_B12[[#This Row],[Date]],Daily_KPI[Date],Daily_KPI[POA-UP(KWh/m2)]),"")</f>
        <v/>
      </c>
      <c r="E22" s="271" t="str">
        <f ca="1">IFERROR(VLOOKUP($B22,#REF!,E$2,0)/E$1/_xlfn.XLOOKUP(Inv_SY_B12[[#This Row],[Date]],Daily_KPI[Date],Daily_KPI[POA-UP(KWh/m2)]),"")</f>
        <v/>
      </c>
      <c r="F22" s="271" t="str">
        <f ca="1">IFERROR(VLOOKUP($B22,#REF!,F$2,0)/F$1/_xlfn.XLOOKUP(Inv_SY_B12[[#This Row],[Date]],Daily_KPI[Date],Daily_KPI[POA-UP(KWh/m2)]),"")</f>
        <v/>
      </c>
      <c r="G22" s="271" t="str">
        <f ca="1">IFERROR(VLOOKUP($B22,#REF!,G$2,0)/G$1/_xlfn.XLOOKUP(Inv_SY_B12[[#This Row],[Date]],Daily_KPI[Date],Daily_KPI[POA-UP(KWh/m2)]),"")</f>
        <v/>
      </c>
      <c r="H22" s="271" t="str">
        <f ca="1">IFERROR(VLOOKUP($B22,#REF!,H$2,0)/H$1/_xlfn.XLOOKUP(Inv_SY_B12[[#This Row],[Date]],Daily_KPI[Date],Daily_KPI[POA-UP(KWh/m2)]),"")</f>
        <v/>
      </c>
      <c r="I22" s="271" t="str">
        <f ca="1">IFERROR(VLOOKUP($B22,#REF!,I$2,0)/I$1/_xlfn.XLOOKUP(Inv_SY_B12[[#This Row],[Date]],Daily_KPI[Date],Daily_KPI[POA-UP(KWh/m2)]),"")</f>
        <v/>
      </c>
    </row>
    <row r="23" spans="2:9">
      <c r="B23" s="199">
        <f t="shared" ca="1" si="2"/>
        <v>45811</v>
      </c>
      <c r="C23" s="271" t="str">
        <f ca="1">IFERROR(VLOOKUP($B23,#REF!,C$2,0)/C$1/_xlfn.XLOOKUP(Inv_SY_B12[[#This Row],[Date]],Daily_KPI[Date],Daily_KPI[POA-UP(KWh/m2)]),"")</f>
        <v/>
      </c>
      <c r="D23" s="271" t="str">
        <f ca="1">IFERROR(VLOOKUP($B23,#REF!,D$2,0)/D$1/_xlfn.XLOOKUP(Inv_SY_B12[[#This Row],[Date]],Daily_KPI[Date],Daily_KPI[POA-UP(KWh/m2)]),"")</f>
        <v/>
      </c>
      <c r="E23" s="271" t="str">
        <f ca="1">IFERROR(VLOOKUP($B23,#REF!,E$2,0)/E$1/_xlfn.XLOOKUP(Inv_SY_B12[[#This Row],[Date]],Daily_KPI[Date],Daily_KPI[POA-UP(KWh/m2)]),"")</f>
        <v/>
      </c>
      <c r="F23" s="271" t="str">
        <f ca="1">IFERROR(VLOOKUP($B23,#REF!,F$2,0)/F$1/_xlfn.XLOOKUP(Inv_SY_B12[[#This Row],[Date]],Daily_KPI[Date],Daily_KPI[POA-UP(KWh/m2)]),"")</f>
        <v/>
      </c>
      <c r="G23" s="271" t="str">
        <f ca="1">IFERROR(VLOOKUP($B23,#REF!,G$2,0)/G$1/_xlfn.XLOOKUP(Inv_SY_B12[[#This Row],[Date]],Daily_KPI[Date],Daily_KPI[POA-UP(KWh/m2)]),"")</f>
        <v/>
      </c>
      <c r="H23" s="271" t="str">
        <f ca="1">IFERROR(VLOOKUP($B23,#REF!,H$2,0)/H$1/_xlfn.XLOOKUP(Inv_SY_B12[[#This Row],[Date]],Daily_KPI[Date],Daily_KPI[POA-UP(KWh/m2)]),"")</f>
        <v/>
      </c>
      <c r="I23" s="271" t="str">
        <f ca="1">IFERROR(VLOOKUP($B23,#REF!,I$2,0)/I$1/_xlfn.XLOOKUP(Inv_SY_B12[[#This Row],[Date]],Daily_KPI[Date],Daily_KPI[POA-UP(KWh/m2)]),"")</f>
        <v/>
      </c>
    </row>
    <row r="24" spans="2:9">
      <c r="B24" s="199">
        <f t="shared" ca="1" si="2"/>
        <v>45812</v>
      </c>
      <c r="C24" s="271" t="str">
        <f ca="1">IFERROR(VLOOKUP($B24,#REF!,C$2,0)/C$1/_xlfn.XLOOKUP(Inv_SY_B12[[#This Row],[Date]],Daily_KPI[Date],Daily_KPI[POA-UP(KWh/m2)]),"")</f>
        <v/>
      </c>
      <c r="D24" s="271" t="str">
        <f ca="1">IFERROR(VLOOKUP($B24,#REF!,D$2,0)/D$1/_xlfn.XLOOKUP(Inv_SY_B12[[#This Row],[Date]],Daily_KPI[Date],Daily_KPI[POA-UP(KWh/m2)]),"")</f>
        <v/>
      </c>
      <c r="E24" s="271" t="str">
        <f ca="1">IFERROR(VLOOKUP($B24,#REF!,E$2,0)/E$1/_xlfn.XLOOKUP(Inv_SY_B12[[#This Row],[Date]],Daily_KPI[Date],Daily_KPI[POA-UP(KWh/m2)]),"")</f>
        <v/>
      </c>
      <c r="F24" s="271" t="str">
        <f ca="1">IFERROR(VLOOKUP($B24,#REF!,F$2,0)/F$1/_xlfn.XLOOKUP(Inv_SY_B12[[#This Row],[Date]],Daily_KPI[Date],Daily_KPI[POA-UP(KWh/m2)]),"")</f>
        <v/>
      </c>
      <c r="G24" s="271" t="str">
        <f ca="1">IFERROR(VLOOKUP($B24,#REF!,G$2,0)/G$1/_xlfn.XLOOKUP(Inv_SY_B12[[#This Row],[Date]],Daily_KPI[Date],Daily_KPI[POA-UP(KWh/m2)]),"")</f>
        <v/>
      </c>
      <c r="H24" s="271" t="str">
        <f ca="1">IFERROR(VLOOKUP($B24,#REF!,H$2,0)/H$1/_xlfn.XLOOKUP(Inv_SY_B12[[#This Row],[Date]],Daily_KPI[Date],Daily_KPI[POA-UP(KWh/m2)]),"")</f>
        <v/>
      </c>
      <c r="I24" s="271" t="str">
        <f ca="1">IFERROR(VLOOKUP($B24,#REF!,I$2,0)/I$1/_xlfn.XLOOKUP(Inv_SY_B12[[#This Row],[Date]],Daily_KPI[Date],Daily_KPI[POA-UP(KWh/m2)]),"")</f>
        <v/>
      </c>
    </row>
    <row r="25" spans="2:9">
      <c r="B25" s="199">
        <f t="shared" ca="1" si="2"/>
        <v>45813</v>
      </c>
      <c r="C25" s="271" t="str">
        <f ca="1">IFERROR(VLOOKUP($B25,#REF!,C$2,0)/C$1/_xlfn.XLOOKUP(Inv_SY_B12[[#This Row],[Date]],Daily_KPI[Date],Daily_KPI[POA-UP(KWh/m2)]),"")</f>
        <v/>
      </c>
      <c r="D25" s="271" t="str">
        <f ca="1">IFERROR(VLOOKUP($B25,#REF!,D$2,0)/D$1/_xlfn.XLOOKUP(Inv_SY_B12[[#This Row],[Date]],Daily_KPI[Date],Daily_KPI[POA-UP(KWh/m2)]),"")</f>
        <v/>
      </c>
      <c r="E25" s="271" t="str">
        <f ca="1">IFERROR(VLOOKUP($B25,#REF!,E$2,0)/E$1/_xlfn.XLOOKUP(Inv_SY_B12[[#This Row],[Date]],Daily_KPI[Date],Daily_KPI[POA-UP(KWh/m2)]),"")</f>
        <v/>
      </c>
      <c r="F25" s="271" t="str">
        <f ca="1">IFERROR(VLOOKUP($B25,#REF!,F$2,0)/F$1/_xlfn.XLOOKUP(Inv_SY_B12[[#This Row],[Date]],Daily_KPI[Date],Daily_KPI[POA-UP(KWh/m2)]),"")</f>
        <v/>
      </c>
      <c r="G25" s="271" t="str">
        <f ca="1">IFERROR(VLOOKUP($B25,#REF!,G$2,0)/G$1/_xlfn.XLOOKUP(Inv_SY_B12[[#This Row],[Date]],Daily_KPI[Date],Daily_KPI[POA-UP(KWh/m2)]),"")</f>
        <v/>
      </c>
      <c r="H25" s="271" t="str">
        <f ca="1">IFERROR(VLOOKUP($B25,#REF!,H$2,0)/H$1/_xlfn.XLOOKUP(Inv_SY_B12[[#This Row],[Date]],Daily_KPI[Date],Daily_KPI[POA-UP(KWh/m2)]),"")</f>
        <v/>
      </c>
      <c r="I25" s="271" t="str">
        <f ca="1">IFERROR(VLOOKUP($B25,#REF!,I$2,0)/I$1/_xlfn.XLOOKUP(Inv_SY_B12[[#This Row],[Date]],Daily_KPI[Date],Daily_KPI[POA-UP(KWh/m2)]),"")</f>
        <v/>
      </c>
    </row>
    <row r="26" spans="2:9">
      <c r="B26" s="199">
        <f t="shared" ca="1" si="2"/>
        <v>45814</v>
      </c>
      <c r="C26" s="271" t="str">
        <f ca="1">IFERROR(VLOOKUP($B26,#REF!,C$2,0)/C$1/_xlfn.XLOOKUP(Inv_SY_B12[[#This Row],[Date]],Daily_KPI[Date],Daily_KPI[POA-UP(KWh/m2)]),"")</f>
        <v/>
      </c>
      <c r="D26" s="271" t="str">
        <f ca="1">IFERROR(VLOOKUP($B26,#REF!,D$2,0)/D$1/_xlfn.XLOOKUP(Inv_SY_B12[[#This Row],[Date]],Daily_KPI[Date],Daily_KPI[POA-UP(KWh/m2)]),"")</f>
        <v/>
      </c>
      <c r="E26" s="271" t="str">
        <f ca="1">IFERROR(VLOOKUP($B26,#REF!,E$2,0)/E$1/_xlfn.XLOOKUP(Inv_SY_B12[[#This Row],[Date]],Daily_KPI[Date],Daily_KPI[POA-UP(KWh/m2)]),"")</f>
        <v/>
      </c>
      <c r="F26" s="271" t="str">
        <f ca="1">IFERROR(VLOOKUP($B26,#REF!,F$2,0)/F$1/_xlfn.XLOOKUP(Inv_SY_B12[[#This Row],[Date]],Daily_KPI[Date],Daily_KPI[POA-UP(KWh/m2)]),"")</f>
        <v/>
      </c>
      <c r="G26" s="271" t="str">
        <f ca="1">IFERROR(VLOOKUP($B26,#REF!,G$2,0)/G$1/_xlfn.XLOOKUP(Inv_SY_B12[[#This Row],[Date]],Daily_KPI[Date],Daily_KPI[POA-UP(KWh/m2)]),"")</f>
        <v/>
      </c>
      <c r="H26" s="271" t="str">
        <f ca="1">IFERROR(VLOOKUP($B26,#REF!,H$2,0)/H$1/_xlfn.XLOOKUP(Inv_SY_B12[[#This Row],[Date]],Daily_KPI[Date],Daily_KPI[POA-UP(KWh/m2)]),"")</f>
        <v/>
      </c>
      <c r="I26" s="271" t="str">
        <f ca="1">IFERROR(VLOOKUP($B26,#REF!,I$2,0)/I$1/_xlfn.XLOOKUP(Inv_SY_B12[[#This Row],[Date]],Daily_KPI[Date],Daily_KPI[POA-UP(KWh/m2)]),"")</f>
        <v/>
      </c>
    </row>
    <row r="27" spans="2:9">
      <c r="B27" s="199">
        <f t="shared" ca="1" si="2"/>
        <v>45815</v>
      </c>
      <c r="C27" s="271" t="str">
        <f ca="1">IFERROR(VLOOKUP($B27,#REF!,C$2,0)/C$1/_xlfn.XLOOKUP(Inv_SY_B12[[#This Row],[Date]],Daily_KPI[Date],Daily_KPI[POA-UP(KWh/m2)]),"")</f>
        <v/>
      </c>
      <c r="D27" s="271" t="str">
        <f ca="1">IFERROR(VLOOKUP($B27,#REF!,D$2,0)/D$1/_xlfn.XLOOKUP(Inv_SY_B12[[#This Row],[Date]],Daily_KPI[Date],Daily_KPI[POA-UP(KWh/m2)]),"")</f>
        <v/>
      </c>
      <c r="E27" s="271" t="str">
        <f ca="1">IFERROR(VLOOKUP($B27,#REF!,E$2,0)/E$1/_xlfn.XLOOKUP(Inv_SY_B12[[#This Row],[Date]],Daily_KPI[Date],Daily_KPI[POA-UP(KWh/m2)]),"")</f>
        <v/>
      </c>
      <c r="F27" s="271" t="str">
        <f ca="1">IFERROR(VLOOKUP($B27,#REF!,F$2,0)/F$1/_xlfn.XLOOKUP(Inv_SY_B12[[#This Row],[Date]],Daily_KPI[Date],Daily_KPI[POA-UP(KWh/m2)]),"")</f>
        <v/>
      </c>
      <c r="G27" s="271" t="str">
        <f ca="1">IFERROR(VLOOKUP($B27,#REF!,G$2,0)/G$1/_xlfn.XLOOKUP(Inv_SY_B12[[#This Row],[Date]],Daily_KPI[Date],Daily_KPI[POA-UP(KWh/m2)]),"")</f>
        <v/>
      </c>
      <c r="H27" s="271" t="str">
        <f ca="1">IFERROR(VLOOKUP($B27,#REF!,H$2,0)/H$1/_xlfn.XLOOKUP(Inv_SY_B12[[#This Row],[Date]],Daily_KPI[Date],Daily_KPI[POA-UP(KWh/m2)]),"")</f>
        <v/>
      </c>
      <c r="I27" s="271" t="str">
        <f ca="1">IFERROR(VLOOKUP($B27,#REF!,I$2,0)/I$1/_xlfn.XLOOKUP(Inv_SY_B12[[#This Row],[Date]],Daily_KPI[Date],Daily_KPI[POA-UP(KWh/m2)]),"")</f>
        <v/>
      </c>
    </row>
    <row r="28" spans="2:9">
      <c r="B28" s="199">
        <f t="shared" ca="1" si="2"/>
        <v>45816</v>
      </c>
      <c r="C28" s="271" t="str">
        <f ca="1">IFERROR(VLOOKUP($B28,#REF!,C$2,0)/C$1/_xlfn.XLOOKUP(Inv_SY_B12[[#This Row],[Date]],Daily_KPI[Date],Daily_KPI[POA-UP(KWh/m2)]),"")</f>
        <v/>
      </c>
      <c r="D28" s="271" t="str">
        <f ca="1">IFERROR(VLOOKUP($B28,#REF!,D$2,0)/D$1/_xlfn.XLOOKUP(Inv_SY_B12[[#This Row],[Date]],Daily_KPI[Date],Daily_KPI[POA-UP(KWh/m2)]),"")</f>
        <v/>
      </c>
      <c r="E28" s="271" t="str">
        <f ca="1">IFERROR(VLOOKUP($B28,#REF!,E$2,0)/E$1/_xlfn.XLOOKUP(Inv_SY_B12[[#This Row],[Date]],Daily_KPI[Date],Daily_KPI[POA-UP(KWh/m2)]),"")</f>
        <v/>
      </c>
      <c r="F28" s="271" t="str">
        <f ca="1">IFERROR(VLOOKUP($B28,#REF!,F$2,0)/F$1/_xlfn.XLOOKUP(Inv_SY_B12[[#This Row],[Date]],Daily_KPI[Date],Daily_KPI[POA-UP(KWh/m2)]),"")</f>
        <v/>
      </c>
      <c r="G28" s="271" t="str">
        <f ca="1">IFERROR(VLOOKUP($B28,#REF!,G$2,0)/G$1/_xlfn.XLOOKUP(Inv_SY_B12[[#This Row],[Date]],Daily_KPI[Date],Daily_KPI[POA-UP(KWh/m2)]),"")</f>
        <v/>
      </c>
      <c r="H28" s="271" t="str">
        <f ca="1">IFERROR(VLOOKUP($B28,#REF!,H$2,0)/H$1/_xlfn.XLOOKUP(Inv_SY_B12[[#This Row],[Date]],Daily_KPI[Date],Daily_KPI[POA-UP(KWh/m2)]),"")</f>
        <v/>
      </c>
      <c r="I28" s="271" t="str">
        <f ca="1">IFERROR(VLOOKUP($B28,#REF!,I$2,0)/I$1/_xlfn.XLOOKUP(Inv_SY_B12[[#This Row],[Date]],Daily_KPI[Date],Daily_KPI[POA-UP(KWh/m2)]),"")</f>
        <v/>
      </c>
    </row>
    <row r="29" spans="2:9">
      <c r="B29" s="199">
        <f t="shared" ca="1" si="2"/>
        <v>45817</v>
      </c>
      <c r="C29" s="271" t="str">
        <f ca="1">IFERROR(VLOOKUP($B29,#REF!,C$2,0)/C$1/_xlfn.XLOOKUP(Inv_SY_B12[[#This Row],[Date]],Daily_KPI[Date],Daily_KPI[POA-UP(KWh/m2)]),"")</f>
        <v/>
      </c>
      <c r="D29" s="271" t="str">
        <f ca="1">IFERROR(VLOOKUP($B29,#REF!,D$2,0)/D$1/_xlfn.XLOOKUP(Inv_SY_B12[[#This Row],[Date]],Daily_KPI[Date],Daily_KPI[POA-UP(KWh/m2)]),"")</f>
        <v/>
      </c>
      <c r="E29" s="271" t="str">
        <f ca="1">IFERROR(VLOOKUP($B29,#REF!,E$2,0)/E$1/_xlfn.XLOOKUP(Inv_SY_B12[[#This Row],[Date]],Daily_KPI[Date],Daily_KPI[POA-UP(KWh/m2)]),"")</f>
        <v/>
      </c>
      <c r="F29" s="271" t="str">
        <f ca="1">IFERROR(VLOOKUP($B29,#REF!,F$2,0)/F$1/_xlfn.XLOOKUP(Inv_SY_B12[[#This Row],[Date]],Daily_KPI[Date],Daily_KPI[POA-UP(KWh/m2)]),"")</f>
        <v/>
      </c>
      <c r="G29" s="271" t="str">
        <f ca="1">IFERROR(VLOOKUP($B29,#REF!,G$2,0)/G$1/_xlfn.XLOOKUP(Inv_SY_B12[[#This Row],[Date]],Daily_KPI[Date],Daily_KPI[POA-UP(KWh/m2)]),"")</f>
        <v/>
      </c>
      <c r="H29" s="271" t="str">
        <f ca="1">IFERROR(VLOOKUP($B29,#REF!,H$2,0)/H$1/_xlfn.XLOOKUP(Inv_SY_B12[[#This Row],[Date]],Daily_KPI[Date],Daily_KPI[POA-UP(KWh/m2)]),"")</f>
        <v/>
      </c>
      <c r="I29" s="271" t="str">
        <f ca="1">IFERROR(VLOOKUP($B29,#REF!,I$2,0)/I$1/_xlfn.XLOOKUP(Inv_SY_B12[[#This Row],[Date]],Daily_KPI[Date],Daily_KPI[POA-UP(KWh/m2)]),"")</f>
        <v/>
      </c>
    </row>
    <row r="30" spans="2:9">
      <c r="B30" s="199">
        <f t="shared" ca="1" si="2"/>
        <v>45818</v>
      </c>
      <c r="C30" s="271" t="str">
        <f ca="1">IFERROR(VLOOKUP($B30,#REF!,C$2,0)/C$1/_xlfn.XLOOKUP(Inv_SY_B12[[#This Row],[Date]],Daily_KPI[Date],Daily_KPI[POA-UP(KWh/m2)]),"")</f>
        <v/>
      </c>
      <c r="D30" s="271" t="str">
        <f ca="1">IFERROR(VLOOKUP($B30,#REF!,D$2,0)/D$1/_xlfn.XLOOKUP(Inv_SY_B12[[#This Row],[Date]],Daily_KPI[Date],Daily_KPI[POA-UP(KWh/m2)]),"")</f>
        <v/>
      </c>
      <c r="E30" s="271" t="str">
        <f ca="1">IFERROR(VLOOKUP($B30,#REF!,E$2,0)/E$1/_xlfn.XLOOKUP(Inv_SY_B12[[#This Row],[Date]],Daily_KPI[Date],Daily_KPI[POA-UP(KWh/m2)]),"")</f>
        <v/>
      </c>
      <c r="F30" s="271" t="str">
        <f ca="1">IFERROR(VLOOKUP($B30,#REF!,F$2,0)/F$1/_xlfn.XLOOKUP(Inv_SY_B12[[#This Row],[Date]],Daily_KPI[Date],Daily_KPI[POA-UP(KWh/m2)]),"")</f>
        <v/>
      </c>
      <c r="G30" s="271" t="str">
        <f ca="1">IFERROR(VLOOKUP($B30,#REF!,G$2,0)/G$1/_xlfn.XLOOKUP(Inv_SY_B12[[#This Row],[Date]],Daily_KPI[Date],Daily_KPI[POA-UP(KWh/m2)]),"")</f>
        <v/>
      </c>
      <c r="H30" s="271" t="str">
        <f ca="1">IFERROR(VLOOKUP($B30,#REF!,H$2,0)/H$1/_xlfn.XLOOKUP(Inv_SY_B12[[#This Row],[Date]],Daily_KPI[Date],Daily_KPI[POA-UP(KWh/m2)]),"")</f>
        <v/>
      </c>
      <c r="I30" s="271" t="str">
        <f ca="1">IFERROR(VLOOKUP($B30,#REF!,I$2,0)/I$1/_xlfn.XLOOKUP(Inv_SY_B12[[#This Row],[Date]],Daily_KPI[Date],Daily_KPI[POA-UP(KWh/m2)]),"")</f>
        <v/>
      </c>
    </row>
    <row r="31" spans="2:9">
      <c r="B31" s="199">
        <f t="shared" ca="1" si="2"/>
        <v>45819</v>
      </c>
      <c r="C31" s="271" t="str">
        <f ca="1">IFERROR(VLOOKUP($B31,#REF!,C$2,0)/C$1/_xlfn.XLOOKUP(Inv_SY_B12[[#This Row],[Date]],Daily_KPI[Date],Daily_KPI[POA-UP(KWh/m2)]),"")</f>
        <v/>
      </c>
      <c r="D31" s="271" t="str">
        <f ca="1">IFERROR(VLOOKUP($B31,#REF!,D$2,0)/D$1/_xlfn.XLOOKUP(Inv_SY_B12[[#This Row],[Date]],Daily_KPI[Date],Daily_KPI[POA-UP(KWh/m2)]),"")</f>
        <v/>
      </c>
      <c r="E31" s="271" t="str">
        <f ca="1">IFERROR(VLOOKUP($B31,#REF!,E$2,0)/E$1/_xlfn.XLOOKUP(Inv_SY_B12[[#This Row],[Date]],Daily_KPI[Date],Daily_KPI[POA-UP(KWh/m2)]),"")</f>
        <v/>
      </c>
      <c r="F31" s="271" t="str">
        <f ca="1">IFERROR(VLOOKUP($B31,#REF!,F$2,0)/F$1/_xlfn.XLOOKUP(Inv_SY_B12[[#This Row],[Date]],Daily_KPI[Date],Daily_KPI[POA-UP(KWh/m2)]),"")</f>
        <v/>
      </c>
      <c r="G31" s="271" t="str">
        <f ca="1">IFERROR(VLOOKUP($B31,#REF!,G$2,0)/G$1/_xlfn.XLOOKUP(Inv_SY_B12[[#This Row],[Date]],Daily_KPI[Date],Daily_KPI[POA-UP(KWh/m2)]),"")</f>
        <v/>
      </c>
      <c r="H31" s="271" t="str">
        <f ca="1">IFERROR(VLOOKUP($B31,#REF!,H$2,0)/H$1/_xlfn.XLOOKUP(Inv_SY_B12[[#This Row],[Date]],Daily_KPI[Date],Daily_KPI[POA-UP(KWh/m2)]),"")</f>
        <v/>
      </c>
      <c r="I31" s="271" t="str">
        <f ca="1">IFERROR(VLOOKUP($B31,#REF!,I$2,0)/I$1/_xlfn.XLOOKUP(Inv_SY_B12[[#This Row],[Date]],Daily_KPI[Date],Daily_KPI[POA-UP(KWh/m2)]),"")</f>
        <v/>
      </c>
    </row>
    <row r="32" spans="2:9">
      <c r="B32" s="199">
        <f t="shared" ca="1" si="2"/>
        <v>45820</v>
      </c>
      <c r="C32" s="271" t="str">
        <f ca="1">IFERROR(VLOOKUP($B32,#REF!,C$2,0)/C$1/_xlfn.XLOOKUP(Inv_SY_B12[[#This Row],[Date]],Daily_KPI[Date],Daily_KPI[POA-UP(KWh/m2)]),"")</f>
        <v/>
      </c>
      <c r="D32" s="271" t="str">
        <f ca="1">IFERROR(VLOOKUP($B32,#REF!,D$2,0)/D$1/_xlfn.XLOOKUP(Inv_SY_B12[[#This Row],[Date]],Daily_KPI[Date],Daily_KPI[POA-UP(KWh/m2)]),"")</f>
        <v/>
      </c>
      <c r="E32" s="271" t="str">
        <f ca="1">IFERROR(VLOOKUP($B32,#REF!,E$2,0)/E$1/_xlfn.XLOOKUP(Inv_SY_B12[[#This Row],[Date]],Daily_KPI[Date],Daily_KPI[POA-UP(KWh/m2)]),"")</f>
        <v/>
      </c>
      <c r="F32" s="271" t="str">
        <f ca="1">IFERROR(VLOOKUP($B32,#REF!,F$2,0)/F$1/_xlfn.XLOOKUP(Inv_SY_B12[[#This Row],[Date]],Daily_KPI[Date],Daily_KPI[POA-UP(KWh/m2)]),"")</f>
        <v/>
      </c>
      <c r="G32" s="271" t="str">
        <f ca="1">IFERROR(VLOOKUP($B32,#REF!,G$2,0)/G$1/_xlfn.XLOOKUP(Inv_SY_B12[[#This Row],[Date]],Daily_KPI[Date],Daily_KPI[POA-UP(KWh/m2)]),"")</f>
        <v/>
      </c>
      <c r="H32" s="271" t="str">
        <f ca="1">IFERROR(VLOOKUP($B32,#REF!,H$2,0)/H$1/_xlfn.XLOOKUP(Inv_SY_B12[[#This Row],[Date]],Daily_KPI[Date],Daily_KPI[POA-UP(KWh/m2)]),"")</f>
        <v/>
      </c>
      <c r="I32" s="271" t="str">
        <f ca="1">IFERROR(VLOOKUP($B32,#REF!,I$2,0)/I$1/_xlfn.XLOOKUP(Inv_SY_B12[[#This Row],[Date]],Daily_KPI[Date],Daily_KPI[POA-UP(KWh/m2)]),"")</f>
        <v/>
      </c>
    </row>
    <row r="33" spans="2:9">
      <c r="B33" s="199">
        <f t="shared" ca="1" si="2"/>
        <v>45821</v>
      </c>
      <c r="C33" s="271" t="str">
        <f ca="1">IFERROR(VLOOKUP($B33,#REF!,C$2,0)/C$1/_xlfn.XLOOKUP(Inv_SY_B12[[#This Row],[Date]],Daily_KPI[Date],Daily_KPI[POA-UP(KWh/m2)]),"")</f>
        <v/>
      </c>
      <c r="D33" s="271" t="str">
        <f ca="1">IFERROR(VLOOKUP($B33,#REF!,D$2,0)/D$1/_xlfn.XLOOKUP(Inv_SY_B12[[#This Row],[Date]],Daily_KPI[Date],Daily_KPI[POA-UP(KWh/m2)]),"")</f>
        <v/>
      </c>
      <c r="E33" s="271" t="str">
        <f ca="1">IFERROR(VLOOKUP($B33,#REF!,E$2,0)/E$1/_xlfn.XLOOKUP(Inv_SY_B12[[#This Row],[Date]],Daily_KPI[Date],Daily_KPI[POA-UP(KWh/m2)]),"")</f>
        <v/>
      </c>
      <c r="F33" s="271" t="str">
        <f ca="1">IFERROR(VLOOKUP($B33,#REF!,F$2,0)/F$1/_xlfn.XLOOKUP(Inv_SY_B12[[#This Row],[Date]],Daily_KPI[Date],Daily_KPI[POA-UP(KWh/m2)]),"")</f>
        <v/>
      </c>
      <c r="G33" s="271" t="str">
        <f ca="1">IFERROR(VLOOKUP($B33,#REF!,G$2,0)/G$1/_xlfn.XLOOKUP(Inv_SY_B12[[#This Row],[Date]],Daily_KPI[Date],Daily_KPI[POA-UP(KWh/m2)]),"")</f>
        <v/>
      </c>
      <c r="H33" s="271" t="str">
        <f ca="1">IFERROR(VLOOKUP($B33,#REF!,H$2,0)/H$1/_xlfn.XLOOKUP(Inv_SY_B12[[#This Row],[Date]],Daily_KPI[Date],Daily_KPI[POA-UP(KWh/m2)]),"")</f>
        <v/>
      </c>
      <c r="I33" s="271" t="str">
        <f ca="1">IFERROR(VLOOKUP($B33,#REF!,I$2,0)/I$1/_xlfn.XLOOKUP(Inv_SY_B12[[#This Row],[Date]],Daily_KPI[Date],Daily_KPI[POA-UP(KWh/m2)]),"")</f>
        <v/>
      </c>
    </row>
    <row r="34" spans="2:9">
      <c r="B34" s="199">
        <f t="shared" ca="1" si="2"/>
        <v>45822</v>
      </c>
      <c r="C34" s="271" t="str">
        <f ca="1">IFERROR(VLOOKUP($B34,#REF!,C$2,0)/C$1/_xlfn.XLOOKUP(Inv_SY_B12[[#This Row],[Date]],Daily_KPI[Date],Daily_KPI[POA-UP(KWh/m2)]),"")</f>
        <v/>
      </c>
      <c r="D34" s="271" t="str">
        <f ca="1">IFERROR(VLOOKUP($B34,#REF!,D$2,0)/D$1/_xlfn.XLOOKUP(Inv_SY_B12[[#This Row],[Date]],Daily_KPI[Date],Daily_KPI[POA-UP(KWh/m2)]),"")</f>
        <v/>
      </c>
      <c r="E34" s="271" t="str">
        <f ca="1">IFERROR(VLOOKUP($B34,#REF!,E$2,0)/E$1/_xlfn.XLOOKUP(Inv_SY_B12[[#This Row],[Date]],Daily_KPI[Date],Daily_KPI[POA-UP(KWh/m2)]),"")</f>
        <v/>
      </c>
      <c r="F34" s="271" t="str">
        <f ca="1">IFERROR(VLOOKUP($B34,#REF!,F$2,0)/F$1/_xlfn.XLOOKUP(Inv_SY_B12[[#This Row],[Date]],Daily_KPI[Date],Daily_KPI[POA-UP(KWh/m2)]),"")</f>
        <v/>
      </c>
      <c r="G34" s="271" t="str">
        <f ca="1">IFERROR(VLOOKUP($B34,#REF!,G$2,0)/G$1/_xlfn.XLOOKUP(Inv_SY_B12[[#This Row],[Date]],Daily_KPI[Date],Daily_KPI[POA-UP(KWh/m2)]),"")</f>
        <v/>
      </c>
      <c r="H34" s="271" t="str">
        <f ca="1">IFERROR(VLOOKUP($B34,#REF!,H$2,0)/H$1/_xlfn.XLOOKUP(Inv_SY_B12[[#This Row],[Date]],Daily_KPI[Date],Daily_KPI[POA-UP(KWh/m2)]),"")</f>
        <v/>
      </c>
      <c r="I34" s="271" t="str">
        <f ca="1">IFERROR(VLOOKUP($B34,#REF!,I$2,0)/I$1/_xlfn.XLOOKUP(Inv_SY_B12[[#This Row],[Date]],Daily_KPI[Date],Daily_KPI[POA-UP(KWh/m2)]),"")</f>
        <v/>
      </c>
    </row>
    <row r="35" spans="2:9">
      <c r="B35" s="199">
        <f t="shared" ca="1" si="2"/>
        <v>45823</v>
      </c>
      <c r="C35" s="271" t="str">
        <f ca="1">IFERROR(VLOOKUP($B35,#REF!,C$2,0)/C$1/_xlfn.XLOOKUP(Inv_SY_B12[[#This Row],[Date]],Daily_KPI[Date],Daily_KPI[POA-UP(KWh/m2)]),"")</f>
        <v/>
      </c>
      <c r="D35" s="271" t="str">
        <f ca="1">IFERROR(VLOOKUP($B35,#REF!,D$2,0)/D$1/_xlfn.XLOOKUP(Inv_SY_B12[[#This Row],[Date]],Daily_KPI[Date],Daily_KPI[POA-UP(KWh/m2)]),"")</f>
        <v/>
      </c>
      <c r="E35" s="271" t="str">
        <f ca="1">IFERROR(VLOOKUP($B35,#REF!,E$2,0)/E$1/_xlfn.XLOOKUP(Inv_SY_B12[[#This Row],[Date]],Daily_KPI[Date],Daily_KPI[POA-UP(KWh/m2)]),"")</f>
        <v/>
      </c>
      <c r="F35" s="271" t="str">
        <f ca="1">IFERROR(VLOOKUP($B35,#REF!,F$2,0)/F$1/_xlfn.XLOOKUP(Inv_SY_B12[[#This Row],[Date]],Daily_KPI[Date],Daily_KPI[POA-UP(KWh/m2)]),"")</f>
        <v/>
      </c>
      <c r="G35" s="271" t="str">
        <f ca="1">IFERROR(VLOOKUP($B35,#REF!,G$2,0)/G$1/_xlfn.XLOOKUP(Inv_SY_B12[[#This Row],[Date]],Daily_KPI[Date],Daily_KPI[POA-UP(KWh/m2)]),"")</f>
        <v/>
      </c>
      <c r="H35" s="271" t="str">
        <f ca="1">IFERROR(VLOOKUP($B35,#REF!,H$2,0)/H$1/_xlfn.XLOOKUP(Inv_SY_B12[[#This Row],[Date]],Daily_KPI[Date],Daily_KPI[POA-UP(KWh/m2)]),"")</f>
        <v/>
      </c>
      <c r="I35" s="271" t="str">
        <f ca="1">IFERROR(VLOOKUP($B35,#REF!,I$2,0)/I$1/_xlfn.XLOOKUP(Inv_SY_B12[[#This Row],[Date]],Daily_KPI[Date],Daily_KPI[POA-UP(KWh/m2)]),"")</f>
        <v/>
      </c>
    </row>
    <row r="36" spans="2:9">
      <c r="B36" s="199">
        <f t="shared" ca="1" si="2"/>
        <v>45824</v>
      </c>
      <c r="C36" s="271" t="str">
        <f ca="1">IFERROR(VLOOKUP($B36,#REF!,C$2,0)/C$1/_xlfn.XLOOKUP(Inv_SY_B12[[#This Row],[Date]],Daily_KPI[Date],Daily_KPI[POA-UP(KWh/m2)]),"")</f>
        <v/>
      </c>
      <c r="D36" s="271" t="str">
        <f ca="1">IFERROR(VLOOKUP($B36,#REF!,D$2,0)/D$1/_xlfn.XLOOKUP(Inv_SY_B12[[#This Row],[Date]],Daily_KPI[Date],Daily_KPI[POA-UP(KWh/m2)]),"")</f>
        <v/>
      </c>
      <c r="E36" s="271" t="str">
        <f ca="1">IFERROR(VLOOKUP($B36,#REF!,E$2,0)/E$1/_xlfn.XLOOKUP(Inv_SY_B12[[#This Row],[Date]],Daily_KPI[Date],Daily_KPI[POA-UP(KWh/m2)]),"")</f>
        <v/>
      </c>
      <c r="F36" s="271" t="str">
        <f ca="1">IFERROR(VLOOKUP($B36,#REF!,F$2,0)/F$1/_xlfn.XLOOKUP(Inv_SY_B12[[#This Row],[Date]],Daily_KPI[Date],Daily_KPI[POA-UP(KWh/m2)]),"")</f>
        <v/>
      </c>
      <c r="G36" s="271" t="str">
        <f ca="1">IFERROR(VLOOKUP($B36,#REF!,G$2,0)/G$1/_xlfn.XLOOKUP(Inv_SY_B12[[#This Row],[Date]],Daily_KPI[Date],Daily_KPI[POA-UP(KWh/m2)]),"")</f>
        <v/>
      </c>
      <c r="H36" s="271" t="str">
        <f ca="1">IFERROR(VLOOKUP($B36,#REF!,H$2,0)/H$1/_xlfn.XLOOKUP(Inv_SY_B12[[#This Row],[Date]],Daily_KPI[Date],Daily_KPI[POA-UP(KWh/m2)]),"")</f>
        <v/>
      </c>
      <c r="I36" s="271" t="str">
        <f ca="1">IFERROR(VLOOKUP($B36,#REF!,I$2,0)/I$1/_xlfn.XLOOKUP(Inv_SY_B12[[#This Row],[Date]],Daily_KPI[Date],Daily_KPI[POA-UP(KWh/m2)]),"")</f>
        <v/>
      </c>
    </row>
    <row r="37" spans="2:9">
      <c r="B37" s="199">
        <f t="shared" ca="1" si="2"/>
        <v>45825</v>
      </c>
      <c r="C37" s="271" t="str">
        <f ca="1">IFERROR(VLOOKUP($B37,#REF!,C$2,0)/C$1/_xlfn.XLOOKUP(Inv_SY_B12[[#This Row],[Date]],Daily_KPI[Date],Daily_KPI[POA-UP(KWh/m2)]),"")</f>
        <v/>
      </c>
      <c r="D37" s="271" t="str">
        <f ca="1">IFERROR(VLOOKUP($B37,#REF!,D$2,0)/D$1/_xlfn.XLOOKUP(Inv_SY_B12[[#This Row],[Date]],Daily_KPI[Date],Daily_KPI[POA-UP(KWh/m2)]),"")</f>
        <v/>
      </c>
      <c r="E37" s="271" t="str">
        <f ca="1">IFERROR(VLOOKUP($B37,#REF!,E$2,0)/E$1/_xlfn.XLOOKUP(Inv_SY_B12[[#This Row],[Date]],Daily_KPI[Date],Daily_KPI[POA-UP(KWh/m2)]),"")</f>
        <v/>
      </c>
      <c r="F37" s="271" t="str">
        <f ca="1">IFERROR(VLOOKUP($B37,#REF!,F$2,0)/F$1/_xlfn.XLOOKUP(Inv_SY_B12[[#This Row],[Date]],Daily_KPI[Date],Daily_KPI[POA-UP(KWh/m2)]),"")</f>
        <v/>
      </c>
      <c r="G37" s="271" t="str">
        <f ca="1">IFERROR(VLOOKUP($B37,#REF!,G$2,0)/G$1/_xlfn.XLOOKUP(Inv_SY_B12[[#This Row],[Date]],Daily_KPI[Date],Daily_KPI[POA-UP(KWh/m2)]),"")</f>
        <v/>
      </c>
      <c r="H37" s="271" t="str">
        <f ca="1">IFERROR(VLOOKUP($B37,#REF!,H$2,0)/H$1/_xlfn.XLOOKUP(Inv_SY_B12[[#This Row],[Date]],Daily_KPI[Date],Daily_KPI[POA-UP(KWh/m2)]),"")</f>
        <v/>
      </c>
      <c r="I37" s="271" t="str">
        <f ca="1">IFERROR(VLOOKUP($B37,#REF!,I$2,0)/I$1/_xlfn.XLOOKUP(Inv_SY_B12[[#This Row],[Date]],Daily_KPI[Date],Daily_KPI[POA-UP(KWh/m2)]),"")</f>
        <v/>
      </c>
    </row>
    <row r="38" spans="2:9">
      <c r="B38" s="199">
        <f t="shared" ca="1" si="2"/>
        <v>45826</v>
      </c>
      <c r="C38" s="271" t="str">
        <f ca="1">IFERROR(VLOOKUP($B38,#REF!,C$2,0)/C$1/_xlfn.XLOOKUP(Inv_SY_B12[[#This Row],[Date]],Daily_KPI[Date],Daily_KPI[POA-UP(KWh/m2)]),"")</f>
        <v/>
      </c>
      <c r="D38" s="271" t="str">
        <f ca="1">IFERROR(VLOOKUP($B38,#REF!,D$2,0)/D$1/_xlfn.XLOOKUP(Inv_SY_B12[[#This Row],[Date]],Daily_KPI[Date],Daily_KPI[POA-UP(KWh/m2)]),"")</f>
        <v/>
      </c>
      <c r="E38" s="271" t="str">
        <f ca="1">IFERROR(VLOOKUP($B38,#REF!,E$2,0)/E$1/_xlfn.XLOOKUP(Inv_SY_B12[[#This Row],[Date]],Daily_KPI[Date],Daily_KPI[POA-UP(KWh/m2)]),"")</f>
        <v/>
      </c>
      <c r="F38" s="271" t="str">
        <f ca="1">IFERROR(VLOOKUP($B38,#REF!,F$2,0)/F$1/_xlfn.XLOOKUP(Inv_SY_B12[[#This Row],[Date]],Daily_KPI[Date],Daily_KPI[POA-UP(KWh/m2)]),"")</f>
        <v/>
      </c>
      <c r="G38" s="271" t="str">
        <f ca="1">IFERROR(VLOOKUP($B38,#REF!,G$2,0)/G$1/_xlfn.XLOOKUP(Inv_SY_B12[[#This Row],[Date]],Daily_KPI[Date],Daily_KPI[POA-UP(KWh/m2)]),"")</f>
        <v/>
      </c>
      <c r="H38" s="271" t="str">
        <f ca="1">IFERROR(VLOOKUP($B38,#REF!,H$2,0)/H$1/_xlfn.XLOOKUP(Inv_SY_B12[[#This Row],[Date]],Daily_KPI[Date],Daily_KPI[POA-UP(KWh/m2)]),"")</f>
        <v/>
      </c>
      <c r="I38" s="271" t="str">
        <f ca="1">IFERROR(VLOOKUP($B38,#REF!,I$2,0)/I$1/_xlfn.XLOOKUP(Inv_SY_B12[[#This Row],[Date]],Daily_KPI[Date],Daily_KPI[POA-UP(KWh/m2)]),"")</f>
        <v/>
      </c>
    </row>
    <row r="39" spans="2:9">
      <c r="B39" s="199">
        <f t="shared" ca="1" si="2"/>
        <v>45827</v>
      </c>
      <c r="C39" s="271" t="str">
        <f ca="1">IFERROR(VLOOKUP($B39,#REF!,C$2,0)/C$1/_xlfn.XLOOKUP(Inv_SY_B12[[#This Row],[Date]],Daily_KPI[Date],Daily_KPI[POA-UP(KWh/m2)]),"")</f>
        <v/>
      </c>
      <c r="D39" s="271" t="str">
        <f ca="1">IFERROR(VLOOKUP($B39,#REF!,D$2,0)/D$1/_xlfn.XLOOKUP(Inv_SY_B12[[#This Row],[Date]],Daily_KPI[Date],Daily_KPI[POA-UP(KWh/m2)]),"")</f>
        <v/>
      </c>
      <c r="E39" s="271" t="str">
        <f ca="1">IFERROR(VLOOKUP($B39,#REF!,E$2,0)/E$1/_xlfn.XLOOKUP(Inv_SY_B12[[#This Row],[Date]],Daily_KPI[Date],Daily_KPI[POA-UP(KWh/m2)]),"")</f>
        <v/>
      </c>
      <c r="F39" s="271" t="str">
        <f ca="1">IFERROR(VLOOKUP($B39,#REF!,F$2,0)/F$1/_xlfn.XLOOKUP(Inv_SY_B12[[#This Row],[Date]],Daily_KPI[Date],Daily_KPI[POA-UP(KWh/m2)]),"")</f>
        <v/>
      </c>
      <c r="G39" s="271" t="str">
        <f ca="1">IFERROR(VLOOKUP($B39,#REF!,G$2,0)/G$1/_xlfn.XLOOKUP(Inv_SY_B12[[#This Row],[Date]],Daily_KPI[Date],Daily_KPI[POA-UP(KWh/m2)]),"")</f>
        <v/>
      </c>
      <c r="H39" s="271" t="str">
        <f ca="1">IFERROR(VLOOKUP($B39,#REF!,H$2,0)/H$1/_xlfn.XLOOKUP(Inv_SY_B12[[#This Row],[Date]],Daily_KPI[Date],Daily_KPI[POA-UP(KWh/m2)]),"")</f>
        <v/>
      </c>
      <c r="I39" s="271" t="str">
        <f ca="1">IFERROR(VLOOKUP($B39,#REF!,I$2,0)/I$1/_xlfn.XLOOKUP(Inv_SY_B12[[#This Row],[Date]],Daily_KPI[Date],Daily_KPI[POA-UP(KWh/m2)]),"")</f>
        <v/>
      </c>
    </row>
    <row r="40" spans="2:9">
      <c r="B40" s="199">
        <f t="shared" ca="1" si="2"/>
        <v>45828</v>
      </c>
      <c r="C40" s="271" t="str">
        <f ca="1">IFERROR(VLOOKUP($B40,#REF!,C$2,0)/C$1/_xlfn.XLOOKUP(Inv_SY_B12[[#This Row],[Date]],Daily_KPI[Date],Daily_KPI[POA-UP(KWh/m2)]),"")</f>
        <v/>
      </c>
      <c r="D40" s="271" t="str">
        <f ca="1">IFERROR(VLOOKUP($B40,#REF!,D$2,0)/D$1/_xlfn.XLOOKUP(Inv_SY_B12[[#This Row],[Date]],Daily_KPI[Date],Daily_KPI[POA-UP(KWh/m2)]),"")</f>
        <v/>
      </c>
      <c r="E40" s="271" t="str">
        <f ca="1">IFERROR(VLOOKUP($B40,#REF!,E$2,0)/E$1/_xlfn.XLOOKUP(Inv_SY_B12[[#This Row],[Date]],Daily_KPI[Date],Daily_KPI[POA-UP(KWh/m2)]),"")</f>
        <v/>
      </c>
      <c r="F40" s="271" t="str">
        <f ca="1">IFERROR(VLOOKUP($B40,#REF!,F$2,0)/F$1/_xlfn.XLOOKUP(Inv_SY_B12[[#This Row],[Date]],Daily_KPI[Date],Daily_KPI[POA-UP(KWh/m2)]),"")</f>
        <v/>
      </c>
      <c r="G40" s="271" t="str">
        <f ca="1">IFERROR(VLOOKUP($B40,#REF!,G$2,0)/G$1/_xlfn.XLOOKUP(Inv_SY_B12[[#This Row],[Date]],Daily_KPI[Date],Daily_KPI[POA-UP(KWh/m2)]),"")</f>
        <v/>
      </c>
      <c r="H40" s="271" t="str">
        <f ca="1">IFERROR(VLOOKUP($B40,#REF!,H$2,0)/H$1/_xlfn.XLOOKUP(Inv_SY_B12[[#This Row],[Date]],Daily_KPI[Date],Daily_KPI[POA-UP(KWh/m2)]),"")</f>
        <v/>
      </c>
      <c r="I40" s="271" t="str">
        <f ca="1">IFERROR(VLOOKUP($B40,#REF!,I$2,0)/I$1/_xlfn.XLOOKUP(Inv_SY_B12[[#This Row],[Date]],Daily_KPI[Date],Daily_KPI[POA-UP(KWh/m2)]),"")</f>
        <v/>
      </c>
    </row>
    <row r="41" spans="2:9">
      <c r="B41" s="199">
        <f t="shared" ca="1" si="2"/>
        <v>45829</v>
      </c>
      <c r="C41" s="271" t="str">
        <f ca="1">IFERROR(VLOOKUP($B41,#REF!,C$2,0)/C$1/_xlfn.XLOOKUP(Inv_SY_B12[[#This Row],[Date]],Daily_KPI[Date],Daily_KPI[POA-UP(KWh/m2)]),"")</f>
        <v/>
      </c>
      <c r="D41" s="271" t="str">
        <f ca="1">IFERROR(VLOOKUP($B41,#REF!,D$2,0)/D$1/_xlfn.XLOOKUP(Inv_SY_B12[[#This Row],[Date]],Daily_KPI[Date],Daily_KPI[POA-UP(KWh/m2)]),"")</f>
        <v/>
      </c>
      <c r="E41" s="271" t="str">
        <f ca="1">IFERROR(VLOOKUP($B41,#REF!,E$2,0)/E$1/_xlfn.XLOOKUP(Inv_SY_B12[[#This Row],[Date]],Daily_KPI[Date],Daily_KPI[POA-UP(KWh/m2)]),"")</f>
        <v/>
      </c>
      <c r="F41" s="271" t="str">
        <f ca="1">IFERROR(VLOOKUP($B41,#REF!,F$2,0)/F$1/_xlfn.XLOOKUP(Inv_SY_B12[[#This Row],[Date]],Daily_KPI[Date],Daily_KPI[POA-UP(KWh/m2)]),"")</f>
        <v/>
      </c>
      <c r="G41" s="271" t="str">
        <f ca="1">IFERROR(VLOOKUP($B41,#REF!,G$2,0)/G$1/_xlfn.XLOOKUP(Inv_SY_B12[[#This Row],[Date]],Daily_KPI[Date],Daily_KPI[POA-UP(KWh/m2)]),"")</f>
        <v/>
      </c>
      <c r="H41" s="271" t="str">
        <f ca="1">IFERROR(VLOOKUP($B41,#REF!,H$2,0)/H$1/_xlfn.XLOOKUP(Inv_SY_B12[[#This Row],[Date]],Daily_KPI[Date],Daily_KPI[POA-UP(KWh/m2)]),"")</f>
        <v/>
      </c>
      <c r="I41" s="271" t="str">
        <f ca="1">IFERROR(VLOOKUP($B41,#REF!,I$2,0)/I$1/_xlfn.XLOOKUP(Inv_SY_B12[[#This Row],[Date]],Daily_KPI[Date],Daily_KPI[POA-UP(KWh/m2)]),"")</f>
        <v/>
      </c>
    </row>
    <row r="42" spans="2:9">
      <c r="B42" s="199">
        <f t="shared" ca="1" si="2"/>
        <v>45830</v>
      </c>
      <c r="C42" s="271" t="str">
        <f ca="1">IFERROR(VLOOKUP($B42,#REF!,C$2,0)/C$1/_xlfn.XLOOKUP(Inv_SY_B12[[#This Row],[Date]],Daily_KPI[Date],Daily_KPI[POA-UP(KWh/m2)]),"")</f>
        <v/>
      </c>
      <c r="D42" s="271" t="str">
        <f ca="1">IFERROR(VLOOKUP($B42,#REF!,D$2,0)/D$1/_xlfn.XLOOKUP(Inv_SY_B12[[#This Row],[Date]],Daily_KPI[Date],Daily_KPI[POA-UP(KWh/m2)]),"")</f>
        <v/>
      </c>
      <c r="E42" s="271" t="str">
        <f ca="1">IFERROR(VLOOKUP($B42,#REF!,E$2,0)/E$1/_xlfn.XLOOKUP(Inv_SY_B12[[#This Row],[Date]],Daily_KPI[Date],Daily_KPI[POA-UP(KWh/m2)]),"")</f>
        <v/>
      </c>
      <c r="F42" s="271" t="str">
        <f ca="1">IFERROR(VLOOKUP($B42,#REF!,F$2,0)/F$1/_xlfn.XLOOKUP(Inv_SY_B12[[#This Row],[Date]],Daily_KPI[Date],Daily_KPI[POA-UP(KWh/m2)]),"")</f>
        <v/>
      </c>
      <c r="G42" s="271" t="str">
        <f ca="1">IFERROR(VLOOKUP($B42,#REF!,G$2,0)/G$1/_xlfn.XLOOKUP(Inv_SY_B12[[#This Row],[Date]],Daily_KPI[Date],Daily_KPI[POA-UP(KWh/m2)]),"")</f>
        <v/>
      </c>
      <c r="H42" s="271" t="str">
        <f ca="1">IFERROR(VLOOKUP($B42,#REF!,H$2,0)/H$1/_xlfn.XLOOKUP(Inv_SY_B12[[#This Row],[Date]],Daily_KPI[Date],Daily_KPI[POA-UP(KWh/m2)]),"")</f>
        <v/>
      </c>
      <c r="I42" s="271" t="str">
        <f ca="1">IFERROR(VLOOKUP($B42,#REF!,I$2,0)/I$1/_xlfn.XLOOKUP(Inv_SY_B12[[#This Row],[Date]],Daily_KPI[Date],Daily_KPI[POA-UP(KWh/m2)]),"")</f>
        <v/>
      </c>
    </row>
    <row r="43" spans="2:9">
      <c r="B43" s="199">
        <f t="shared" ca="1" si="2"/>
        <v>45831</v>
      </c>
      <c r="C43" s="271" t="str">
        <f ca="1">IFERROR(VLOOKUP($B43,#REF!,C$2,0)/C$1/_xlfn.XLOOKUP(Inv_SY_B12[[#This Row],[Date]],Daily_KPI[Date],Daily_KPI[POA-UP(KWh/m2)]),"")</f>
        <v/>
      </c>
      <c r="D43" s="271" t="str">
        <f ca="1">IFERROR(VLOOKUP($B43,#REF!,D$2,0)/D$1/_xlfn.XLOOKUP(Inv_SY_B12[[#This Row],[Date]],Daily_KPI[Date],Daily_KPI[POA-UP(KWh/m2)]),"")</f>
        <v/>
      </c>
      <c r="E43" s="271" t="str">
        <f ca="1">IFERROR(VLOOKUP($B43,#REF!,E$2,0)/E$1/_xlfn.XLOOKUP(Inv_SY_B12[[#This Row],[Date]],Daily_KPI[Date],Daily_KPI[POA-UP(KWh/m2)]),"")</f>
        <v/>
      </c>
      <c r="F43" s="271" t="str">
        <f ca="1">IFERROR(VLOOKUP($B43,#REF!,F$2,0)/F$1/_xlfn.XLOOKUP(Inv_SY_B12[[#This Row],[Date]],Daily_KPI[Date],Daily_KPI[POA-UP(KWh/m2)]),"")</f>
        <v/>
      </c>
      <c r="G43" s="271" t="str">
        <f ca="1">IFERROR(VLOOKUP($B43,#REF!,G$2,0)/G$1/_xlfn.XLOOKUP(Inv_SY_B12[[#This Row],[Date]],Daily_KPI[Date],Daily_KPI[POA-UP(KWh/m2)]),"")</f>
        <v/>
      </c>
      <c r="H43" s="271" t="str">
        <f ca="1">IFERROR(VLOOKUP($B43,#REF!,H$2,0)/H$1/_xlfn.XLOOKUP(Inv_SY_B12[[#This Row],[Date]],Daily_KPI[Date],Daily_KPI[POA-UP(KWh/m2)]),"")</f>
        <v/>
      </c>
      <c r="I43" s="271" t="str">
        <f ca="1">IFERROR(VLOOKUP($B43,#REF!,I$2,0)/I$1/_xlfn.XLOOKUP(Inv_SY_B12[[#This Row],[Date]],Daily_KPI[Date],Daily_KPI[POA-UP(KWh/m2)]),"")</f>
        <v/>
      </c>
    </row>
    <row r="44" spans="2:9">
      <c r="B44" s="199">
        <f t="shared" ca="1" si="2"/>
        <v>45832</v>
      </c>
      <c r="C44" s="271" t="str">
        <f ca="1">IFERROR(VLOOKUP($B44,#REF!,C$2,0)/C$1/_xlfn.XLOOKUP(Inv_SY_B12[[#This Row],[Date]],Daily_KPI[Date],Daily_KPI[POA-UP(KWh/m2)]),"")</f>
        <v/>
      </c>
      <c r="D44" s="271" t="str">
        <f ca="1">IFERROR(VLOOKUP($B44,#REF!,D$2,0)/D$1/_xlfn.XLOOKUP(Inv_SY_B12[[#This Row],[Date]],Daily_KPI[Date],Daily_KPI[POA-UP(KWh/m2)]),"")</f>
        <v/>
      </c>
      <c r="E44" s="271" t="str">
        <f ca="1">IFERROR(VLOOKUP($B44,#REF!,E$2,0)/E$1/_xlfn.XLOOKUP(Inv_SY_B12[[#This Row],[Date]],Daily_KPI[Date],Daily_KPI[POA-UP(KWh/m2)]),"")</f>
        <v/>
      </c>
      <c r="F44" s="271" t="str">
        <f ca="1">IFERROR(VLOOKUP($B44,#REF!,F$2,0)/F$1/_xlfn.XLOOKUP(Inv_SY_B12[[#This Row],[Date]],Daily_KPI[Date],Daily_KPI[POA-UP(KWh/m2)]),"")</f>
        <v/>
      </c>
      <c r="G44" s="271" t="str">
        <f ca="1">IFERROR(VLOOKUP($B44,#REF!,G$2,0)/G$1/_xlfn.XLOOKUP(Inv_SY_B12[[#This Row],[Date]],Daily_KPI[Date],Daily_KPI[POA-UP(KWh/m2)]),"")</f>
        <v/>
      </c>
      <c r="H44" s="271" t="str">
        <f ca="1">IFERROR(VLOOKUP($B44,#REF!,H$2,0)/H$1/_xlfn.XLOOKUP(Inv_SY_B12[[#This Row],[Date]],Daily_KPI[Date],Daily_KPI[POA-UP(KWh/m2)]),"")</f>
        <v/>
      </c>
      <c r="I44" s="271" t="str">
        <f ca="1">IFERROR(VLOOKUP($B44,#REF!,I$2,0)/I$1/_xlfn.XLOOKUP(Inv_SY_B12[[#This Row],[Date]],Daily_KPI[Date],Daily_KPI[POA-UP(KWh/m2)]),"")</f>
        <v/>
      </c>
    </row>
    <row r="45" spans="2:9">
      <c r="B45" s="199">
        <f t="shared" ca="1" si="2"/>
        <v>45833</v>
      </c>
      <c r="C45" s="271" t="str">
        <f ca="1">IFERROR(VLOOKUP($B45,#REF!,C$2,0)/C$1/_xlfn.XLOOKUP(Inv_SY_B12[[#This Row],[Date]],Daily_KPI[Date],Daily_KPI[POA-UP(KWh/m2)]),"")</f>
        <v/>
      </c>
      <c r="D45" s="271" t="str">
        <f ca="1">IFERROR(VLOOKUP($B45,#REF!,D$2,0)/D$1/_xlfn.XLOOKUP(Inv_SY_B12[[#This Row],[Date]],Daily_KPI[Date],Daily_KPI[POA-UP(KWh/m2)]),"")</f>
        <v/>
      </c>
      <c r="E45" s="271" t="str">
        <f ca="1">IFERROR(VLOOKUP($B45,#REF!,E$2,0)/E$1/_xlfn.XLOOKUP(Inv_SY_B12[[#This Row],[Date]],Daily_KPI[Date],Daily_KPI[POA-UP(KWh/m2)]),"")</f>
        <v/>
      </c>
      <c r="F45" s="271" t="str">
        <f ca="1">IFERROR(VLOOKUP($B45,#REF!,F$2,0)/F$1/_xlfn.XLOOKUP(Inv_SY_B12[[#This Row],[Date]],Daily_KPI[Date],Daily_KPI[POA-UP(KWh/m2)]),"")</f>
        <v/>
      </c>
      <c r="G45" s="271" t="str">
        <f ca="1">IFERROR(VLOOKUP($B45,#REF!,G$2,0)/G$1/_xlfn.XLOOKUP(Inv_SY_B12[[#This Row],[Date]],Daily_KPI[Date],Daily_KPI[POA-UP(KWh/m2)]),"")</f>
        <v/>
      </c>
      <c r="H45" s="271" t="str">
        <f ca="1">IFERROR(VLOOKUP($B45,#REF!,H$2,0)/H$1/_xlfn.XLOOKUP(Inv_SY_B12[[#This Row],[Date]],Daily_KPI[Date],Daily_KPI[POA-UP(KWh/m2)]),"")</f>
        <v/>
      </c>
      <c r="I45" s="271" t="str">
        <f ca="1">IFERROR(VLOOKUP($B45,#REF!,I$2,0)/I$1/_xlfn.XLOOKUP(Inv_SY_B12[[#This Row],[Date]],Daily_KPI[Date],Daily_KPI[POA-UP(KWh/m2)]),"")</f>
        <v/>
      </c>
    </row>
    <row r="46" spans="2:9">
      <c r="B46" s="199">
        <f t="shared" ca="1" si="2"/>
        <v>45834</v>
      </c>
      <c r="C46" s="271" t="str">
        <f ca="1">IFERROR(VLOOKUP($B46,#REF!,C$2,0)/C$1/_xlfn.XLOOKUP(Inv_SY_B12[[#This Row],[Date]],Daily_KPI[Date],Daily_KPI[POA-UP(KWh/m2)]),"")</f>
        <v/>
      </c>
      <c r="D46" s="271" t="str">
        <f ca="1">IFERROR(VLOOKUP($B46,#REF!,D$2,0)/D$1/_xlfn.XLOOKUP(Inv_SY_B12[[#This Row],[Date]],Daily_KPI[Date],Daily_KPI[POA-UP(KWh/m2)]),"")</f>
        <v/>
      </c>
      <c r="E46" s="271" t="str">
        <f ca="1">IFERROR(VLOOKUP($B46,#REF!,E$2,0)/E$1/_xlfn.XLOOKUP(Inv_SY_B12[[#This Row],[Date]],Daily_KPI[Date],Daily_KPI[POA-UP(KWh/m2)]),"")</f>
        <v/>
      </c>
      <c r="F46" s="271" t="str">
        <f ca="1">IFERROR(VLOOKUP($B46,#REF!,F$2,0)/F$1/_xlfn.XLOOKUP(Inv_SY_B12[[#This Row],[Date]],Daily_KPI[Date],Daily_KPI[POA-UP(KWh/m2)]),"")</f>
        <v/>
      </c>
      <c r="G46" s="271" t="str">
        <f ca="1">IFERROR(VLOOKUP($B46,#REF!,G$2,0)/G$1/_xlfn.XLOOKUP(Inv_SY_B12[[#This Row],[Date]],Daily_KPI[Date],Daily_KPI[POA-UP(KWh/m2)]),"")</f>
        <v/>
      </c>
      <c r="H46" s="271" t="str">
        <f ca="1">IFERROR(VLOOKUP($B46,#REF!,H$2,0)/H$1/_xlfn.XLOOKUP(Inv_SY_B12[[#This Row],[Date]],Daily_KPI[Date],Daily_KPI[POA-UP(KWh/m2)]),"")</f>
        <v/>
      </c>
      <c r="I46" s="271" t="str">
        <f ca="1">IFERROR(VLOOKUP($B46,#REF!,I$2,0)/I$1/_xlfn.XLOOKUP(Inv_SY_B12[[#This Row],[Date]],Daily_KPI[Date],Daily_KPI[POA-UP(KWh/m2)]),"")</f>
        <v/>
      </c>
    </row>
    <row r="47" spans="2:9">
      <c r="B47" s="199">
        <f t="shared" ca="1" si="2"/>
        <v>45835</v>
      </c>
      <c r="C47" s="271" t="str">
        <f ca="1">IFERROR(VLOOKUP($B47,#REF!,C$2,0)/C$1/_xlfn.XLOOKUP(Inv_SY_B12[[#This Row],[Date]],Daily_KPI[Date],Daily_KPI[POA-UP(KWh/m2)]),"")</f>
        <v/>
      </c>
      <c r="D47" s="271" t="str">
        <f ca="1">IFERROR(VLOOKUP($B47,#REF!,D$2,0)/D$1/_xlfn.XLOOKUP(Inv_SY_B12[[#This Row],[Date]],Daily_KPI[Date],Daily_KPI[POA-UP(KWh/m2)]),"")</f>
        <v/>
      </c>
      <c r="E47" s="271" t="str">
        <f ca="1">IFERROR(VLOOKUP($B47,#REF!,E$2,0)/E$1/_xlfn.XLOOKUP(Inv_SY_B12[[#This Row],[Date]],Daily_KPI[Date],Daily_KPI[POA-UP(KWh/m2)]),"")</f>
        <v/>
      </c>
      <c r="F47" s="271" t="str">
        <f ca="1">IFERROR(VLOOKUP($B47,#REF!,F$2,0)/F$1/_xlfn.XLOOKUP(Inv_SY_B12[[#This Row],[Date]],Daily_KPI[Date],Daily_KPI[POA-UP(KWh/m2)]),"")</f>
        <v/>
      </c>
      <c r="G47" s="271" t="str">
        <f ca="1">IFERROR(VLOOKUP($B47,#REF!,G$2,0)/G$1/_xlfn.XLOOKUP(Inv_SY_B12[[#This Row],[Date]],Daily_KPI[Date],Daily_KPI[POA-UP(KWh/m2)]),"")</f>
        <v/>
      </c>
      <c r="H47" s="271" t="str">
        <f ca="1">IFERROR(VLOOKUP($B47,#REF!,H$2,0)/H$1/_xlfn.XLOOKUP(Inv_SY_B12[[#This Row],[Date]],Daily_KPI[Date],Daily_KPI[POA-UP(KWh/m2)]),"")</f>
        <v/>
      </c>
      <c r="I47" s="271" t="str">
        <f ca="1">IFERROR(VLOOKUP($B47,#REF!,I$2,0)/I$1/_xlfn.XLOOKUP(Inv_SY_B12[[#This Row],[Date]],Daily_KPI[Date],Daily_KPI[POA-UP(KWh/m2)]),"")</f>
        <v/>
      </c>
    </row>
    <row r="48" spans="2:9">
      <c r="B48" s="199">
        <f t="shared" ca="1" si="2"/>
        <v>45836</v>
      </c>
      <c r="C48" s="271" t="str">
        <f ca="1">IFERROR(VLOOKUP($B48,#REF!,C$2,0)/C$1/_xlfn.XLOOKUP(Inv_SY_B12[[#This Row],[Date]],Daily_KPI[Date],Daily_KPI[POA-UP(KWh/m2)]),"")</f>
        <v/>
      </c>
      <c r="D48" s="271" t="str">
        <f ca="1">IFERROR(VLOOKUP($B48,#REF!,D$2,0)/D$1/_xlfn.XLOOKUP(Inv_SY_B12[[#This Row],[Date]],Daily_KPI[Date],Daily_KPI[POA-UP(KWh/m2)]),"")</f>
        <v/>
      </c>
      <c r="E48" s="271" t="str">
        <f ca="1">IFERROR(VLOOKUP($B48,#REF!,E$2,0)/E$1/_xlfn.XLOOKUP(Inv_SY_B12[[#This Row],[Date]],Daily_KPI[Date],Daily_KPI[POA-UP(KWh/m2)]),"")</f>
        <v/>
      </c>
      <c r="F48" s="271" t="str">
        <f ca="1">IFERROR(VLOOKUP($B48,#REF!,F$2,0)/F$1/_xlfn.XLOOKUP(Inv_SY_B12[[#This Row],[Date]],Daily_KPI[Date],Daily_KPI[POA-UP(KWh/m2)]),"")</f>
        <v/>
      </c>
      <c r="G48" s="271" t="str">
        <f ca="1">IFERROR(VLOOKUP($B48,#REF!,G$2,0)/G$1/_xlfn.XLOOKUP(Inv_SY_B12[[#This Row],[Date]],Daily_KPI[Date],Daily_KPI[POA-UP(KWh/m2)]),"")</f>
        <v/>
      </c>
      <c r="H48" s="271" t="str">
        <f ca="1">IFERROR(VLOOKUP($B48,#REF!,H$2,0)/H$1/_xlfn.XLOOKUP(Inv_SY_B12[[#This Row],[Date]],Daily_KPI[Date],Daily_KPI[POA-UP(KWh/m2)]),"")</f>
        <v/>
      </c>
      <c r="I48" s="271" t="str">
        <f ca="1">IFERROR(VLOOKUP($B48,#REF!,I$2,0)/I$1/_xlfn.XLOOKUP(Inv_SY_B12[[#This Row],[Date]],Daily_KPI[Date],Daily_KPI[POA-UP(KWh/m2)]),"")</f>
        <v/>
      </c>
    </row>
    <row r="49" spans="2:9">
      <c r="B49" s="199">
        <f t="shared" ca="1" si="2"/>
        <v>45837</v>
      </c>
      <c r="C49" s="271" t="str">
        <f ca="1">IFERROR(VLOOKUP($B49,#REF!,C$2,0)/C$1/_xlfn.XLOOKUP(Inv_SY_B12[[#This Row],[Date]],Daily_KPI[Date],Daily_KPI[POA-UP(KWh/m2)]),"")</f>
        <v/>
      </c>
      <c r="D49" s="271" t="str">
        <f ca="1">IFERROR(VLOOKUP($B49,#REF!,D$2,0)/D$1/_xlfn.XLOOKUP(Inv_SY_B12[[#This Row],[Date]],Daily_KPI[Date],Daily_KPI[POA-UP(KWh/m2)]),"")</f>
        <v/>
      </c>
      <c r="E49" s="271" t="str">
        <f ca="1">IFERROR(VLOOKUP($B49,#REF!,E$2,0)/E$1/_xlfn.XLOOKUP(Inv_SY_B12[[#This Row],[Date]],Daily_KPI[Date],Daily_KPI[POA-UP(KWh/m2)]),"")</f>
        <v/>
      </c>
      <c r="F49" s="271" t="str">
        <f ca="1">IFERROR(VLOOKUP($B49,#REF!,F$2,0)/F$1/_xlfn.XLOOKUP(Inv_SY_B12[[#This Row],[Date]],Daily_KPI[Date],Daily_KPI[POA-UP(KWh/m2)]),"")</f>
        <v/>
      </c>
      <c r="G49" s="271" t="str">
        <f ca="1">IFERROR(VLOOKUP($B49,#REF!,G$2,0)/G$1/_xlfn.XLOOKUP(Inv_SY_B12[[#This Row],[Date]],Daily_KPI[Date],Daily_KPI[POA-UP(KWh/m2)]),"")</f>
        <v/>
      </c>
      <c r="H49" s="271" t="str">
        <f ca="1">IFERROR(VLOOKUP($B49,#REF!,H$2,0)/H$1/_xlfn.XLOOKUP(Inv_SY_B12[[#This Row],[Date]],Daily_KPI[Date],Daily_KPI[POA-UP(KWh/m2)]),"")</f>
        <v/>
      </c>
      <c r="I49" s="271" t="str">
        <f ca="1">IFERROR(VLOOKUP($B49,#REF!,I$2,0)/I$1/_xlfn.XLOOKUP(Inv_SY_B12[[#This Row],[Date]],Daily_KPI[Date],Daily_KPI[POA-UP(KWh/m2)]),"")</f>
        <v/>
      </c>
    </row>
    <row r="50" spans="2:9">
      <c r="B50" s="199">
        <f t="shared" ca="1" si="2"/>
        <v>45838</v>
      </c>
      <c r="C50" s="271" t="str">
        <f ca="1">IFERROR(VLOOKUP($B50,#REF!,C$2,0)/C$1/_xlfn.XLOOKUP(Inv_SY_B12[[#This Row],[Date]],Daily_KPI[Date],Daily_KPI[POA-UP(KWh/m2)]),"")</f>
        <v/>
      </c>
      <c r="D50" s="271" t="str">
        <f ca="1">IFERROR(VLOOKUP($B50,#REF!,D$2,0)/D$1/_xlfn.XLOOKUP(Inv_SY_B12[[#This Row],[Date]],Daily_KPI[Date],Daily_KPI[POA-UP(KWh/m2)]),"")</f>
        <v/>
      </c>
      <c r="E50" s="271" t="str">
        <f ca="1">IFERROR(VLOOKUP($B50,#REF!,E$2,0)/E$1/_xlfn.XLOOKUP(Inv_SY_B12[[#This Row],[Date]],Daily_KPI[Date],Daily_KPI[POA-UP(KWh/m2)]),"")</f>
        <v/>
      </c>
      <c r="F50" s="271" t="str">
        <f ca="1">IFERROR(VLOOKUP($B50,#REF!,F$2,0)/F$1/_xlfn.XLOOKUP(Inv_SY_B12[[#This Row],[Date]],Daily_KPI[Date],Daily_KPI[POA-UP(KWh/m2)]),"")</f>
        <v/>
      </c>
      <c r="G50" s="271" t="str">
        <f ca="1">IFERROR(VLOOKUP($B50,#REF!,G$2,0)/G$1/_xlfn.XLOOKUP(Inv_SY_B12[[#This Row],[Date]],Daily_KPI[Date],Daily_KPI[POA-UP(KWh/m2)]),"")</f>
        <v/>
      </c>
      <c r="H50" s="271" t="str">
        <f ca="1">IFERROR(VLOOKUP($B50,#REF!,H$2,0)/H$1/_xlfn.XLOOKUP(Inv_SY_B12[[#This Row],[Date]],Daily_KPI[Date],Daily_KPI[POA-UP(KWh/m2)]),"")</f>
        <v/>
      </c>
      <c r="I50" s="271" t="str">
        <f ca="1">IFERROR(VLOOKUP($B50,#REF!,I$2,0)/I$1/_xlfn.XLOOKUP(Inv_SY_B12[[#This Row],[Date]],Daily_KPI[Date],Daily_KPI[POA-UP(KWh/m2)]),"")</f>
        <v/>
      </c>
    </row>
    <row r="51" spans="2:9">
      <c r="B51" s="199">
        <f t="shared" ca="1" si="2"/>
        <v>45839</v>
      </c>
      <c r="C51" s="271" t="str">
        <f ca="1">IFERROR(VLOOKUP($B51,#REF!,C$2,0)/C$1/_xlfn.XLOOKUP(Inv_SY_B12[[#This Row],[Date]],Daily_KPI[Date],Daily_KPI[POA-UP(KWh/m2)]),"")</f>
        <v/>
      </c>
      <c r="D51" s="271" t="str">
        <f ca="1">IFERROR(VLOOKUP($B51,#REF!,D$2,0)/D$1/_xlfn.XLOOKUP(Inv_SY_B12[[#This Row],[Date]],Daily_KPI[Date],Daily_KPI[POA-UP(KWh/m2)]),"")</f>
        <v/>
      </c>
      <c r="E51" s="271" t="str">
        <f ca="1">IFERROR(VLOOKUP($B51,#REF!,E$2,0)/E$1/_xlfn.XLOOKUP(Inv_SY_B12[[#This Row],[Date]],Daily_KPI[Date],Daily_KPI[POA-UP(KWh/m2)]),"")</f>
        <v/>
      </c>
      <c r="F51" s="271" t="str">
        <f ca="1">IFERROR(VLOOKUP($B51,#REF!,F$2,0)/F$1/_xlfn.XLOOKUP(Inv_SY_B12[[#This Row],[Date]],Daily_KPI[Date],Daily_KPI[POA-UP(KWh/m2)]),"")</f>
        <v/>
      </c>
      <c r="G51" s="271" t="str">
        <f ca="1">IFERROR(VLOOKUP($B51,#REF!,G$2,0)/G$1/_xlfn.XLOOKUP(Inv_SY_B12[[#This Row],[Date]],Daily_KPI[Date],Daily_KPI[POA-UP(KWh/m2)]),"")</f>
        <v/>
      </c>
      <c r="H51" s="271" t="str">
        <f ca="1">IFERROR(VLOOKUP($B51,#REF!,H$2,0)/H$1/_xlfn.XLOOKUP(Inv_SY_B12[[#This Row],[Date]],Daily_KPI[Date],Daily_KPI[POA-UP(KWh/m2)]),"")</f>
        <v/>
      </c>
      <c r="I51" s="271" t="str">
        <f ca="1">IFERROR(VLOOKUP($B51,#REF!,I$2,0)/I$1/_xlfn.XLOOKUP(Inv_SY_B12[[#This Row],[Date]],Daily_KPI[Date],Daily_KPI[POA-UP(KWh/m2)]),"")</f>
        <v/>
      </c>
    </row>
    <row r="52" spans="2:9">
      <c r="B52" s="199">
        <f t="shared" ca="1" si="2"/>
        <v>45840</v>
      </c>
      <c r="C52" s="271" t="str">
        <f ca="1">IFERROR(VLOOKUP($B52,#REF!,C$2,0)/C$1/_xlfn.XLOOKUP(Inv_SY_B12[[#This Row],[Date]],Daily_KPI[Date],Daily_KPI[POA-UP(KWh/m2)]),"")</f>
        <v/>
      </c>
      <c r="D52" s="271" t="str">
        <f ca="1">IFERROR(VLOOKUP($B52,#REF!,D$2,0)/D$1/_xlfn.XLOOKUP(Inv_SY_B12[[#This Row],[Date]],Daily_KPI[Date],Daily_KPI[POA-UP(KWh/m2)]),"")</f>
        <v/>
      </c>
      <c r="E52" s="271" t="str">
        <f ca="1">IFERROR(VLOOKUP($B52,#REF!,E$2,0)/E$1/_xlfn.XLOOKUP(Inv_SY_B12[[#This Row],[Date]],Daily_KPI[Date],Daily_KPI[POA-UP(KWh/m2)]),"")</f>
        <v/>
      </c>
      <c r="F52" s="271" t="str">
        <f ca="1">IFERROR(VLOOKUP($B52,#REF!,F$2,0)/F$1/_xlfn.XLOOKUP(Inv_SY_B12[[#This Row],[Date]],Daily_KPI[Date],Daily_KPI[POA-UP(KWh/m2)]),"")</f>
        <v/>
      </c>
      <c r="G52" s="271" t="str">
        <f ca="1">IFERROR(VLOOKUP($B52,#REF!,G$2,0)/G$1/_xlfn.XLOOKUP(Inv_SY_B12[[#This Row],[Date]],Daily_KPI[Date],Daily_KPI[POA-UP(KWh/m2)]),"")</f>
        <v/>
      </c>
      <c r="H52" s="271" t="str">
        <f ca="1">IFERROR(VLOOKUP($B52,#REF!,H$2,0)/H$1/_xlfn.XLOOKUP(Inv_SY_B12[[#This Row],[Date]],Daily_KPI[Date],Daily_KPI[POA-UP(KWh/m2)]),"")</f>
        <v/>
      </c>
      <c r="I52" s="271" t="str">
        <f ca="1">IFERROR(VLOOKUP($B52,#REF!,I$2,0)/I$1/_xlfn.XLOOKUP(Inv_SY_B12[[#This Row],[Date]],Daily_KPI[Date],Daily_KPI[POA-UP(KWh/m2)]),"")</f>
        <v/>
      </c>
    </row>
    <row r="53" spans="2:9">
      <c r="B53" s="199">
        <f t="shared" ca="1" si="2"/>
        <v>45841</v>
      </c>
      <c r="C53" s="271" t="str">
        <f ca="1">IFERROR(VLOOKUP($B53,#REF!,C$2,0)/C$1/_xlfn.XLOOKUP(Inv_SY_B12[[#This Row],[Date]],Daily_KPI[Date],Daily_KPI[POA-UP(KWh/m2)]),"")</f>
        <v/>
      </c>
      <c r="D53" s="271" t="str">
        <f ca="1">IFERROR(VLOOKUP($B53,#REF!,D$2,0)/D$1/_xlfn.XLOOKUP(Inv_SY_B12[[#This Row],[Date]],Daily_KPI[Date],Daily_KPI[POA-UP(KWh/m2)]),"")</f>
        <v/>
      </c>
      <c r="E53" s="271" t="str">
        <f ca="1">IFERROR(VLOOKUP($B53,#REF!,E$2,0)/E$1/_xlfn.XLOOKUP(Inv_SY_B12[[#This Row],[Date]],Daily_KPI[Date],Daily_KPI[POA-UP(KWh/m2)]),"")</f>
        <v/>
      </c>
      <c r="F53" s="271" t="str">
        <f ca="1">IFERROR(VLOOKUP($B53,#REF!,F$2,0)/F$1/_xlfn.XLOOKUP(Inv_SY_B12[[#This Row],[Date]],Daily_KPI[Date],Daily_KPI[POA-UP(KWh/m2)]),"")</f>
        <v/>
      </c>
      <c r="G53" s="271" t="str">
        <f ca="1">IFERROR(VLOOKUP($B53,#REF!,G$2,0)/G$1/_xlfn.XLOOKUP(Inv_SY_B12[[#This Row],[Date]],Daily_KPI[Date],Daily_KPI[POA-UP(KWh/m2)]),"")</f>
        <v/>
      </c>
      <c r="H53" s="271" t="str">
        <f ca="1">IFERROR(VLOOKUP($B53,#REF!,H$2,0)/H$1/_xlfn.XLOOKUP(Inv_SY_B12[[#This Row],[Date]],Daily_KPI[Date],Daily_KPI[POA-UP(KWh/m2)]),"")</f>
        <v/>
      </c>
      <c r="I53" s="271" t="str">
        <f ca="1">IFERROR(VLOOKUP($B53,#REF!,I$2,0)/I$1/_xlfn.XLOOKUP(Inv_SY_B12[[#This Row],[Date]],Daily_KPI[Date],Daily_KPI[POA-UP(KWh/m2)]),"")</f>
        <v/>
      </c>
    </row>
    <row r="54" spans="2:9">
      <c r="B54" s="199">
        <f t="shared" ca="1" si="2"/>
        <v>45842</v>
      </c>
      <c r="C54" s="271" t="str">
        <f ca="1">IFERROR(VLOOKUP($B54,#REF!,C$2,0)/C$1/_xlfn.XLOOKUP(Inv_SY_B12[[#This Row],[Date]],Daily_KPI[Date],Daily_KPI[POA-UP(KWh/m2)]),"")</f>
        <v/>
      </c>
      <c r="D54" s="271" t="str">
        <f ca="1">IFERROR(VLOOKUP($B54,#REF!,D$2,0)/D$1/_xlfn.XLOOKUP(Inv_SY_B12[[#This Row],[Date]],Daily_KPI[Date],Daily_KPI[POA-UP(KWh/m2)]),"")</f>
        <v/>
      </c>
      <c r="E54" s="271" t="str">
        <f ca="1">IFERROR(VLOOKUP($B54,#REF!,E$2,0)/E$1/_xlfn.XLOOKUP(Inv_SY_B12[[#This Row],[Date]],Daily_KPI[Date],Daily_KPI[POA-UP(KWh/m2)]),"")</f>
        <v/>
      </c>
      <c r="F54" s="271" t="str">
        <f ca="1">IFERROR(VLOOKUP($B54,#REF!,F$2,0)/F$1/_xlfn.XLOOKUP(Inv_SY_B12[[#This Row],[Date]],Daily_KPI[Date],Daily_KPI[POA-UP(KWh/m2)]),"")</f>
        <v/>
      </c>
      <c r="G54" s="271" t="str">
        <f ca="1">IFERROR(VLOOKUP($B54,#REF!,G$2,0)/G$1/_xlfn.XLOOKUP(Inv_SY_B12[[#This Row],[Date]],Daily_KPI[Date],Daily_KPI[POA-UP(KWh/m2)]),"")</f>
        <v/>
      </c>
      <c r="H54" s="271" t="str">
        <f ca="1">IFERROR(VLOOKUP($B54,#REF!,H$2,0)/H$1/_xlfn.XLOOKUP(Inv_SY_B12[[#This Row],[Date]],Daily_KPI[Date],Daily_KPI[POA-UP(KWh/m2)]),"")</f>
        <v/>
      </c>
      <c r="I54" s="271" t="str">
        <f ca="1">IFERROR(VLOOKUP($B54,#REF!,I$2,0)/I$1/_xlfn.XLOOKUP(Inv_SY_B12[[#This Row],[Date]],Daily_KPI[Date],Daily_KPI[POA-UP(KWh/m2)]),"")</f>
        <v/>
      </c>
    </row>
    <row r="55" spans="2:9">
      <c r="B55" s="199">
        <f t="shared" ca="1" si="2"/>
        <v>45843</v>
      </c>
      <c r="C55" s="271" t="str">
        <f ca="1">IFERROR(VLOOKUP($B55,#REF!,C$2,0)/C$1/_xlfn.XLOOKUP(Inv_SY_B12[[#This Row],[Date]],Daily_KPI[Date],Daily_KPI[POA-UP(KWh/m2)]),"")</f>
        <v/>
      </c>
      <c r="D55" s="271" t="str">
        <f ca="1">IFERROR(VLOOKUP($B55,#REF!,D$2,0)/D$1/_xlfn.XLOOKUP(Inv_SY_B12[[#This Row],[Date]],Daily_KPI[Date],Daily_KPI[POA-UP(KWh/m2)]),"")</f>
        <v/>
      </c>
      <c r="E55" s="271" t="str">
        <f ca="1">IFERROR(VLOOKUP($B55,#REF!,E$2,0)/E$1/_xlfn.XLOOKUP(Inv_SY_B12[[#This Row],[Date]],Daily_KPI[Date],Daily_KPI[POA-UP(KWh/m2)]),"")</f>
        <v/>
      </c>
      <c r="F55" s="271" t="str">
        <f ca="1">IFERROR(VLOOKUP($B55,#REF!,F$2,0)/F$1/_xlfn.XLOOKUP(Inv_SY_B12[[#This Row],[Date]],Daily_KPI[Date],Daily_KPI[POA-UP(KWh/m2)]),"")</f>
        <v/>
      </c>
      <c r="G55" s="271" t="str">
        <f ca="1">IFERROR(VLOOKUP($B55,#REF!,G$2,0)/G$1/_xlfn.XLOOKUP(Inv_SY_B12[[#This Row],[Date]],Daily_KPI[Date],Daily_KPI[POA-UP(KWh/m2)]),"")</f>
        <v/>
      </c>
      <c r="H55" s="271" t="str">
        <f ca="1">IFERROR(VLOOKUP($B55,#REF!,H$2,0)/H$1/_xlfn.XLOOKUP(Inv_SY_B12[[#This Row],[Date]],Daily_KPI[Date],Daily_KPI[POA-UP(KWh/m2)]),"")</f>
        <v/>
      </c>
      <c r="I55" s="271" t="str">
        <f ca="1">IFERROR(VLOOKUP($B55,#REF!,I$2,0)/I$1/_xlfn.XLOOKUP(Inv_SY_B12[[#This Row],[Date]],Daily_KPI[Date],Daily_KPI[POA-UP(KWh/m2)]),"")</f>
        <v/>
      </c>
    </row>
    <row r="56" spans="2:9">
      <c r="B56" s="199">
        <f t="shared" ca="1" si="2"/>
        <v>45844</v>
      </c>
      <c r="C56" s="271" t="str">
        <f ca="1">IFERROR(VLOOKUP($B56,#REF!,C$2,0)/C$1/_xlfn.XLOOKUP(Inv_SY_B12[[#This Row],[Date]],Daily_KPI[Date],Daily_KPI[POA-UP(KWh/m2)]),"")</f>
        <v/>
      </c>
      <c r="D56" s="271" t="str">
        <f ca="1">IFERROR(VLOOKUP($B56,#REF!,D$2,0)/D$1/_xlfn.XLOOKUP(Inv_SY_B12[[#This Row],[Date]],Daily_KPI[Date],Daily_KPI[POA-UP(KWh/m2)]),"")</f>
        <v/>
      </c>
      <c r="E56" s="271" t="str">
        <f ca="1">IFERROR(VLOOKUP($B56,#REF!,E$2,0)/E$1/_xlfn.XLOOKUP(Inv_SY_B12[[#This Row],[Date]],Daily_KPI[Date],Daily_KPI[POA-UP(KWh/m2)]),"")</f>
        <v/>
      </c>
      <c r="F56" s="271" t="str">
        <f ca="1">IFERROR(VLOOKUP($B56,#REF!,F$2,0)/F$1/_xlfn.XLOOKUP(Inv_SY_B12[[#This Row],[Date]],Daily_KPI[Date],Daily_KPI[POA-UP(KWh/m2)]),"")</f>
        <v/>
      </c>
      <c r="G56" s="271" t="str">
        <f ca="1">IFERROR(VLOOKUP($B56,#REF!,G$2,0)/G$1/_xlfn.XLOOKUP(Inv_SY_B12[[#This Row],[Date]],Daily_KPI[Date],Daily_KPI[POA-UP(KWh/m2)]),"")</f>
        <v/>
      </c>
      <c r="H56" s="271" t="str">
        <f ca="1">IFERROR(VLOOKUP($B56,#REF!,H$2,0)/H$1/_xlfn.XLOOKUP(Inv_SY_B12[[#This Row],[Date]],Daily_KPI[Date],Daily_KPI[POA-UP(KWh/m2)]),"")</f>
        <v/>
      </c>
      <c r="I56" s="271" t="str">
        <f ca="1">IFERROR(VLOOKUP($B56,#REF!,I$2,0)/I$1/_xlfn.XLOOKUP(Inv_SY_B12[[#This Row],[Date]],Daily_KPI[Date],Daily_KPI[POA-UP(KWh/m2)]),"")</f>
        <v/>
      </c>
    </row>
    <row r="57" spans="2:9">
      <c r="B57" s="199">
        <f t="shared" ca="1" si="2"/>
        <v>45845</v>
      </c>
      <c r="C57" s="271" t="str">
        <f ca="1">IFERROR(VLOOKUP($B57,#REF!,C$2,0)/C$1/_xlfn.XLOOKUP(Inv_SY_B12[[#This Row],[Date]],Daily_KPI[Date],Daily_KPI[POA-UP(KWh/m2)]),"")</f>
        <v/>
      </c>
      <c r="D57" s="271" t="str">
        <f ca="1">IFERROR(VLOOKUP($B57,#REF!,D$2,0)/D$1/_xlfn.XLOOKUP(Inv_SY_B12[[#This Row],[Date]],Daily_KPI[Date],Daily_KPI[POA-UP(KWh/m2)]),"")</f>
        <v/>
      </c>
      <c r="E57" s="271" t="str">
        <f ca="1">IFERROR(VLOOKUP($B57,#REF!,E$2,0)/E$1/_xlfn.XLOOKUP(Inv_SY_B12[[#This Row],[Date]],Daily_KPI[Date],Daily_KPI[POA-UP(KWh/m2)]),"")</f>
        <v/>
      </c>
      <c r="F57" s="271" t="str">
        <f ca="1">IFERROR(VLOOKUP($B57,#REF!,F$2,0)/F$1/_xlfn.XLOOKUP(Inv_SY_B12[[#This Row],[Date]],Daily_KPI[Date],Daily_KPI[POA-UP(KWh/m2)]),"")</f>
        <v/>
      </c>
      <c r="G57" s="271" t="str">
        <f ca="1">IFERROR(VLOOKUP($B57,#REF!,G$2,0)/G$1/_xlfn.XLOOKUP(Inv_SY_B12[[#This Row],[Date]],Daily_KPI[Date],Daily_KPI[POA-UP(KWh/m2)]),"")</f>
        <v/>
      </c>
      <c r="H57" s="271" t="str">
        <f ca="1">IFERROR(VLOOKUP($B57,#REF!,H$2,0)/H$1/_xlfn.XLOOKUP(Inv_SY_B12[[#This Row],[Date]],Daily_KPI[Date],Daily_KPI[POA-UP(KWh/m2)]),"")</f>
        <v/>
      </c>
      <c r="I57" s="271" t="str">
        <f ca="1">IFERROR(VLOOKUP($B57,#REF!,I$2,0)/I$1/_xlfn.XLOOKUP(Inv_SY_B12[[#This Row],[Date]],Daily_KPI[Date],Daily_KPI[POA-UP(KWh/m2)]),"")</f>
        <v/>
      </c>
    </row>
    <row r="58" spans="2:9">
      <c r="B58" s="199">
        <f t="shared" ca="1" si="2"/>
        <v>45846</v>
      </c>
      <c r="C58" s="271" t="str">
        <f ca="1">IFERROR(VLOOKUP($B58,#REF!,C$2,0)/C$1/_xlfn.XLOOKUP(Inv_SY_B12[[#This Row],[Date]],Daily_KPI[Date],Daily_KPI[POA-UP(KWh/m2)]),"")</f>
        <v/>
      </c>
      <c r="D58" s="271" t="str">
        <f ca="1">IFERROR(VLOOKUP($B58,#REF!,D$2,0)/D$1/_xlfn.XLOOKUP(Inv_SY_B12[[#This Row],[Date]],Daily_KPI[Date],Daily_KPI[POA-UP(KWh/m2)]),"")</f>
        <v/>
      </c>
      <c r="E58" s="271" t="str">
        <f ca="1">IFERROR(VLOOKUP($B58,#REF!,E$2,0)/E$1/_xlfn.XLOOKUP(Inv_SY_B12[[#This Row],[Date]],Daily_KPI[Date],Daily_KPI[POA-UP(KWh/m2)]),"")</f>
        <v/>
      </c>
      <c r="F58" s="271" t="str">
        <f ca="1">IFERROR(VLOOKUP($B58,#REF!,F$2,0)/F$1/_xlfn.XLOOKUP(Inv_SY_B12[[#This Row],[Date]],Daily_KPI[Date],Daily_KPI[POA-UP(KWh/m2)]),"")</f>
        <v/>
      </c>
      <c r="G58" s="271" t="str">
        <f ca="1">IFERROR(VLOOKUP($B58,#REF!,G$2,0)/G$1/_xlfn.XLOOKUP(Inv_SY_B12[[#This Row],[Date]],Daily_KPI[Date],Daily_KPI[POA-UP(KWh/m2)]),"")</f>
        <v/>
      </c>
      <c r="H58" s="271" t="str">
        <f ca="1">IFERROR(VLOOKUP($B58,#REF!,H$2,0)/H$1/_xlfn.XLOOKUP(Inv_SY_B12[[#This Row],[Date]],Daily_KPI[Date],Daily_KPI[POA-UP(KWh/m2)]),"")</f>
        <v/>
      </c>
      <c r="I58" s="271" t="str">
        <f ca="1">IFERROR(VLOOKUP($B58,#REF!,I$2,0)/I$1/_xlfn.XLOOKUP(Inv_SY_B12[[#This Row],[Date]],Daily_KPI[Date],Daily_KPI[POA-UP(KWh/m2)]),"")</f>
        <v/>
      </c>
    </row>
    <row r="59" spans="2:9">
      <c r="B59" s="199">
        <f t="shared" ca="1" si="2"/>
        <v>45847</v>
      </c>
      <c r="C59" s="271" t="str">
        <f ca="1">IFERROR(VLOOKUP($B59,#REF!,C$2,0)/C$1/_xlfn.XLOOKUP(Inv_SY_B12[[#This Row],[Date]],Daily_KPI[Date],Daily_KPI[POA-UP(KWh/m2)]),"")</f>
        <v/>
      </c>
      <c r="D59" s="271" t="str">
        <f ca="1">IFERROR(VLOOKUP($B59,#REF!,D$2,0)/D$1/_xlfn.XLOOKUP(Inv_SY_B12[[#This Row],[Date]],Daily_KPI[Date],Daily_KPI[POA-UP(KWh/m2)]),"")</f>
        <v/>
      </c>
      <c r="E59" s="271" t="str">
        <f ca="1">IFERROR(VLOOKUP($B59,#REF!,E$2,0)/E$1/_xlfn.XLOOKUP(Inv_SY_B12[[#This Row],[Date]],Daily_KPI[Date],Daily_KPI[POA-UP(KWh/m2)]),"")</f>
        <v/>
      </c>
      <c r="F59" s="271" t="str">
        <f ca="1">IFERROR(VLOOKUP($B59,#REF!,F$2,0)/F$1/_xlfn.XLOOKUP(Inv_SY_B12[[#This Row],[Date]],Daily_KPI[Date],Daily_KPI[POA-UP(KWh/m2)]),"")</f>
        <v/>
      </c>
      <c r="G59" s="271" t="str">
        <f ca="1">IFERROR(VLOOKUP($B59,#REF!,G$2,0)/G$1/_xlfn.XLOOKUP(Inv_SY_B12[[#This Row],[Date]],Daily_KPI[Date],Daily_KPI[POA-UP(KWh/m2)]),"")</f>
        <v/>
      </c>
      <c r="H59" s="271" t="str">
        <f ca="1">IFERROR(VLOOKUP($B59,#REF!,H$2,0)/H$1/_xlfn.XLOOKUP(Inv_SY_B12[[#This Row],[Date]],Daily_KPI[Date],Daily_KPI[POA-UP(KWh/m2)]),"")</f>
        <v/>
      </c>
      <c r="I59" s="271" t="str">
        <f ca="1">IFERROR(VLOOKUP($B59,#REF!,I$2,0)/I$1/_xlfn.XLOOKUP(Inv_SY_B12[[#This Row],[Date]],Daily_KPI[Date],Daily_KPI[POA-UP(KWh/m2)]),"")</f>
        <v/>
      </c>
    </row>
    <row r="60" spans="2:9">
      <c r="B60" s="199">
        <f t="shared" ca="1" si="2"/>
        <v>45848</v>
      </c>
      <c r="C60" s="271" t="str">
        <f ca="1">IFERROR(VLOOKUP($B60,#REF!,C$2,0)/C$1/_xlfn.XLOOKUP(Inv_SY_B12[[#This Row],[Date]],Daily_KPI[Date],Daily_KPI[POA-UP(KWh/m2)]),"")</f>
        <v/>
      </c>
      <c r="D60" s="271" t="str">
        <f ca="1">IFERROR(VLOOKUP($B60,#REF!,D$2,0)/D$1/_xlfn.XLOOKUP(Inv_SY_B12[[#This Row],[Date]],Daily_KPI[Date],Daily_KPI[POA-UP(KWh/m2)]),"")</f>
        <v/>
      </c>
      <c r="E60" s="271" t="str">
        <f ca="1">IFERROR(VLOOKUP($B60,#REF!,E$2,0)/E$1/_xlfn.XLOOKUP(Inv_SY_B12[[#This Row],[Date]],Daily_KPI[Date],Daily_KPI[POA-UP(KWh/m2)]),"")</f>
        <v/>
      </c>
      <c r="F60" s="271" t="str">
        <f ca="1">IFERROR(VLOOKUP($B60,#REF!,F$2,0)/F$1/_xlfn.XLOOKUP(Inv_SY_B12[[#This Row],[Date]],Daily_KPI[Date],Daily_KPI[POA-UP(KWh/m2)]),"")</f>
        <v/>
      </c>
      <c r="G60" s="271" t="str">
        <f ca="1">IFERROR(VLOOKUP($B60,#REF!,G$2,0)/G$1/_xlfn.XLOOKUP(Inv_SY_B12[[#This Row],[Date]],Daily_KPI[Date],Daily_KPI[POA-UP(KWh/m2)]),"")</f>
        <v/>
      </c>
      <c r="H60" s="271" t="str">
        <f ca="1">IFERROR(VLOOKUP($B60,#REF!,H$2,0)/H$1/_xlfn.XLOOKUP(Inv_SY_B12[[#This Row],[Date]],Daily_KPI[Date],Daily_KPI[POA-UP(KWh/m2)]),"")</f>
        <v/>
      </c>
      <c r="I60" s="271" t="str">
        <f ca="1">IFERROR(VLOOKUP($B60,#REF!,I$2,0)/I$1/_xlfn.XLOOKUP(Inv_SY_B12[[#This Row],[Date]],Daily_KPI[Date],Daily_KPI[POA-UP(KWh/m2)]),"")</f>
        <v/>
      </c>
    </row>
    <row r="61" spans="2:9">
      <c r="B61" s="199">
        <f t="shared" ca="1" si="2"/>
        <v>45849</v>
      </c>
      <c r="C61" s="271" t="str">
        <f ca="1">IFERROR(VLOOKUP($B61,#REF!,C$2,0)/C$1/_xlfn.XLOOKUP(Inv_SY_B12[[#This Row],[Date]],Daily_KPI[Date],Daily_KPI[POA-UP(KWh/m2)]),"")</f>
        <v/>
      </c>
      <c r="D61" s="271" t="str">
        <f ca="1">IFERROR(VLOOKUP($B61,#REF!,D$2,0)/D$1/_xlfn.XLOOKUP(Inv_SY_B12[[#This Row],[Date]],Daily_KPI[Date],Daily_KPI[POA-UP(KWh/m2)]),"")</f>
        <v/>
      </c>
      <c r="E61" s="271" t="str">
        <f ca="1">IFERROR(VLOOKUP($B61,#REF!,E$2,0)/E$1/_xlfn.XLOOKUP(Inv_SY_B12[[#This Row],[Date]],Daily_KPI[Date],Daily_KPI[POA-UP(KWh/m2)]),"")</f>
        <v/>
      </c>
      <c r="F61" s="271" t="str">
        <f ca="1">IFERROR(VLOOKUP($B61,#REF!,F$2,0)/F$1/_xlfn.XLOOKUP(Inv_SY_B12[[#This Row],[Date]],Daily_KPI[Date],Daily_KPI[POA-UP(KWh/m2)]),"")</f>
        <v/>
      </c>
      <c r="G61" s="271" t="str">
        <f ca="1">IFERROR(VLOOKUP($B61,#REF!,G$2,0)/G$1/_xlfn.XLOOKUP(Inv_SY_B12[[#This Row],[Date]],Daily_KPI[Date],Daily_KPI[POA-UP(KWh/m2)]),"")</f>
        <v/>
      </c>
      <c r="H61" s="271" t="str">
        <f ca="1">IFERROR(VLOOKUP($B61,#REF!,H$2,0)/H$1/_xlfn.XLOOKUP(Inv_SY_B12[[#This Row],[Date]],Daily_KPI[Date],Daily_KPI[POA-UP(KWh/m2)]),"")</f>
        <v/>
      </c>
      <c r="I61" s="271" t="str">
        <f ca="1">IFERROR(VLOOKUP($B61,#REF!,I$2,0)/I$1/_xlfn.XLOOKUP(Inv_SY_B12[[#This Row],[Date]],Daily_KPI[Date],Daily_KPI[POA-UP(KWh/m2)]),"")</f>
        <v/>
      </c>
    </row>
    <row r="62" spans="2:9">
      <c r="B62" s="199">
        <f t="shared" ca="1" si="2"/>
        <v>45850</v>
      </c>
      <c r="C62" s="271" t="str">
        <f ca="1">IFERROR(VLOOKUP($B62,#REF!,C$2,0)/C$1/_xlfn.XLOOKUP(Inv_SY_B12[[#This Row],[Date]],Daily_KPI[Date],Daily_KPI[POA-UP(KWh/m2)]),"")</f>
        <v/>
      </c>
      <c r="D62" s="271" t="str">
        <f ca="1">IFERROR(VLOOKUP($B62,#REF!,D$2,0)/D$1/_xlfn.XLOOKUP(Inv_SY_B12[[#This Row],[Date]],Daily_KPI[Date],Daily_KPI[POA-UP(KWh/m2)]),"")</f>
        <v/>
      </c>
      <c r="E62" s="271" t="str">
        <f ca="1">IFERROR(VLOOKUP($B62,#REF!,E$2,0)/E$1/_xlfn.XLOOKUP(Inv_SY_B12[[#This Row],[Date]],Daily_KPI[Date],Daily_KPI[POA-UP(KWh/m2)]),"")</f>
        <v/>
      </c>
      <c r="F62" s="271" t="str">
        <f ca="1">IFERROR(VLOOKUP($B62,#REF!,F$2,0)/F$1/_xlfn.XLOOKUP(Inv_SY_B12[[#This Row],[Date]],Daily_KPI[Date],Daily_KPI[POA-UP(KWh/m2)]),"")</f>
        <v/>
      </c>
      <c r="G62" s="271" t="str">
        <f ca="1">IFERROR(VLOOKUP($B62,#REF!,G$2,0)/G$1/_xlfn.XLOOKUP(Inv_SY_B12[[#This Row],[Date]],Daily_KPI[Date],Daily_KPI[POA-UP(KWh/m2)]),"")</f>
        <v/>
      </c>
      <c r="H62" s="271" t="str">
        <f ca="1">IFERROR(VLOOKUP($B62,#REF!,H$2,0)/H$1/_xlfn.XLOOKUP(Inv_SY_B12[[#This Row],[Date]],Daily_KPI[Date],Daily_KPI[POA-UP(KWh/m2)]),"")</f>
        <v/>
      </c>
      <c r="I62" s="271" t="str">
        <f ca="1">IFERROR(VLOOKUP($B62,#REF!,I$2,0)/I$1/_xlfn.XLOOKUP(Inv_SY_B12[[#This Row],[Date]],Daily_KPI[Date],Daily_KPI[POA-UP(KWh/m2)]),"")</f>
        <v/>
      </c>
    </row>
    <row r="63" spans="2:9">
      <c r="B63" s="199">
        <f t="shared" ca="1" si="2"/>
        <v>45851</v>
      </c>
      <c r="C63" s="271" t="str">
        <f ca="1">IFERROR(VLOOKUP($B63,#REF!,C$2,0)/C$1/_xlfn.XLOOKUP(Inv_SY_B12[[#This Row],[Date]],Daily_KPI[Date],Daily_KPI[POA-UP(KWh/m2)]),"")</f>
        <v/>
      </c>
      <c r="D63" s="271" t="str">
        <f ca="1">IFERROR(VLOOKUP($B63,#REF!,D$2,0)/D$1/_xlfn.XLOOKUP(Inv_SY_B12[[#This Row],[Date]],Daily_KPI[Date],Daily_KPI[POA-UP(KWh/m2)]),"")</f>
        <v/>
      </c>
      <c r="E63" s="271" t="str">
        <f ca="1">IFERROR(VLOOKUP($B63,#REF!,E$2,0)/E$1/_xlfn.XLOOKUP(Inv_SY_B12[[#This Row],[Date]],Daily_KPI[Date],Daily_KPI[POA-UP(KWh/m2)]),"")</f>
        <v/>
      </c>
      <c r="F63" s="271" t="str">
        <f ca="1">IFERROR(VLOOKUP($B63,#REF!,F$2,0)/F$1/_xlfn.XLOOKUP(Inv_SY_B12[[#This Row],[Date]],Daily_KPI[Date],Daily_KPI[POA-UP(KWh/m2)]),"")</f>
        <v/>
      </c>
      <c r="G63" s="271" t="str">
        <f ca="1">IFERROR(VLOOKUP($B63,#REF!,G$2,0)/G$1/_xlfn.XLOOKUP(Inv_SY_B12[[#This Row],[Date]],Daily_KPI[Date],Daily_KPI[POA-UP(KWh/m2)]),"")</f>
        <v/>
      </c>
      <c r="H63" s="271" t="str">
        <f ca="1">IFERROR(VLOOKUP($B63,#REF!,H$2,0)/H$1/_xlfn.XLOOKUP(Inv_SY_B12[[#This Row],[Date]],Daily_KPI[Date],Daily_KPI[POA-UP(KWh/m2)]),"")</f>
        <v/>
      </c>
      <c r="I63" s="271" t="str">
        <f ca="1">IFERROR(VLOOKUP($B63,#REF!,I$2,0)/I$1/_xlfn.XLOOKUP(Inv_SY_B12[[#This Row],[Date]],Daily_KPI[Date],Daily_KPI[POA-UP(KWh/m2)]),"")</f>
        <v/>
      </c>
    </row>
    <row r="64" spans="2:9">
      <c r="B64" s="199">
        <f t="shared" ca="1" si="2"/>
        <v>45852</v>
      </c>
      <c r="C64" s="271" t="str">
        <f ca="1">IFERROR(VLOOKUP($B64,#REF!,C$2,0)/C$1/_xlfn.XLOOKUP(Inv_SY_B12[[#This Row],[Date]],Daily_KPI[Date],Daily_KPI[POA-UP(KWh/m2)]),"")</f>
        <v/>
      </c>
      <c r="D64" s="271" t="str">
        <f ca="1">IFERROR(VLOOKUP($B64,#REF!,D$2,0)/D$1/_xlfn.XLOOKUP(Inv_SY_B12[[#This Row],[Date]],Daily_KPI[Date],Daily_KPI[POA-UP(KWh/m2)]),"")</f>
        <v/>
      </c>
      <c r="E64" s="271" t="str">
        <f ca="1">IFERROR(VLOOKUP($B64,#REF!,E$2,0)/E$1/_xlfn.XLOOKUP(Inv_SY_B12[[#This Row],[Date]],Daily_KPI[Date],Daily_KPI[POA-UP(KWh/m2)]),"")</f>
        <v/>
      </c>
      <c r="F64" s="271" t="str">
        <f ca="1">IFERROR(VLOOKUP($B64,#REF!,F$2,0)/F$1/_xlfn.XLOOKUP(Inv_SY_B12[[#This Row],[Date]],Daily_KPI[Date],Daily_KPI[POA-UP(KWh/m2)]),"")</f>
        <v/>
      </c>
      <c r="G64" s="271" t="str">
        <f ca="1">IFERROR(VLOOKUP($B64,#REF!,G$2,0)/G$1/_xlfn.XLOOKUP(Inv_SY_B12[[#This Row],[Date]],Daily_KPI[Date],Daily_KPI[POA-UP(KWh/m2)]),"")</f>
        <v/>
      </c>
      <c r="H64" s="271" t="str">
        <f ca="1">IFERROR(VLOOKUP($B64,#REF!,H$2,0)/H$1/_xlfn.XLOOKUP(Inv_SY_B12[[#This Row],[Date]],Daily_KPI[Date],Daily_KPI[POA-UP(KWh/m2)]),"")</f>
        <v/>
      </c>
      <c r="I64" s="271" t="str">
        <f ca="1">IFERROR(VLOOKUP($B64,#REF!,I$2,0)/I$1/_xlfn.XLOOKUP(Inv_SY_B12[[#This Row],[Date]],Daily_KPI[Date],Daily_KPI[POA-UP(KWh/m2)]),"")</f>
        <v/>
      </c>
    </row>
  </sheetData>
  <conditionalFormatting sqref="C3:I64">
    <cfRule type="cellIs" dxfId="33" priority="5" operator="lessThan">
      <formula>-0.03</formula>
    </cfRule>
  </conditionalFormatting>
  <conditionalFormatting sqref="C4:I4 D5:I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I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391"/>
  <sheetViews>
    <sheetView topLeftCell="A2" workbookViewId="0">
      <pane xSplit="2" ySplit="1" topLeftCell="C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8" customWidth="1"/>
    <col min="2" max="2" width="11.453125" customWidth="1"/>
    <col min="3" max="4" width="12.453125" customWidth="1"/>
    <col min="5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5" width="13.453125" customWidth="1"/>
    <col min="16" max="17" width="11.1796875" style="4" customWidth="1"/>
    <col min="18" max="22" width="13.453125" customWidth="1"/>
    <col min="23" max="23" width="48.453125" customWidth="1"/>
    <col min="24" max="24" width="13.453125" customWidth="1"/>
  </cols>
  <sheetData>
    <row r="1" spans="1:25" hidden="1">
      <c r="P1"/>
      <c r="Q1"/>
    </row>
    <row r="2" spans="1:25" s="52" customFormat="1" ht="39">
      <c r="A2" s="123" t="s">
        <v>5</v>
      </c>
      <c r="B2" s="124" t="s">
        <v>77</v>
      </c>
      <c r="C2" s="123" t="s">
        <v>121</v>
      </c>
      <c r="D2" s="123" t="s">
        <v>122</v>
      </c>
      <c r="E2" s="123" t="s">
        <v>331</v>
      </c>
      <c r="F2" s="123" t="s">
        <v>141</v>
      </c>
      <c r="G2" s="123" t="s">
        <v>80</v>
      </c>
      <c r="H2" s="123" t="s">
        <v>40</v>
      </c>
      <c r="I2" s="123" t="s">
        <v>332</v>
      </c>
      <c r="J2" s="123" t="s">
        <v>333</v>
      </c>
      <c r="K2" s="123" t="s">
        <v>334</v>
      </c>
      <c r="L2" s="123" t="s">
        <v>335</v>
      </c>
      <c r="M2" s="123" t="s">
        <v>336</v>
      </c>
      <c r="N2" s="123" t="s">
        <v>337</v>
      </c>
      <c r="O2" s="123" t="s">
        <v>338</v>
      </c>
      <c r="P2" s="123" t="s">
        <v>339</v>
      </c>
      <c r="Q2" s="123" t="s">
        <v>340</v>
      </c>
      <c r="R2" s="123" t="s">
        <v>341</v>
      </c>
      <c r="S2" s="123" t="s">
        <v>342</v>
      </c>
      <c r="T2" s="123" t="s">
        <v>343</v>
      </c>
      <c r="U2" s="123" t="s">
        <v>344</v>
      </c>
      <c r="V2" s="123" t="s">
        <v>345</v>
      </c>
      <c r="W2" s="123" t="s">
        <v>346</v>
      </c>
      <c r="X2" s="123" t="s">
        <v>347</v>
      </c>
      <c r="Y2" s="123" t="s">
        <v>348</v>
      </c>
    </row>
    <row r="3" spans="1:25">
      <c r="A3" s="125">
        <v>1</v>
      </c>
      <c r="B3" s="126">
        <v>45689</v>
      </c>
      <c r="C3" s="127">
        <f>YEAR(MC[[#This Row],[Date]])+IF(MONTH(MC[[#This Row],[Date]])&gt;=4,1,0)</f>
        <v>2025</v>
      </c>
      <c r="D3" s="128">
        <f>YEAR(MC[[#This Row],[Date]])</f>
        <v>2025</v>
      </c>
      <c r="E3" s="287" t="s">
        <v>156</v>
      </c>
      <c r="F3" s="287" t="s">
        <v>156</v>
      </c>
      <c r="G3" s="129" t="str">
        <f>TEXT(MC[[#This Row],[Date]],"mmm-yy")</f>
        <v>Feb-25</v>
      </c>
      <c r="H3" s="129">
        <f>DAY(EOMONTH(MC[[#This Row],[Month Year]],0))</f>
        <v>28</v>
      </c>
      <c r="I3" s="125"/>
      <c r="J3" s="125"/>
      <c r="K3" s="132"/>
      <c r="L3" s="132"/>
      <c r="M3" s="132"/>
      <c r="N3" s="132"/>
      <c r="O3" s="125"/>
      <c r="P3" s="125"/>
      <c r="Q3" s="125"/>
      <c r="R3" s="4">
        <f>SUM(MC[[#This Row],[ICR1]:[ICR12]])</f>
        <v>0</v>
      </c>
      <c r="S3" s="130"/>
      <c r="T3" s="130"/>
      <c r="U3" s="130"/>
      <c r="V3" s="130"/>
      <c r="W3" s="125"/>
      <c r="X3" s="125"/>
      <c r="Y3" s="131"/>
    </row>
    <row r="4" spans="1:25">
      <c r="A4" s="132">
        <v>2</v>
      </c>
      <c r="B4" s="126">
        <f>B3+1</f>
        <v>45690</v>
      </c>
      <c r="C4" s="127">
        <f>YEAR(MC[[#This Row],[Date]])+IF(MONTH(MC[[#This Row],[Date]])&gt;=4,1,0)</f>
        <v>2025</v>
      </c>
      <c r="D4" s="128">
        <f>YEAR(MC[[#This Row],[Date]])</f>
        <v>2025</v>
      </c>
      <c r="E4" s="287" t="s">
        <v>156</v>
      </c>
      <c r="F4" s="287" t="s">
        <v>156</v>
      </c>
      <c r="G4" s="129" t="str">
        <f>TEXT(MC[[#This Row],[Date]],"mmm-yy")</f>
        <v>Feb-25</v>
      </c>
      <c r="H4" s="129">
        <f>DAY(EOMONTH(MC[[#This Row],[Month Year]],0))</f>
        <v>28</v>
      </c>
      <c r="I4" s="132"/>
      <c r="J4" s="132"/>
      <c r="K4" s="132"/>
      <c r="L4" s="132"/>
      <c r="M4" s="132"/>
      <c r="N4" s="132"/>
      <c r="O4" s="132"/>
      <c r="P4" s="125"/>
      <c r="Q4" s="125"/>
      <c r="R4" s="4">
        <f>SUM(MC[[#This Row],[ICR1]:[ICR12]])</f>
        <v>0</v>
      </c>
      <c r="S4" s="133"/>
      <c r="T4" s="133"/>
      <c r="U4" s="133"/>
      <c r="V4" s="133"/>
      <c r="W4" s="132"/>
      <c r="X4" s="132"/>
      <c r="Y4" s="131"/>
    </row>
    <row r="5" spans="1:25">
      <c r="A5" s="132">
        <v>3</v>
      </c>
      <c r="B5" s="126">
        <f t="shared" ref="B5:B68" si="0">B4+1</f>
        <v>45691</v>
      </c>
      <c r="C5" s="127">
        <f>YEAR(MC[[#This Row],[Date]])+IF(MONTH(MC[[#This Row],[Date]])&gt;=4,1,0)</f>
        <v>2025</v>
      </c>
      <c r="D5" s="128">
        <f>YEAR(MC[[#This Row],[Date]])</f>
        <v>2025</v>
      </c>
      <c r="E5" s="287" t="s">
        <v>156</v>
      </c>
      <c r="F5" s="287" t="s">
        <v>156</v>
      </c>
      <c r="G5" s="129" t="str">
        <f>TEXT(MC[[#This Row],[Date]],"mmm-yy")</f>
        <v>Feb-25</v>
      </c>
      <c r="H5" s="129">
        <f>DAY(EOMONTH(MC[[#This Row],[Month Year]],0))</f>
        <v>28</v>
      </c>
      <c r="I5" s="132"/>
      <c r="J5" s="132"/>
      <c r="K5" s="132"/>
      <c r="L5" s="132"/>
      <c r="M5" s="132"/>
      <c r="N5" s="132"/>
      <c r="O5" s="132"/>
      <c r="P5" s="125"/>
      <c r="Q5" s="125"/>
      <c r="R5" s="4">
        <f>SUM(MC[[#This Row],[ICR1]:[ICR12]])</f>
        <v>0</v>
      </c>
      <c r="S5" s="132"/>
      <c r="T5" s="132"/>
      <c r="U5" s="133"/>
      <c r="V5" s="133"/>
      <c r="W5" s="132"/>
      <c r="X5" s="132"/>
      <c r="Y5" s="132"/>
    </row>
    <row r="6" spans="1:25">
      <c r="A6" s="132">
        <v>4</v>
      </c>
      <c r="B6" s="126">
        <f t="shared" si="0"/>
        <v>45692</v>
      </c>
      <c r="C6" s="127">
        <f>YEAR(MC[[#This Row],[Date]])+IF(MONTH(MC[[#This Row],[Date]])&gt;=4,1,0)</f>
        <v>2025</v>
      </c>
      <c r="D6" s="128">
        <f>YEAR(MC[[#This Row],[Date]])</f>
        <v>2025</v>
      </c>
      <c r="E6" s="287" t="s">
        <v>156</v>
      </c>
      <c r="F6" s="287" t="s">
        <v>156</v>
      </c>
      <c r="G6" s="129" t="str">
        <f>TEXT(MC[[#This Row],[Date]],"mmm-yy")</f>
        <v>Feb-25</v>
      </c>
      <c r="H6" s="129">
        <f>DAY(EOMONTH(MC[[#This Row],[Month Year]],0))</f>
        <v>28</v>
      </c>
      <c r="I6" s="132"/>
      <c r="J6" s="132"/>
      <c r="K6" s="132"/>
      <c r="L6" s="132"/>
      <c r="M6" s="132"/>
      <c r="N6" s="132"/>
      <c r="O6" s="132"/>
      <c r="P6" s="125"/>
      <c r="Q6" s="125"/>
      <c r="R6" s="4">
        <f>SUM(MC[[#This Row],[ICR1]:[ICR12]])</f>
        <v>0</v>
      </c>
      <c r="S6" s="133"/>
      <c r="T6" s="133"/>
      <c r="U6" s="133"/>
      <c r="V6" s="133"/>
      <c r="W6" s="132"/>
      <c r="X6" s="132"/>
      <c r="Y6" s="132"/>
    </row>
    <row r="7" spans="1:25">
      <c r="A7" s="132">
        <v>5</v>
      </c>
      <c r="B7" s="126">
        <f t="shared" si="0"/>
        <v>45693</v>
      </c>
      <c r="C7" s="127">
        <f>YEAR(MC[[#This Row],[Date]])+IF(MONTH(MC[[#This Row],[Date]])&gt;=4,1,0)</f>
        <v>2025</v>
      </c>
      <c r="D7" s="128">
        <f>YEAR(MC[[#This Row],[Date]])</f>
        <v>2025</v>
      </c>
      <c r="E7" s="287" t="s">
        <v>156</v>
      </c>
      <c r="F7" s="287" t="s">
        <v>156</v>
      </c>
      <c r="G7" s="129" t="str">
        <f>TEXT(MC[[#This Row],[Date]],"mmm-yy")</f>
        <v>Feb-25</v>
      </c>
      <c r="H7" s="129">
        <f>DAY(EOMONTH(MC[[#This Row],[Month Year]],0))</f>
        <v>28</v>
      </c>
      <c r="I7" s="132"/>
      <c r="J7" s="132"/>
      <c r="K7" s="132"/>
      <c r="L7" s="132"/>
      <c r="M7" s="132"/>
      <c r="N7" s="132"/>
      <c r="O7" s="132"/>
      <c r="P7" s="125"/>
      <c r="Q7" s="125"/>
      <c r="R7" s="4">
        <f>SUM(MC[[#This Row],[ICR1]:[ICR12]])</f>
        <v>0</v>
      </c>
      <c r="S7" s="133"/>
      <c r="T7" s="133"/>
      <c r="U7" s="133"/>
      <c r="V7" s="133"/>
      <c r="W7" s="132"/>
      <c r="X7" s="132"/>
      <c r="Y7" s="132"/>
    </row>
    <row r="8" spans="1:25">
      <c r="A8" s="132">
        <v>6</v>
      </c>
      <c r="B8" s="126">
        <f t="shared" si="0"/>
        <v>45694</v>
      </c>
      <c r="C8" s="127">
        <f>YEAR(MC[[#This Row],[Date]])+IF(MONTH(MC[[#This Row],[Date]])&gt;=4,1,0)</f>
        <v>2025</v>
      </c>
      <c r="D8" s="128">
        <f>YEAR(MC[[#This Row],[Date]])</f>
        <v>2025</v>
      </c>
      <c r="E8" s="287" t="s">
        <v>156</v>
      </c>
      <c r="F8" s="287" t="s">
        <v>156</v>
      </c>
      <c r="G8" s="129" t="str">
        <f>TEXT(MC[[#This Row],[Date]],"mmm-yy")</f>
        <v>Feb-25</v>
      </c>
      <c r="H8" s="129">
        <f>DAY(EOMONTH(MC[[#This Row],[Month Year]],0))</f>
        <v>28</v>
      </c>
      <c r="I8" s="132"/>
      <c r="J8" s="132"/>
      <c r="K8" s="132"/>
      <c r="L8" s="132"/>
      <c r="M8" s="132"/>
      <c r="N8" s="132"/>
      <c r="O8" s="132"/>
      <c r="P8" s="125"/>
      <c r="Q8" s="125"/>
      <c r="R8" s="4">
        <f>SUM(MC[[#This Row],[ICR1]:[ICR12]])</f>
        <v>0</v>
      </c>
      <c r="S8" s="132"/>
      <c r="T8" s="132"/>
      <c r="U8" s="132"/>
      <c r="V8" s="132"/>
      <c r="W8" s="132"/>
      <c r="X8" s="132"/>
      <c r="Y8" s="132"/>
    </row>
    <row r="9" spans="1:25">
      <c r="A9" s="132">
        <v>7</v>
      </c>
      <c r="B9" s="126">
        <f t="shared" si="0"/>
        <v>45695</v>
      </c>
      <c r="C9" s="127">
        <f>YEAR(MC[[#This Row],[Date]])+IF(MONTH(MC[[#This Row],[Date]])&gt;=4,1,0)</f>
        <v>2025</v>
      </c>
      <c r="D9" s="128">
        <f>YEAR(MC[[#This Row],[Date]])</f>
        <v>2025</v>
      </c>
      <c r="E9" s="287" t="s">
        <v>156</v>
      </c>
      <c r="F9" s="287" t="s">
        <v>156</v>
      </c>
      <c r="G9" s="129" t="str">
        <f>TEXT(MC[[#This Row],[Date]],"mmm-yy")</f>
        <v>Feb-25</v>
      </c>
      <c r="H9" s="129">
        <f>DAY(EOMONTH(MC[[#This Row],[Month Year]],0))</f>
        <v>28</v>
      </c>
      <c r="I9" s="132"/>
      <c r="J9" s="132"/>
      <c r="K9" s="132"/>
      <c r="L9" s="132"/>
      <c r="M9" s="132"/>
      <c r="N9" s="132"/>
      <c r="O9" s="132"/>
      <c r="P9" s="125"/>
      <c r="Q9" s="125"/>
      <c r="R9" s="4">
        <f>SUM(MC[[#This Row],[ICR1]:[ICR12]])</f>
        <v>0</v>
      </c>
      <c r="S9" s="132"/>
      <c r="T9" s="132"/>
      <c r="U9" s="133"/>
      <c r="V9" s="133"/>
      <c r="W9" s="132"/>
      <c r="X9" s="132"/>
      <c r="Y9" s="132"/>
    </row>
    <row r="10" spans="1:25">
      <c r="A10" s="132">
        <v>8</v>
      </c>
      <c r="B10" s="126">
        <f t="shared" si="0"/>
        <v>45696</v>
      </c>
      <c r="C10" s="127">
        <f>YEAR(MC[[#This Row],[Date]])+IF(MONTH(MC[[#This Row],[Date]])&gt;=4,1,0)</f>
        <v>2025</v>
      </c>
      <c r="D10" s="128">
        <f>YEAR(MC[[#This Row],[Date]])</f>
        <v>2025</v>
      </c>
      <c r="E10" s="287" t="s">
        <v>156</v>
      </c>
      <c r="F10" s="287" t="s">
        <v>156</v>
      </c>
      <c r="G10" s="129" t="str">
        <f>TEXT(MC[[#This Row],[Date]],"mmm-yy")</f>
        <v>Feb-25</v>
      </c>
      <c r="H10" s="129">
        <f>DAY(EOMONTH(MC[[#This Row],[Month Year]],0))</f>
        <v>28</v>
      </c>
      <c r="I10" s="132"/>
      <c r="J10" s="132"/>
      <c r="K10" s="132"/>
      <c r="L10" s="132"/>
      <c r="M10" s="132"/>
      <c r="N10" s="132"/>
      <c r="O10" s="132"/>
      <c r="P10" s="125"/>
      <c r="Q10" s="125"/>
      <c r="R10" s="4">
        <f>SUM(MC[[#This Row],[ICR1]:[ICR12]])</f>
        <v>0</v>
      </c>
      <c r="S10" s="133"/>
      <c r="T10" s="133"/>
      <c r="U10" s="133"/>
      <c r="V10" s="133"/>
      <c r="W10" s="132"/>
      <c r="X10" s="132"/>
      <c r="Y10" s="132"/>
    </row>
    <row r="11" spans="1:25">
      <c r="A11" s="132">
        <v>9</v>
      </c>
      <c r="B11" s="126">
        <f t="shared" si="0"/>
        <v>45697</v>
      </c>
      <c r="C11" s="127">
        <f>YEAR(MC[[#This Row],[Date]])+IF(MONTH(MC[[#This Row],[Date]])&gt;=4,1,0)</f>
        <v>2025</v>
      </c>
      <c r="D11" s="128">
        <f>YEAR(MC[[#This Row],[Date]])</f>
        <v>2025</v>
      </c>
      <c r="E11" s="287" t="s">
        <v>156</v>
      </c>
      <c r="F11" s="287" t="s">
        <v>156</v>
      </c>
      <c r="G11" s="129" t="str">
        <f>TEXT(MC[[#This Row],[Date]],"mmm-yy")</f>
        <v>Feb-25</v>
      </c>
      <c r="H11" s="129">
        <f>DAY(EOMONTH(MC[[#This Row],[Month Year]],0))</f>
        <v>28</v>
      </c>
      <c r="I11" s="132"/>
      <c r="J11" s="132"/>
      <c r="K11" s="132"/>
      <c r="L11" s="132"/>
      <c r="M11" s="132"/>
      <c r="N11" s="132"/>
      <c r="O11" s="132"/>
      <c r="P11" s="125"/>
      <c r="Q11" s="125"/>
      <c r="R11" s="4">
        <f>SUM(MC[[#This Row],[ICR1]:[ICR12]])</f>
        <v>0</v>
      </c>
      <c r="S11" s="133"/>
      <c r="T11" s="133"/>
      <c r="U11" s="133"/>
      <c r="V11" s="133"/>
      <c r="W11" s="132"/>
      <c r="X11" s="132"/>
      <c r="Y11" s="132"/>
    </row>
    <row r="12" spans="1:25">
      <c r="A12" s="132">
        <v>10</v>
      </c>
      <c r="B12" s="126">
        <f t="shared" si="0"/>
        <v>45698</v>
      </c>
      <c r="C12" s="127">
        <f>YEAR(MC[[#This Row],[Date]])+IF(MONTH(MC[[#This Row],[Date]])&gt;=4,1,0)</f>
        <v>2025</v>
      </c>
      <c r="D12" s="128">
        <f>YEAR(MC[[#This Row],[Date]])</f>
        <v>2025</v>
      </c>
      <c r="E12" s="287" t="s">
        <v>156</v>
      </c>
      <c r="F12" s="287" t="s">
        <v>156</v>
      </c>
      <c r="G12" s="129" t="str">
        <f>TEXT(MC[[#This Row],[Date]],"mmm-yy")</f>
        <v>Feb-25</v>
      </c>
      <c r="H12" s="129">
        <f>DAY(EOMONTH(MC[[#This Row],[Month Year]],0))</f>
        <v>28</v>
      </c>
      <c r="I12" s="132"/>
      <c r="J12" s="132"/>
      <c r="K12" s="132"/>
      <c r="L12" s="132"/>
      <c r="M12" s="132"/>
      <c r="N12" s="132"/>
      <c r="O12" s="132"/>
      <c r="P12" s="125"/>
      <c r="Q12" s="125"/>
      <c r="R12" s="4">
        <f>SUM(MC[[#This Row],[ICR1]:[ICR12]])</f>
        <v>0</v>
      </c>
      <c r="S12" s="132"/>
      <c r="T12" s="132"/>
      <c r="U12" s="133"/>
      <c r="V12" s="133"/>
      <c r="W12" s="132"/>
      <c r="X12" s="132"/>
      <c r="Y12" s="132"/>
    </row>
    <row r="13" spans="1:25">
      <c r="A13" s="132">
        <v>11</v>
      </c>
      <c r="B13" s="126">
        <f t="shared" si="0"/>
        <v>45699</v>
      </c>
      <c r="C13" s="127">
        <f>YEAR(MC[[#This Row],[Date]])+IF(MONTH(MC[[#This Row],[Date]])&gt;=4,1,0)</f>
        <v>2025</v>
      </c>
      <c r="D13" s="128">
        <f>YEAR(MC[[#This Row],[Date]])</f>
        <v>2025</v>
      </c>
      <c r="E13" s="287" t="s">
        <v>156</v>
      </c>
      <c r="F13" s="287" t="s">
        <v>156</v>
      </c>
      <c r="G13" s="129" t="str">
        <f>TEXT(MC[[#This Row],[Date]],"mmm-yy")</f>
        <v>Feb-25</v>
      </c>
      <c r="H13" s="129">
        <f>DAY(EOMONTH(MC[[#This Row],[Month Year]],0))</f>
        <v>28</v>
      </c>
      <c r="I13" s="132"/>
      <c r="J13" s="132"/>
      <c r="K13" s="132"/>
      <c r="L13" s="132"/>
      <c r="M13" s="132"/>
      <c r="N13" s="132"/>
      <c r="O13" s="132"/>
      <c r="P13" s="125"/>
      <c r="Q13" s="125"/>
      <c r="R13" s="4">
        <f>SUM(MC[[#This Row],[ICR1]:[ICR12]])</f>
        <v>0</v>
      </c>
      <c r="S13" s="133"/>
      <c r="T13" s="133"/>
      <c r="U13" s="133"/>
      <c r="V13" s="133"/>
      <c r="W13" s="132"/>
      <c r="X13" s="132"/>
      <c r="Y13" s="132"/>
    </row>
    <row r="14" spans="1:25">
      <c r="A14" s="132">
        <v>12</v>
      </c>
      <c r="B14" s="126">
        <f t="shared" si="0"/>
        <v>45700</v>
      </c>
      <c r="C14" s="127">
        <f>YEAR(MC[[#This Row],[Date]])+IF(MONTH(MC[[#This Row],[Date]])&gt;=4,1,0)</f>
        <v>2025</v>
      </c>
      <c r="D14" s="128">
        <f>YEAR(MC[[#This Row],[Date]])</f>
        <v>2025</v>
      </c>
      <c r="E14" s="287" t="s">
        <v>156</v>
      </c>
      <c r="F14" s="287" t="s">
        <v>156</v>
      </c>
      <c r="G14" s="129" t="str">
        <f>TEXT(MC[[#This Row],[Date]],"mmm-yy")</f>
        <v>Feb-25</v>
      </c>
      <c r="H14" s="129">
        <f>DAY(EOMONTH(MC[[#This Row],[Month Year]],0))</f>
        <v>28</v>
      </c>
      <c r="I14" s="132"/>
      <c r="J14" s="132"/>
      <c r="K14" s="132"/>
      <c r="L14" s="132"/>
      <c r="M14" s="132"/>
      <c r="N14" s="132"/>
      <c r="O14" s="132"/>
      <c r="P14" s="125"/>
      <c r="Q14" s="125"/>
      <c r="R14" s="4">
        <f>SUM(MC[[#This Row],[ICR1]:[ICR12]])</f>
        <v>0</v>
      </c>
      <c r="S14" s="133"/>
      <c r="T14" s="133"/>
      <c r="U14" s="133"/>
      <c r="V14" s="133"/>
      <c r="W14" s="132"/>
      <c r="X14" s="132"/>
      <c r="Y14" s="132"/>
    </row>
    <row r="15" spans="1:25">
      <c r="A15" s="132">
        <v>13</v>
      </c>
      <c r="B15" s="126">
        <f t="shared" si="0"/>
        <v>45701</v>
      </c>
      <c r="C15" s="127">
        <f>YEAR(MC[[#This Row],[Date]])+IF(MONTH(MC[[#This Row],[Date]])&gt;=4,1,0)</f>
        <v>2025</v>
      </c>
      <c r="D15" s="128">
        <f>YEAR(MC[[#This Row],[Date]])</f>
        <v>2025</v>
      </c>
      <c r="E15" s="287" t="s">
        <v>156</v>
      </c>
      <c r="F15" s="287" t="s">
        <v>156</v>
      </c>
      <c r="G15" s="129" t="str">
        <f>TEXT(MC[[#This Row],[Date]],"mmm-yy")</f>
        <v>Feb-25</v>
      </c>
      <c r="H15" s="129">
        <f>DAY(EOMONTH(MC[[#This Row],[Month Year]],0))</f>
        <v>28</v>
      </c>
      <c r="I15" s="132"/>
      <c r="J15" s="132"/>
      <c r="K15" s="132"/>
      <c r="L15" s="132"/>
      <c r="M15" s="132"/>
      <c r="N15" s="132"/>
      <c r="O15" s="132"/>
      <c r="P15" s="125"/>
      <c r="Q15" s="125"/>
      <c r="R15" s="4">
        <f>SUM(MC[[#This Row],[ICR1]:[ICR12]])</f>
        <v>0</v>
      </c>
      <c r="S15" s="133"/>
      <c r="T15" s="133"/>
      <c r="U15" s="133"/>
      <c r="V15" s="133"/>
      <c r="W15" s="132"/>
      <c r="X15" s="132"/>
      <c r="Y15" s="132"/>
    </row>
    <row r="16" spans="1:25">
      <c r="A16" s="132">
        <v>14</v>
      </c>
      <c r="B16" s="126">
        <f t="shared" si="0"/>
        <v>45702</v>
      </c>
      <c r="C16" s="127">
        <f>YEAR(MC[[#This Row],[Date]])+IF(MONTH(MC[[#This Row],[Date]])&gt;=4,1,0)</f>
        <v>2025</v>
      </c>
      <c r="D16" s="128">
        <f>YEAR(MC[[#This Row],[Date]])</f>
        <v>2025</v>
      </c>
      <c r="E16" s="287" t="s">
        <v>156</v>
      </c>
      <c r="F16" s="287" t="s">
        <v>156</v>
      </c>
      <c r="G16" s="129" t="str">
        <f>TEXT(MC[[#This Row],[Date]],"mmm-yy")</f>
        <v>Feb-25</v>
      </c>
      <c r="H16" s="129">
        <f>DAY(EOMONTH(MC[[#This Row],[Month Year]],0))</f>
        <v>28</v>
      </c>
      <c r="I16" s="132"/>
      <c r="J16" s="132"/>
      <c r="K16" s="132"/>
      <c r="L16" s="132"/>
      <c r="M16" s="132"/>
      <c r="N16" s="132"/>
      <c r="O16" s="132"/>
      <c r="P16" s="125"/>
      <c r="Q16" s="125"/>
      <c r="R16" s="4">
        <f>SUM(MC[[#This Row],[ICR1]:[ICR12]])</f>
        <v>0</v>
      </c>
      <c r="S16" s="133"/>
      <c r="T16" s="133"/>
      <c r="U16" s="133"/>
      <c r="V16" s="133"/>
      <c r="W16" s="132"/>
      <c r="X16" s="132"/>
      <c r="Y16" s="132"/>
    </row>
    <row r="17" spans="1:25">
      <c r="A17" s="132">
        <v>15</v>
      </c>
      <c r="B17" s="126">
        <f t="shared" si="0"/>
        <v>45703</v>
      </c>
      <c r="C17" s="127">
        <f>YEAR(MC[[#This Row],[Date]])+IF(MONTH(MC[[#This Row],[Date]])&gt;=4,1,0)</f>
        <v>2025</v>
      </c>
      <c r="D17" s="128">
        <f>YEAR(MC[[#This Row],[Date]])</f>
        <v>2025</v>
      </c>
      <c r="E17" s="287" t="s">
        <v>156</v>
      </c>
      <c r="F17" s="287" t="s">
        <v>156</v>
      </c>
      <c r="G17" s="129" t="str">
        <f>TEXT(MC[[#This Row],[Date]],"mmm-yy")</f>
        <v>Feb-25</v>
      </c>
      <c r="H17" s="129">
        <f>DAY(EOMONTH(MC[[#This Row],[Month Year]],0))</f>
        <v>28</v>
      </c>
      <c r="I17" s="132"/>
      <c r="J17" s="132"/>
      <c r="K17" s="132"/>
      <c r="L17" s="132"/>
      <c r="M17" s="132"/>
      <c r="N17" s="132"/>
      <c r="O17" s="132"/>
      <c r="P17" s="125"/>
      <c r="Q17" s="125"/>
      <c r="R17" s="4">
        <f>SUM(MC[[#This Row],[ICR1]:[ICR12]])</f>
        <v>0</v>
      </c>
      <c r="S17" s="133"/>
      <c r="T17" s="133"/>
      <c r="U17" s="133"/>
      <c r="V17" s="133"/>
      <c r="W17" s="132"/>
      <c r="X17" s="132"/>
      <c r="Y17" s="132"/>
    </row>
    <row r="18" spans="1:25">
      <c r="A18" s="132">
        <v>16</v>
      </c>
      <c r="B18" s="126">
        <f t="shared" si="0"/>
        <v>45704</v>
      </c>
      <c r="C18" s="127">
        <f>YEAR(MC[[#This Row],[Date]])+IF(MONTH(MC[[#This Row],[Date]])&gt;=4,1,0)</f>
        <v>2025</v>
      </c>
      <c r="D18" s="128">
        <f>YEAR(MC[[#This Row],[Date]])</f>
        <v>2025</v>
      </c>
      <c r="E18" s="287" t="s">
        <v>156</v>
      </c>
      <c r="F18" s="287" t="s">
        <v>156</v>
      </c>
      <c r="G18" s="129" t="str">
        <f>TEXT(MC[[#This Row],[Date]],"mmm-yy")</f>
        <v>Feb-25</v>
      </c>
      <c r="H18" s="129">
        <f>DAY(EOMONTH(MC[[#This Row],[Month Year]],0))</f>
        <v>28</v>
      </c>
      <c r="I18" s="132"/>
      <c r="J18" s="132"/>
      <c r="K18" s="132"/>
      <c r="L18" s="132"/>
      <c r="M18" s="132"/>
      <c r="N18" s="132"/>
      <c r="O18" s="132"/>
      <c r="P18" s="125"/>
      <c r="Q18" s="125"/>
      <c r="R18" s="4">
        <f>SUM(MC[[#This Row],[ICR1]:[ICR12]])</f>
        <v>0</v>
      </c>
      <c r="S18" s="133"/>
      <c r="T18" s="133"/>
      <c r="U18" s="133"/>
      <c r="V18" s="133"/>
      <c r="W18" s="132"/>
      <c r="X18" s="132"/>
      <c r="Y18" s="132"/>
    </row>
    <row r="19" spans="1:25">
      <c r="A19" s="132">
        <v>17</v>
      </c>
      <c r="B19" s="126">
        <f t="shared" si="0"/>
        <v>45705</v>
      </c>
      <c r="C19" s="127">
        <f>YEAR(MC[[#This Row],[Date]])+IF(MONTH(MC[[#This Row],[Date]])&gt;=4,1,0)</f>
        <v>2025</v>
      </c>
      <c r="D19" s="128">
        <f>YEAR(MC[[#This Row],[Date]])</f>
        <v>2025</v>
      </c>
      <c r="E19" s="287" t="s">
        <v>156</v>
      </c>
      <c r="F19" s="287" t="s">
        <v>156</v>
      </c>
      <c r="G19" s="129" t="str">
        <f>TEXT(MC[[#This Row],[Date]],"mmm-yy")</f>
        <v>Feb-25</v>
      </c>
      <c r="H19" s="129">
        <f>DAY(EOMONTH(MC[[#This Row],[Month Year]],0))</f>
        <v>28</v>
      </c>
      <c r="I19" s="132"/>
      <c r="J19" s="132"/>
      <c r="K19" s="132"/>
      <c r="L19" s="132"/>
      <c r="M19" s="132"/>
      <c r="N19" s="132"/>
      <c r="O19" s="132"/>
      <c r="P19" s="125"/>
      <c r="Q19" s="125"/>
      <c r="R19" s="4">
        <f>SUM(MC[[#This Row],[ICR1]:[ICR12]])</f>
        <v>0</v>
      </c>
      <c r="S19" s="133"/>
      <c r="T19" s="133"/>
      <c r="U19" s="133"/>
      <c r="V19" s="133"/>
      <c r="W19" s="132"/>
      <c r="X19" s="132"/>
      <c r="Y19" s="132"/>
    </row>
    <row r="20" spans="1:25">
      <c r="A20" s="132">
        <v>18</v>
      </c>
      <c r="B20" s="126">
        <f t="shared" si="0"/>
        <v>45706</v>
      </c>
      <c r="C20" s="127">
        <f>YEAR(MC[[#This Row],[Date]])+IF(MONTH(MC[[#This Row],[Date]])&gt;=4,1,0)</f>
        <v>2025</v>
      </c>
      <c r="D20" s="128">
        <f>YEAR(MC[[#This Row],[Date]])</f>
        <v>2025</v>
      </c>
      <c r="E20" s="287" t="s">
        <v>156</v>
      </c>
      <c r="F20" s="287" t="s">
        <v>156</v>
      </c>
      <c r="G20" s="129" t="str">
        <f>TEXT(MC[[#This Row],[Date]],"mmm-yy")</f>
        <v>Feb-25</v>
      </c>
      <c r="H20" s="129">
        <f>DAY(EOMONTH(MC[[#This Row],[Month Year]],0))</f>
        <v>28</v>
      </c>
      <c r="I20" s="132"/>
      <c r="J20" s="132"/>
      <c r="K20" s="132"/>
      <c r="L20" s="132"/>
      <c r="M20" s="132"/>
      <c r="N20" s="132"/>
      <c r="O20" s="132"/>
      <c r="P20" s="125"/>
      <c r="Q20" s="125"/>
      <c r="R20" s="4">
        <f>SUM(MC[[#This Row],[ICR1]:[ICR12]])</f>
        <v>0</v>
      </c>
      <c r="S20" s="133"/>
      <c r="T20" s="133"/>
      <c r="U20" s="133"/>
      <c r="V20" s="133"/>
      <c r="W20" s="132"/>
      <c r="X20" s="132"/>
      <c r="Y20" s="132"/>
    </row>
    <row r="21" spans="1:25">
      <c r="A21" s="132">
        <v>19</v>
      </c>
      <c r="B21" s="126">
        <f t="shared" si="0"/>
        <v>45707</v>
      </c>
      <c r="C21" s="127">
        <f>YEAR(MC[[#This Row],[Date]])+IF(MONTH(MC[[#This Row],[Date]])&gt;=4,1,0)</f>
        <v>2025</v>
      </c>
      <c r="D21" s="128">
        <f>YEAR(MC[[#This Row],[Date]])</f>
        <v>2025</v>
      </c>
      <c r="E21" s="287" t="s">
        <v>156</v>
      </c>
      <c r="F21" s="287" t="s">
        <v>156</v>
      </c>
      <c r="G21" s="129" t="str">
        <f>TEXT(MC[[#This Row],[Date]],"mmm-yy")</f>
        <v>Feb-25</v>
      </c>
      <c r="H21" s="129">
        <f>DAY(EOMONTH(MC[[#This Row],[Month Year]],0))</f>
        <v>28</v>
      </c>
      <c r="I21" s="132"/>
      <c r="J21" s="132"/>
      <c r="K21" s="132"/>
      <c r="L21" s="132"/>
      <c r="M21" s="132"/>
      <c r="N21" s="132"/>
      <c r="O21" s="132"/>
      <c r="P21" s="125"/>
      <c r="Q21" s="125"/>
      <c r="R21" s="4">
        <f>SUM(MC[[#This Row],[ICR1]:[ICR12]])</f>
        <v>0</v>
      </c>
      <c r="S21" s="133"/>
      <c r="T21" s="133"/>
      <c r="U21" s="132"/>
      <c r="V21" s="132"/>
      <c r="W21" s="132"/>
      <c r="X21" s="132"/>
      <c r="Y21" s="132"/>
    </row>
    <row r="22" spans="1:25">
      <c r="A22" s="132">
        <v>20</v>
      </c>
      <c r="B22" s="126">
        <f t="shared" si="0"/>
        <v>45708</v>
      </c>
      <c r="C22" s="127">
        <f>YEAR(MC[[#This Row],[Date]])+IF(MONTH(MC[[#This Row],[Date]])&gt;=4,1,0)</f>
        <v>2025</v>
      </c>
      <c r="D22" s="128">
        <f>YEAR(MC[[#This Row],[Date]])</f>
        <v>2025</v>
      </c>
      <c r="E22" s="287" t="s">
        <v>156</v>
      </c>
      <c r="F22" s="287" t="s">
        <v>156</v>
      </c>
      <c r="G22" s="129" t="str">
        <f>TEXT(MC[[#This Row],[Date]],"mmm-yy")</f>
        <v>Feb-25</v>
      </c>
      <c r="H22" s="129">
        <f>DAY(EOMONTH(MC[[#This Row],[Month Year]],0))</f>
        <v>28</v>
      </c>
      <c r="I22" s="132"/>
      <c r="J22" s="132"/>
      <c r="K22" s="132"/>
      <c r="L22" s="132"/>
      <c r="M22" s="132"/>
      <c r="N22" s="132"/>
      <c r="O22" s="132"/>
      <c r="P22" s="125"/>
      <c r="Q22" s="125"/>
      <c r="R22" s="4">
        <f>SUM(MC[[#This Row],[ICR1]:[ICR12]])</f>
        <v>0</v>
      </c>
      <c r="S22" s="132"/>
      <c r="T22" s="132"/>
      <c r="U22" s="132"/>
      <c r="V22" s="132"/>
      <c r="W22" s="132"/>
      <c r="X22" s="132"/>
      <c r="Y22" s="132"/>
    </row>
    <row r="23" spans="1:25">
      <c r="A23" s="132">
        <v>21</v>
      </c>
      <c r="B23" s="126">
        <f t="shared" si="0"/>
        <v>45709</v>
      </c>
      <c r="C23" s="127">
        <f>YEAR(MC[[#This Row],[Date]])+IF(MONTH(MC[[#This Row],[Date]])&gt;=4,1,0)</f>
        <v>2025</v>
      </c>
      <c r="D23" s="128">
        <f>YEAR(MC[[#This Row],[Date]])</f>
        <v>2025</v>
      </c>
      <c r="E23" s="287" t="s">
        <v>156</v>
      </c>
      <c r="F23" s="287" t="s">
        <v>156</v>
      </c>
      <c r="G23" s="129" t="str">
        <f>TEXT(MC[[#This Row],[Date]],"mmm-yy")</f>
        <v>Feb-25</v>
      </c>
      <c r="H23" s="129">
        <f>DAY(EOMONTH(MC[[#This Row],[Month Year]],0))</f>
        <v>28</v>
      </c>
      <c r="I23" s="132"/>
      <c r="J23" s="132"/>
      <c r="K23" s="132"/>
      <c r="L23" s="132"/>
      <c r="M23" s="132"/>
      <c r="N23" s="132"/>
      <c r="O23" s="132"/>
      <c r="P23" s="125"/>
      <c r="Q23" s="125"/>
      <c r="R23" s="4">
        <f>SUM(MC[[#This Row],[ICR1]:[ICR12]])</f>
        <v>0</v>
      </c>
      <c r="S23" s="133"/>
      <c r="T23" s="133"/>
      <c r="U23" s="133"/>
      <c r="V23" s="133"/>
      <c r="W23" s="132"/>
      <c r="X23" s="132"/>
      <c r="Y23" s="132"/>
    </row>
    <row r="24" spans="1:25">
      <c r="A24" s="132">
        <v>22</v>
      </c>
      <c r="B24" s="126">
        <f t="shared" si="0"/>
        <v>45710</v>
      </c>
      <c r="C24" s="127">
        <f>YEAR(MC[[#This Row],[Date]])+IF(MONTH(MC[[#This Row],[Date]])&gt;=4,1,0)</f>
        <v>2025</v>
      </c>
      <c r="D24" s="128">
        <f>YEAR(MC[[#This Row],[Date]])</f>
        <v>2025</v>
      </c>
      <c r="E24" s="287" t="s">
        <v>156</v>
      </c>
      <c r="F24" s="287" t="s">
        <v>156</v>
      </c>
      <c r="G24" s="129" t="str">
        <f>TEXT(MC[[#This Row],[Date]],"mmm-yy")</f>
        <v>Feb-25</v>
      </c>
      <c r="H24" s="129">
        <f>DAY(EOMONTH(MC[[#This Row],[Month Year]],0))</f>
        <v>28</v>
      </c>
      <c r="I24" s="132"/>
      <c r="J24" s="132"/>
      <c r="K24" s="132"/>
      <c r="L24" s="132"/>
      <c r="M24" s="132"/>
      <c r="N24" s="132"/>
      <c r="O24" s="132"/>
      <c r="P24" s="125"/>
      <c r="Q24" s="125"/>
      <c r="R24" s="4">
        <f>SUM(MC[[#This Row],[ICR1]:[ICR12]])</f>
        <v>0</v>
      </c>
      <c r="S24" s="132"/>
      <c r="T24" s="132"/>
      <c r="U24" s="132"/>
      <c r="V24" s="132"/>
      <c r="W24" s="132"/>
      <c r="X24" s="132"/>
      <c r="Y24" s="132"/>
    </row>
    <row r="25" spans="1:25">
      <c r="A25" s="132">
        <v>23</v>
      </c>
      <c r="B25" s="126">
        <f t="shared" si="0"/>
        <v>45711</v>
      </c>
      <c r="C25" s="127">
        <f>YEAR(MC[[#This Row],[Date]])+IF(MONTH(MC[[#This Row],[Date]])&gt;=4,1,0)</f>
        <v>2025</v>
      </c>
      <c r="D25" s="128">
        <f>YEAR(MC[[#This Row],[Date]])</f>
        <v>2025</v>
      </c>
      <c r="E25" s="287" t="s">
        <v>156</v>
      </c>
      <c r="F25" s="287" t="s">
        <v>156</v>
      </c>
      <c r="G25" s="129" t="str">
        <f>TEXT(MC[[#This Row],[Date]],"mmm-yy")</f>
        <v>Feb-25</v>
      </c>
      <c r="H25" s="129">
        <f>DAY(EOMONTH(MC[[#This Row],[Month Year]],0))</f>
        <v>28</v>
      </c>
      <c r="I25" s="132"/>
      <c r="J25" s="132"/>
      <c r="K25" s="132"/>
      <c r="L25" s="132"/>
      <c r="M25" s="132"/>
      <c r="N25" s="132"/>
      <c r="O25" s="132"/>
      <c r="P25" s="125"/>
      <c r="Q25" s="125"/>
      <c r="R25" s="4">
        <f>SUM(MC[[#This Row],[ICR1]:[ICR12]])</f>
        <v>0</v>
      </c>
      <c r="S25" s="133"/>
      <c r="T25" s="133"/>
      <c r="U25" s="133"/>
      <c r="V25" s="133"/>
      <c r="W25" s="132"/>
      <c r="X25" s="132"/>
      <c r="Y25" s="132"/>
    </row>
    <row r="26" spans="1:25">
      <c r="A26" s="132">
        <v>24</v>
      </c>
      <c r="B26" s="126">
        <f t="shared" si="0"/>
        <v>45712</v>
      </c>
      <c r="C26" s="127">
        <f>YEAR(MC[[#This Row],[Date]])+IF(MONTH(MC[[#This Row],[Date]])&gt;=4,1,0)</f>
        <v>2025</v>
      </c>
      <c r="D26" s="128">
        <f>YEAR(MC[[#This Row],[Date]])</f>
        <v>2025</v>
      </c>
      <c r="E26" s="287" t="s">
        <v>156</v>
      </c>
      <c r="F26" s="287" t="s">
        <v>156</v>
      </c>
      <c r="G26" s="129" t="str">
        <f>TEXT(MC[[#This Row],[Date]],"mmm-yy")</f>
        <v>Feb-25</v>
      </c>
      <c r="H26" s="129">
        <f>DAY(EOMONTH(MC[[#This Row],[Month Year]],0))</f>
        <v>28</v>
      </c>
      <c r="I26" s="132"/>
      <c r="J26" s="132"/>
      <c r="K26" s="132"/>
      <c r="L26" s="132"/>
      <c r="M26" s="132"/>
      <c r="N26" s="132"/>
      <c r="O26" s="132"/>
      <c r="P26" s="125"/>
      <c r="Q26" s="125"/>
      <c r="R26" s="4">
        <f>SUM(MC[[#This Row],[ICR1]:[ICR12]])</f>
        <v>0</v>
      </c>
      <c r="S26" s="133"/>
      <c r="T26" s="133"/>
      <c r="U26" s="133"/>
      <c r="V26" s="133"/>
      <c r="W26" s="132"/>
      <c r="X26" s="132"/>
      <c r="Y26" s="132"/>
    </row>
    <row r="27" spans="1:25">
      <c r="A27" s="132">
        <v>25</v>
      </c>
      <c r="B27" s="126">
        <f t="shared" si="0"/>
        <v>45713</v>
      </c>
      <c r="C27" s="127">
        <f>YEAR(MC[[#This Row],[Date]])+IF(MONTH(MC[[#This Row],[Date]])&gt;=4,1,0)</f>
        <v>2025</v>
      </c>
      <c r="D27" s="128">
        <f>YEAR(MC[[#This Row],[Date]])</f>
        <v>2025</v>
      </c>
      <c r="E27" s="287" t="s">
        <v>156</v>
      </c>
      <c r="F27" s="287" t="s">
        <v>156</v>
      </c>
      <c r="G27" s="129" t="str">
        <f>TEXT(MC[[#This Row],[Date]],"mmm-yy")</f>
        <v>Feb-25</v>
      </c>
      <c r="H27" s="129">
        <f>DAY(EOMONTH(MC[[#This Row],[Month Year]],0))</f>
        <v>28</v>
      </c>
      <c r="I27" s="132"/>
      <c r="J27" s="132"/>
      <c r="K27" s="132"/>
      <c r="L27" s="132"/>
      <c r="M27" s="132"/>
      <c r="N27" s="132"/>
      <c r="O27" s="132"/>
      <c r="P27" s="125"/>
      <c r="Q27" s="125"/>
      <c r="R27" s="4">
        <f>SUM(MC[[#This Row],[ICR1]:[ICR12]])</f>
        <v>0</v>
      </c>
      <c r="S27" s="133"/>
      <c r="T27" s="133"/>
      <c r="U27" s="133"/>
      <c r="V27" s="133"/>
      <c r="W27" s="132"/>
      <c r="X27" s="132"/>
      <c r="Y27" s="132"/>
    </row>
    <row r="28" spans="1:25">
      <c r="A28" s="132">
        <v>26</v>
      </c>
      <c r="B28" s="126">
        <f t="shared" si="0"/>
        <v>45714</v>
      </c>
      <c r="C28" s="127">
        <f>YEAR(MC[[#This Row],[Date]])+IF(MONTH(MC[[#This Row],[Date]])&gt;=4,1,0)</f>
        <v>2025</v>
      </c>
      <c r="D28" s="128">
        <f>YEAR(MC[[#This Row],[Date]])</f>
        <v>2025</v>
      </c>
      <c r="E28" s="287" t="s">
        <v>156</v>
      </c>
      <c r="F28" s="287" t="s">
        <v>156</v>
      </c>
      <c r="G28" s="129" t="str">
        <f>TEXT(MC[[#This Row],[Date]],"mmm-yy")</f>
        <v>Feb-25</v>
      </c>
      <c r="H28" s="129">
        <f>DAY(EOMONTH(MC[[#This Row],[Month Year]],0))</f>
        <v>28</v>
      </c>
      <c r="I28" s="132"/>
      <c r="J28" s="132"/>
      <c r="K28" s="132"/>
      <c r="L28" s="132"/>
      <c r="M28" s="132"/>
      <c r="N28" s="132"/>
      <c r="O28" s="132"/>
      <c r="P28" s="125"/>
      <c r="Q28" s="125"/>
      <c r="R28" s="4">
        <f>SUM(MC[[#This Row],[ICR1]:[ICR12]])</f>
        <v>0</v>
      </c>
      <c r="S28" s="133"/>
      <c r="T28" s="133"/>
      <c r="U28" s="133"/>
      <c r="V28" s="133"/>
      <c r="W28" s="132"/>
      <c r="X28" s="132"/>
      <c r="Y28" s="132"/>
    </row>
    <row r="29" spans="1:25">
      <c r="A29" s="132">
        <v>27</v>
      </c>
      <c r="B29" s="126">
        <f t="shared" si="0"/>
        <v>45715</v>
      </c>
      <c r="C29" s="127">
        <f>YEAR(MC[[#This Row],[Date]])+IF(MONTH(MC[[#This Row],[Date]])&gt;=4,1,0)</f>
        <v>2025</v>
      </c>
      <c r="D29" s="128">
        <f>YEAR(MC[[#This Row],[Date]])</f>
        <v>2025</v>
      </c>
      <c r="E29" s="287" t="s">
        <v>156</v>
      </c>
      <c r="F29" s="287" t="s">
        <v>156</v>
      </c>
      <c r="G29" s="129" t="str">
        <f>TEXT(MC[[#This Row],[Date]],"mmm-yy")</f>
        <v>Feb-25</v>
      </c>
      <c r="H29" s="129">
        <f>DAY(EOMONTH(MC[[#This Row],[Month Year]],0))</f>
        <v>28</v>
      </c>
      <c r="I29" s="132"/>
      <c r="J29" s="132"/>
      <c r="K29" s="132"/>
      <c r="L29" s="132"/>
      <c r="M29" s="132"/>
      <c r="N29" s="132"/>
      <c r="O29" s="132"/>
      <c r="P29" s="125"/>
      <c r="Q29" s="125"/>
      <c r="R29" s="4">
        <f>SUM(MC[[#This Row],[ICR1]:[ICR12]])</f>
        <v>0</v>
      </c>
      <c r="S29" s="133"/>
      <c r="T29" s="133"/>
      <c r="U29" s="133"/>
      <c r="V29" s="133"/>
      <c r="W29" s="132"/>
      <c r="X29" s="132"/>
      <c r="Y29" s="132"/>
    </row>
    <row r="30" spans="1:25">
      <c r="A30" s="132">
        <v>28</v>
      </c>
      <c r="B30" s="126">
        <f t="shared" si="0"/>
        <v>45716</v>
      </c>
      <c r="C30" s="127">
        <f>YEAR(MC[[#This Row],[Date]])+IF(MONTH(MC[[#This Row],[Date]])&gt;=4,1,0)</f>
        <v>2025</v>
      </c>
      <c r="D30" s="128">
        <f>YEAR(MC[[#This Row],[Date]])</f>
        <v>2025</v>
      </c>
      <c r="E30" s="287" t="s">
        <v>156</v>
      </c>
      <c r="F30" s="287" t="s">
        <v>156</v>
      </c>
      <c r="G30" s="129" t="str">
        <f>TEXT(MC[[#This Row],[Date]],"mmm-yy")</f>
        <v>Feb-25</v>
      </c>
      <c r="H30" s="129">
        <f>DAY(EOMONTH(MC[[#This Row],[Month Year]],0))</f>
        <v>28</v>
      </c>
      <c r="I30" s="132"/>
      <c r="J30" s="132"/>
      <c r="K30" s="132"/>
      <c r="L30" s="132"/>
      <c r="M30" s="132"/>
      <c r="N30" s="132"/>
      <c r="O30" s="132"/>
      <c r="P30" s="125"/>
      <c r="Q30" s="125"/>
      <c r="R30" s="4">
        <f>SUM(MC[[#This Row],[ICR1]:[ICR12]])</f>
        <v>0</v>
      </c>
      <c r="S30" s="133"/>
      <c r="T30" s="133"/>
      <c r="U30" s="133"/>
      <c r="V30" s="133"/>
      <c r="W30" s="132"/>
      <c r="X30" s="132"/>
      <c r="Y30" s="132"/>
    </row>
    <row r="31" spans="1:25">
      <c r="A31" s="132">
        <v>29</v>
      </c>
      <c r="B31" s="126">
        <f t="shared" si="0"/>
        <v>45717</v>
      </c>
      <c r="C31" s="127">
        <f>YEAR(MC[[#This Row],[Date]])+IF(MONTH(MC[[#This Row],[Date]])&gt;=4,1,0)</f>
        <v>2025</v>
      </c>
      <c r="D31" s="128">
        <f>YEAR(MC[[#This Row],[Date]])</f>
        <v>2025</v>
      </c>
      <c r="E31" s="287" t="s">
        <v>156</v>
      </c>
      <c r="F31" s="287" t="s">
        <v>156</v>
      </c>
      <c r="G31" s="129" t="str">
        <f>TEXT(MC[[#This Row],[Date]],"mmm-yy")</f>
        <v>Mar-25</v>
      </c>
      <c r="H31" s="129">
        <f>DAY(EOMONTH(MC[[#This Row],[Month Year]],0))</f>
        <v>31</v>
      </c>
      <c r="I31" s="132"/>
      <c r="J31" s="132"/>
      <c r="K31" s="132"/>
      <c r="L31" s="132"/>
      <c r="M31" s="132"/>
      <c r="N31" s="132"/>
      <c r="O31" s="132"/>
      <c r="P31" s="125"/>
      <c r="Q31" s="125"/>
      <c r="R31" s="4">
        <f>SUM(MC[[#This Row],[ICR1]:[ICR12]])</f>
        <v>0</v>
      </c>
      <c r="S31" s="133"/>
      <c r="T31" s="133"/>
      <c r="U31" s="132"/>
      <c r="V31" s="132"/>
      <c r="W31" s="132"/>
      <c r="X31" s="132"/>
      <c r="Y31" s="132"/>
    </row>
    <row r="32" spans="1:25">
      <c r="A32" s="132">
        <v>30</v>
      </c>
      <c r="B32" s="126">
        <f t="shared" si="0"/>
        <v>45718</v>
      </c>
      <c r="C32" s="127">
        <f>YEAR(MC[[#This Row],[Date]])+IF(MONTH(MC[[#This Row],[Date]])&gt;=4,1,0)</f>
        <v>2025</v>
      </c>
      <c r="D32" s="128">
        <f>YEAR(MC[[#This Row],[Date]])</f>
        <v>2025</v>
      </c>
      <c r="E32" s="287" t="s">
        <v>156</v>
      </c>
      <c r="F32" s="287" t="s">
        <v>156</v>
      </c>
      <c r="G32" s="129" t="str">
        <f>TEXT(MC[[#This Row],[Date]],"mmm-yy")</f>
        <v>Mar-25</v>
      </c>
      <c r="H32" s="129">
        <f>DAY(EOMONTH(MC[[#This Row],[Month Year]],0))</f>
        <v>31</v>
      </c>
      <c r="I32" s="132"/>
      <c r="J32" s="132"/>
      <c r="K32" s="132"/>
      <c r="L32" s="132"/>
      <c r="M32" s="132"/>
      <c r="N32" s="132"/>
      <c r="O32" s="132"/>
      <c r="P32" s="125"/>
      <c r="Q32" s="125"/>
      <c r="R32" s="4">
        <f>SUM(MC[[#This Row],[ICR1]:[ICR12]])</f>
        <v>0</v>
      </c>
      <c r="S32" s="132"/>
      <c r="T32" s="132"/>
      <c r="U32" s="132"/>
      <c r="V32" s="132"/>
      <c r="W32" s="132"/>
      <c r="X32" s="132"/>
      <c r="Y32" s="132"/>
    </row>
    <row r="33" spans="1:25">
      <c r="A33" s="132">
        <v>31</v>
      </c>
      <c r="B33" s="126">
        <f t="shared" si="0"/>
        <v>45719</v>
      </c>
      <c r="C33" s="127">
        <f>YEAR(MC[[#This Row],[Date]])+IF(MONTH(MC[[#This Row],[Date]])&gt;=4,1,0)</f>
        <v>2025</v>
      </c>
      <c r="D33" s="128">
        <f>YEAR(MC[[#This Row],[Date]])</f>
        <v>2025</v>
      </c>
      <c r="E33" s="287" t="s">
        <v>156</v>
      </c>
      <c r="F33" s="287" t="s">
        <v>156</v>
      </c>
      <c r="G33" s="129" t="str">
        <f>TEXT(MC[[#This Row],[Date]],"mmm-yy")</f>
        <v>Mar-25</v>
      </c>
      <c r="H33" s="129">
        <f>DAY(EOMONTH(MC[[#This Row],[Month Year]],0))</f>
        <v>31</v>
      </c>
      <c r="I33" s="132"/>
      <c r="J33" s="132"/>
      <c r="K33" s="132"/>
      <c r="L33" s="132"/>
      <c r="M33" s="132"/>
      <c r="N33" s="132"/>
      <c r="O33" s="132"/>
      <c r="P33" s="125"/>
      <c r="Q33" s="125"/>
      <c r="R33" s="4">
        <f>SUM(MC[[#This Row],[ICR1]:[ICR12]])</f>
        <v>0</v>
      </c>
      <c r="S33" s="132"/>
      <c r="T33" s="132"/>
      <c r="U33" s="132"/>
      <c r="V33" s="132"/>
      <c r="W33" s="132"/>
      <c r="X33" s="132"/>
      <c r="Y33" s="132"/>
    </row>
    <row r="34" spans="1:25">
      <c r="A34" s="132">
        <v>32</v>
      </c>
      <c r="B34" s="126">
        <f t="shared" si="0"/>
        <v>45720</v>
      </c>
      <c r="C34" s="127">
        <f>YEAR(MC[[#This Row],[Date]])+IF(MONTH(MC[[#This Row],[Date]])&gt;=4,1,0)</f>
        <v>2025</v>
      </c>
      <c r="D34" s="128">
        <f>YEAR(MC[[#This Row],[Date]])</f>
        <v>2025</v>
      </c>
      <c r="E34" s="287" t="s">
        <v>156</v>
      </c>
      <c r="F34" s="287" t="s">
        <v>156</v>
      </c>
      <c r="G34" s="129" t="str">
        <f>TEXT(MC[[#This Row],[Date]],"mmm-yy")</f>
        <v>Mar-25</v>
      </c>
      <c r="H34" s="129">
        <f>DAY(EOMONTH(MC[[#This Row],[Month Year]],0))</f>
        <v>31</v>
      </c>
      <c r="I34" s="132"/>
      <c r="J34" s="132"/>
      <c r="K34" s="132"/>
      <c r="L34" s="132"/>
      <c r="M34" s="132"/>
      <c r="N34" s="132"/>
      <c r="O34" s="132"/>
      <c r="P34" s="125"/>
      <c r="Q34" s="125"/>
      <c r="R34" s="4">
        <f>SUM(MC[[#This Row],[ICR1]:[ICR12]])</f>
        <v>0</v>
      </c>
      <c r="S34" s="132"/>
      <c r="T34" s="132"/>
      <c r="U34" s="132"/>
      <c r="V34" s="132"/>
      <c r="W34" s="132"/>
      <c r="X34" s="132"/>
      <c r="Y34" s="132"/>
    </row>
    <row r="35" spans="1:25">
      <c r="A35" s="132">
        <v>33</v>
      </c>
      <c r="B35" s="126">
        <f t="shared" si="0"/>
        <v>45721</v>
      </c>
      <c r="C35" s="127">
        <f>YEAR(MC[[#This Row],[Date]])+IF(MONTH(MC[[#This Row],[Date]])&gt;=4,1,0)</f>
        <v>2025</v>
      </c>
      <c r="D35" s="128">
        <f>YEAR(MC[[#This Row],[Date]])</f>
        <v>2025</v>
      </c>
      <c r="E35" s="287" t="s">
        <v>156</v>
      </c>
      <c r="F35" s="287" t="s">
        <v>156</v>
      </c>
      <c r="G35" s="129" t="str">
        <f>TEXT(MC[[#This Row],[Date]],"mmm-yy")</f>
        <v>Mar-25</v>
      </c>
      <c r="H35" s="129">
        <f>DAY(EOMONTH(MC[[#This Row],[Month Year]],0))</f>
        <v>31</v>
      </c>
      <c r="I35" s="132"/>
      <c r="J35" s="132"/>
      <c r="K35" s="132"/>
      <c r="L35" s="132"/>
      <c r="M35" s="132"/>
      <c r="N35" s="132"/>
      <c r="O35" s="132"/>
      <c r="P35" s="125"/>
      <c r="Q35" s="125"/>
      <c r="R35" s="4">
        <f>SUM(MC[[#This Row],[ICR1]:[ICR12]])</f>
        <v>0</v>
      </c>
      <c r="S35" s="132"/>
      <c r="T35" s="132"/>
      <c r="U35" s="132"/>
      <c r="V35" s="132"/>
      <c r="W35" s="132"/>
      <c r="X35" s="132"/>
      <c r="Y35" s="132"/>
    </row>
    <row r="36" spans="1:25">
      <c r="A36" s="132">
        <v>34</v>
      </c>
      <c r="B36" s="126">
        <f t="shared" si="0"/>
        <v>45722</v>
      </c>
      <c r="C36" s="127">
        <f>YEAR(MC[[#This Row],[Date]])+IF(MONTH(MC[[#This Row],[Date]])&gt;=4,1,0)</f>
        <v>2025</v>
      </c>
      <c r="D36" s="128">
        <f>YEAR(MC[[#This Row],[Date]])</f>
        <v>2025</v>
      </c>
      <c r="E36" s="287" t="s">
        <v>156</v>
      </c>
      <c r="F36" s="287" t="s">
        <v>156</v>
      </c>
      <c r="G36" s="129" t="str">
        <f>TEXT(MC[[#This Row],[Date]],"mmm-yy")</f>
        <v>Mar-25</v>
      </c>
      <c r="H36" s="129">
        <f>DAY(EOMONTH(MC[[#This Row],[Month Year]],0))</f>
        <v>31</v>
      </c>
      <c r="I36" s="132"/>
      <c r="J36" s="132"/>
      <c r="K36" s="132"/>
      <c r="L36" s="132"/>
      <c r="M36" s="132"/>
      <c r="N36" s="132"/>
      <c r="O36" s="132"/>
      <c r="P36" s="125"/>
      <c r="Q36" s="125"/>
      <c r="R36" s="4">
        <f>SUM(MC[[#This Row],[ICR1]:[ICR12]])</f>
        <v>0</v>
      </c>
      <c r="S36" s="132"/>
      <c r="T36" s="132"/>
      <c r="U36" s="132"/>
      <c r="V36" s="132"/>
      <c r="W36" s="132"/>
      <c r="X36" s="132"/>
      <c r="Y36" s="132"/>
    </row>
    <row r="37" spans="1:25">
      <c r="A37" s="132">
        <v>35</v>
      </c>
      <c r="B37" s="126">
        <f t="shared" si="0"/>
        <v>45723</v>
      </c>
      <c r="C37" s="127">
        <f>YEAR(MC[[#This Row],[Date]])+IF(MONTH(MC[[#This Row],[Date]])&gt;=4,1,0)</f>
        <v>2025</v>
      </c>
      <c r="D37" s="128">
        <f>YEAR(MC[[#This Row],[Date]])</f>
        <v>2025</v>
      </c>
      <c r="E37" s="287" t="s">
        <v>156</v>
      </c>
      <c r="F37" s="287" t="s">
        <v>156</v>
      </c>
      <c r="G37" s="129" t="str">
        <f>TEXT(MC[[#This Row],[Date]],"mmm-yy")</f>
        <v>Mar-25</v>
      </c>
      <c r="H37" s="129">
        <f>DAY(EOMONTH(MC[[#This Row],[Month Year]],0))</f>
        <v>31</v>
      </c>
      <c r="I37" s="132"/>
      <c r="J37" s="132"/>
      <c r="K37" s="132"/>
      <c r="L37" s="132"/>
      <c r="M37" s="132"/>
      <c r="N37" s="132"/>
      <c r="O37" s="132"/>
      <c r="P37" s="125"/>
      <c r="Q37" s="125"/>
      <c r="R37" s="4">
        <f>SUM(MC[[#This Row],[ICR1]:[ICR12]])</f>
        <v>0</v>
      </c>
      <c r="S37" s="132"/>
      <c r="T37" s="132"/>
      <c r="U37" s="132"/>
      <c r="V37" s="132"/>
      <c r="W37" s="132"/>
      <c r="X37" s="132"/>
      <c r="Y37" s="132"/>
    </row>
    <row r="38" spans="1:25">
      <c r="A38" s="132">
        <v>36</v>
      </c>
      <c r="B38" s="126">
        <f t="shared" si="0"/>
        <v>45724</v>
      </c>
      <c r="C38" s="127">
        <f>YEAR(MC[[#This Row],[Date]])+IF(MONTH(MC[[#This Row],[Date]])&gt;=4,1,0)</f>
        <v>2025</v>
      </c>
      <c r="D38" s="128">
        <f>YEAR(MC[[#This Row],[Date]])</f>
        <v>2025</v>
      </c>
      <c r="E38" s="287" t="s">
        <v>156</v>
      </c>
      <c r="F38" s="287" t="s">
        <v>156</v>
      </c>
      <c r="G38" s="129" t="str">
        <f>TEXT(MC[[#This Row],[Date]],"mmm-yy")</f>
        <v>Mar-25</v>
      </c>
      <c r="H38" s="129">
        <f>DAY(EOMONTH(MC[[#This Row],[Month Year]],0))</f>
        <v>31</v>
      </c>
      <c r="I38" s="132"/>
      <c r="J38" s="132"/>
      <c r="K38" s="132"/>
      <c r="L38" s="132"/>
      <c r="M38" s="132"/>
      <c r="N38" s="132"/>
      <c r="O38" s="132"/>
      <c r="P38" s="125"/>
      <c r="Q38" s="125"/>
      <c r="R38" s="4">
        <f>SUM(MC[[#This Row],[ICR1]:[ICR12]])</f>
        <v>0</v>
      </c>
      <c r="S38" s="133"/>
      <c r="T38" s="133"/>
      <c r="U38" s="132"/>
      <c r="V38" s="133"/>
      <c r="W38" s="132"/>
      <c r="X38" s="132"/>
      <c r="Y38" s="132"/>
    </row>
    <row r="39" spans="1:25">
      <c r="A39" s="132">
        <v>37</v>
      </c>
      <c r="B39" s="126">
        <f t="shared" si="0"/>
        <v>45725</v>
      </c>
      <c r="C39" s="127">
        <f>YEAR(MC[[#This Row],[Date]])+IF(MONTH(MC[[#This Row],[Date]])&gt;=4,1,0)</f>
        <v>2025</v>
      </c>
      <c r="D39" s="128">
        <f>YEAR(MC[[#This Row],[Date]])</f>
        <v>2025</v>
      </c>
      <c r="E39" s="287" t="s">
        <v>156</v>
      </c>
      <c r="F39" s="287" t="s">
        <v>156</v>
      </c>
      <c r="G39" s="129" t="str">
        <f>TEXT(MC[[#This Row],[Date]],"mmm-yy")</f>
        <v>Mar-25</v>
      </c>
      <c r="H39" s="129">
        <f>DAY(EOMONTH(MC[[#This Row],[Month Year]],0))</f>
        <v>31</v>
      </c>
      <c r="I39" s="132"/>
      <c r="J39" s="132"/>
      <c r="K39" s="132"/>
      <c r="L39" s="132"/>
      <c r="M39" s="132"/>
      <c r="N39" s="132"/>
      <c r="O39" s="132"/>
      <c r="P39" s="125"/>
      <c r="Q39" s="125"/>
      <c r="R39" s="4">
        <f>SUM(MC[[#This Row],[ICR1]:[ICR12]])</f>
        <v>0</v>
      </c>
      <c r="S39" s="133"/>
      <c r="T39" s="132"/>
      <c r="U39" s="132"/>
      <c r="V39" s="133"/>
      <c r="W39" s="132"/>
      <c r="X39" s="132"/>
      <c r="Y39" s="132"/>
    </row>
    <row r="40" spans="1:25">
      <c r="A40" s="132">
        <v>38</v>
      </c>
      <c r="B40" s="126">
        <f t="shared" si="0"/>
        <v>45726</v>
      </c>
      <c r="C40" s="127">
        <f>YEAR(MC[[#This Row],[Date]])+IF(MONTH(MC[[#This Row],[Date]])&gt;=4,1,0)</f>
        <v>2025</v>
      </c>
      <c r="D40" s="128">
        <f>YEAR(MC[[#This Row],[Date]])</f>
        <v>2025</v>
      </c>
      <c r="E40" s="287" t="s">
        <v>156</v>
      </c>
      <c r="F40" s="287" t="s">
        <v>156</v>
      </c>
      <c r="G40" s="129" t="str">
        <f>TEXT(MC[[#This Row],[Date]],"mmm-yy")</f>
        <v>Mar-25</v>
      </c>
      <c r="H40" s="129">
        <f>DAY(EOMONTH(MC[[#This Row],[Month Year]],0))</f>
        <v>31</v>
      </c>
      <c r="I40" s="132"/>
      <c r="J40" s="132"/>
      <c r="K40" s="132"/>
      <c r="L40" s="132"/>
      <c r="M40" s="132"/>
      <c r="N40" s="132"/>
      <c r="O40" s="132"/>
      <c r="P40" s="125"/>
      <c r="Q40" s="125"/>
      <c r="R40" s="4">
        <f>SUM(MC[[#This Row],[ICR1]:[ICR12]])</f>
        <v>0</v>
      </c>
      <c r="S40" s="133"/>
      <c r="T40" s="133"/>
      <c r="U40" s="132"/>
      <c r="V40" s="132"/>
      <c r="W40" s="132"/>
      <c r="X40" s="132"/>
      <c r="Y40" s="132"/>
    </row>
    <row r="41" spans="1:25">
      <c r="A41" s="132">
        <v>39</v>
      </c>
      <c r="B41" s="126">
        <f t="shared" si="0"/>
        <v>45727</v>
      </c>
      <c r="C41" s="127">
        <f>YEAR(MC[[#This Row],[Date]])+IF(MONTH(MC[[#This Row],[Date]])&gt;=4,1,0)</f>
        <v>2025</v>
      </c>
      <c r="D41" s="128">
        <f>YEAR(MC[[#This Row],[Date]])</f>
        <v>2025</v>
      </c>
      <c r="E41" s="287" t="s">
        <v>156</v>
      </c>
      <c r="F41" s="287" t="s">
        <v>156</v>
      </c>
      <c r="G41" s="129" t="str">
        <f>TEXT(MC[[#This Row],[Date]],"mmm-yy")</f>
        <v>Mar-25</v>
      </c>
      <c r="H41" s="129">
        <f>DAY(EOMONTH(MC[[#This Row],[Month Year]],0))</f>
        <v>31</v>
      </c>
      <c r="I41" s="132"/>
      <c r="J41" s="132"/>
      <c r="K41" s="132"/>
      <c r="L41" s="132"/>
      <c r="M41" s="132"/>
      <c r="N41" s="132"/>
      <c r="O41" s="132"/>
      <c r="P41" s="125"/>
      <c r="Q41" s="125"/>
      <c r="R41" s="4">
        <f>SUM(MC[[#This Row],[ICR1]:[ICR12]])</f>
        <v>0</v>
      </c>
      <c r="S41" s="132"/>
      <c r="T41" s="132"/>
      <c r="U41" s="132"/>
      <c r="V41" s="132"/>
      <c r="W41" s="132"/>
      <c r="X41" s="132"/>
      <c r="Y41" s="132"/>
    </row>
    <row r="42" spans="1:25">
      <c r="A42" s="132">
        <v>40</v>
      </c>
      <c r="B42" s="126">
        <f t="shared" si="0"/>
        <v>45728</v>
      </c>
      <c r="C42" s="127">
        <f>YEAR(MC[[#This Row],[Date]])+IF(MONTH(MC[[#This Row],[Date]])&gt;=4,1,0)</f>
        <v>2025</v>
      </c>
      <c r="D42" s="128">
        <f>YEAR(MC[[#This Row],[Date]])</f>
        <v>2025</v>
      </c>
      <c r="E42" s="287" t="s">
        <v>156</v>
      </c>
      <c r="F42" s="287" t="s">
        <v>156</v>
      </c>
      <c r="G42" s="129" t="str">
        <f>TEXT(MC[[#This Row],[Date]],"mmm-yy")</f>
        <v>Mar-25</v>
      </c>
      <c r="H42" s="129">
        <f>DAY(EOMONTH(MC[[#This Row],[Month Year]],0))</f>
        <v>31</v>
      </c>
      <c r="I42" s="132"/>
      <c r="J42" s="132"/>
      <c r="K42" s="132"/>
      <c r="L42" s="132"/>
      <c r="M42" s="132"/>
      <c r="N42" s="132"/>
      <c r="O42" s="132"/>
      <c r="P42" s="125"/>
      <c r="Q42" s="125"/>
      <c r="R42" s="4">
        <f>SUM(MC[[#This Row],[ICR1]:[ICR12]])</f>
        <v>0</v>
      </c>
      <c r="S42" s="133"/>
      <c r="T42" s="133"/>
      <c r="U42" s="132"/>
      <c r="V42" s="132"/>
      <c r="W42" s="132"/>
      <c r="X42" s="132"/>
      <c r="Y42" s="132"/>
    </row>
    <row r="43" spans="1:25">
      <c r="A43" s="132">
        <v>41</v>
      </c>
      <c r="B43" s="126">
        <f t="shared" si="0"/>
        <v>45729</v>
      </c>
      <c r="C43" s="127">
        <f>YEAR(MC[[#This Row],[Date]])+IF(MONTH(MC[[#This Row],[Date]])&gt;=4,1,0)</f>
        <v>2025</v>
      </c>
      <c r="D43" s="128">
        <f>YEAR(MC[[#This Row],[Date]])</f>
        <v>2025</v>
      </c>
      <c r="E43" s="287" t="s">
        <v>156</v>
      </c>
      <c r="F43" s="287" t="s">
        <v>156</v>
      </c>
      <c r="G43" s="129" t="str">
        <f>TEXT(MC[[#This Row],[Date]],"mmm-yy")</f>
        <v>Mar-25</v>
      </c>
      <c r="H43" s="129">
        <f>DAY(EOMONTH(MC[[#This Row],[Month Year]],0))</f>
        <v>31</v>
      </c>
      <c r="I43" s="132"/>
      <c r="J43" s="132"/>
      <c r="K43" s="132"/>
      <c r="L43" s="132"/>
      <c r="M43" s="132"/>
      <c r="N43" s="132"/>
      <c r="O43" s="132"/>
      <c r="P43" s="125"/>
      <c r="Q43" s="125"/>
      <c r="R43" s="4">
        <f>SUM(MC[[#This Row],[ICR1]:[ICR12]])</f>
        <v>0</v>
      </c>
      <c r="S43" s="132"/>
      <c r="T43" s="132"/>
      <c r="U43" s="132"/>
      <c r="V43" s="132"/>
      <c r="W43" s="132"/>
      <c r="X43" s="132"/>
      <c r="Y43" s="132"/>
    </row>
    <row r="44" spans="1:25">
      <c r="A44" s="132">
        <v>42</v>
      </c>
      <c r="B44" s="126">
        <f t="shared" si="0"/>
        <v>45730</v>
      </c>
      <c r="C44" s="127">
        <f>YEAR(MC[[#This Row],[Date]])+IF(MONTH(MC[[#This Row],[Date]])&gt;=4,1,0)</f>
        <v>2025</v>
      </c>
      <c r="D44" s="128">
        <f>YEAR(MC[[#This Row],[Date]])</f>
        <v>2025</v>
      </c>
      <c r="E44" s="287" t="s">
        <v>156</v>
      </c>
      <c r="F44" s="287" t="s">
        <v>156</v>
      </c>
      <c r="G44" s="129" t="str">
        <f>TEXT(MC[[#This Row],[Date]],"mmm-yy")</f>
        <v>Mar-25</v>
      </c>
      <c r="H44" s="129">
        <f>DAY(EOMONTH(MC[[#This Row],[Month Year]],0))</f>
        <v>31</v>
      </c>
      <c r="I44" s="132"/>
      <c r="J44" s="132"/>
      <c r="K44" s="132"/>
      <c r="L44" s="132"/>
      <c r="M44" s="132"/>
      <c r="N44" s="132"/>
      <c r="O44" s="132"/>
      <c r="P44" s="125"/>
      <c r="Q44" s="125"/>
      <c r="R44" s="4">
        <f>SUM(MC[[#This Row],[ICR1]:[ICR12]])</f>
        <v>0</v>
      </c>
      <c r="S44" s="132"/>
      <c r="T44" s="132"/>
      <c r="U44" s="132"/>
      <c r="V44" s="132"/>
      <c r="W44" s="132"/>
      <c r="X44" s="132"/>
      <c r="Y44" s="132"/>
    </row>
    <row r="45" spans="1:25">
      <c r="A45" s="132">
        <v>43</v>
      </c>
      <c r="B45" s="126">
        <f t="shared" si="0"/>
        <v>45731</v>
      </c>
      <c r="C45" s="127">
        <f>YEAR(MC[[#This Row],[Date]])+IF(MONTH(MC[[#This Row],[Date]])&gt;=4,1,0)</f>
        <v>2025</v>
      </c>
      <c r="D45" s="128">
        <f>YEAR(MC[[#This Row],[Date]])</f>
        <v>2025</v>
      </c>
      <c r="E45" s="287" t="s">
        <v>156</v>
      </c>
      <c r="F45" s="287" t="s">
        <v>156</v>
      </c>
      <c r="G45" s="129" t="str">
        <f>TEXT(MC[[#This Row],[Date]],"mmm-yy")</f>
        <v>Mar-25</v>
      </c>
      <c r="H45" s="129">
        <f>DAY(EOMONTH(MC[[#This Row],[Month Year]],0))</f>
        <v>31</v>
      </c>
      <c r="I45" s="132"/>
      <c r="J45" s="132"/>
      <c r="K45" s="132"/>
      <c r="L45" s="132"/>
      <c r="M45" s="132"/>
      <c r="N45" s="132"/>
      <c r="O45" s="132"/>
      <c r="P45" s="125"/>
      <c r="Q45" s="125"/>
      <c r="R45" s="4">
        <f>SUM(MC[[#This Row],[ICR1]:[ICR12]])</f>
        <v>0</v>
      </c>
      <c r="S45" s="133"/>
      <c r="T45" s="133"/>
      <c r="U45" s="132"/>
      <c r="V45" s="132"/>
      <c r="W45" s="132"/>
      <c r="X45" s="132"/>
      <c r="Y45" s="132"/>
    </row>
    <row r="46" spans="1:25">
      <c r="A46" s="132">
        <v>44</v>
      </c>
      <c r="B46" s="126">
        <f t="shared" si="0"/>
        <v>45732</v>
      </c>
      <c r="C46" s="127">
        <f>YEAR(MC[[#This Row],[Date]])+IF(MONTH(MC[[#This Row],[Date]])&gt;=4,1,0)</f>
        <v>2025</v>
      </c>
      <c r="D46" s="128">
        <f>YEAR(MC[[#This Row],[Date]])</f>
        <v>2025</v>
      </c>
      <c r="E46" s="287" t="s">
        <v>156</v>
      </c>
      <c r="F46" s="287" t="s">
        <v>156</v>
      </c>
      <c r="G46" s="129" t="str">
        <f>TEXT(MC[[#This Row],[Date]],"mmm-yy")</f>
        <v>Mar-25</v>
      </c>
      <c r="H46" s="129">
        <f>DAY(EOMONTH(MC[[#This Row],[Month Year]],0))</f>
        <v>31</v>
      </c>
      <c r="I46" s="132"/>
      <c r="J46" s="132"/>
      <c r="K46" s="132"/>
      <c r="L46" s="132"/>
      <c r="M46" s="132"/>
      <c r="N46" s="132"/>
      <c r="O46" s="132"/>
      <c r="P46" s="125"/>
      <c r="Q46" s="125"/>
      <c r="R46" s="4">
        <f>SUM(MC[[#This Row],[ICR1]:[ICR12]])</f>
        <v>0</v>
      </c>
      <c r="S46" s="132"/>
      <c r="T46" s="132"/>
      <c r="U46" s="132"/>
      <c r="V46" s="132"/>
      <c r="W46" s="132"/>
      <c r="X46" s="132"/>
      <c r="Y46" s="132"/>
    </row>
    <row r="47" spans="1:25">
      <c r="A47" s="132">
        <v>45</v>
      </c>
      <c r="B47" s="126">
        <f t="shared" si="0"/>
        <v>45733</v>
      </c>
      <c r="C47" s="127">
        <f>YEAR(MC[[#This Row],[Date]])+IF(MONTH(MC[[#This Row],[Date]])&gt;=4,1,0)</f>
        <v>2025</v>
      </c>
      <c r="D47" s="128">
        <f>YEAR(MC[[#This Row],[Date]])</f>
        <v>2025</v>
      </c>
      <c r="E47" s="287" t="s">
        <v>156</v>
      </c>
      <c r="F47" s="287" t="s">
        <v>156</v>
      </c>
      <c r="G47" s="129" t="str">
        <f>TEXT(MC[[#This Row],[Date]],"mmm-yy")</f>
        <v>Mar-25</v>
      </c>
      <c r="H47" s="129">
        <f>DAY(EOMONTH(MC[[#This Row],[Month Year]],0))</f>
        <v>31</v>
      </c>
      <c r="I47" s="132"/>
      <c r="J47" s="132"/>
      <c r="K47" s="132"/>
      <c r="L47" s="132"/>
      <c r="M47" s="132"/>
      <c r="N47" s="132"/>
      <c r="O47" s="132"/>
      <c r="P47" s="125"/>
      <c r="Q47" s="125"/>
      <c r="R47" s="4">
        <f>SUM(MC[[#This Row],[ICR1]:[ICR12]])</f>
        <v>0</v>
      </c>
      <c r="S47" s="132"/>
      <c r="T47" s="132"/>
      <c r="U47" s="132"/>
      <c r="V47" s="132"/>
      <c r="W47" s="132"/>
      <c r="X47" s="132"/>
      <c r="Y47" s="132"/>
    </row>
    <row r="48" spans="1:25">
      <c r="A48" s="132">
        <v>46</v>
      </c>
      <c r="B48" s="126">
        <f t="shared" si="0"/>
        <v>45734</v>
      </c>
      <c r="C48" s="127">
        <f>YEAR(MC[[#This Row],[Date]])+IF(MONTH(MC[[#This Row],[Date]])&gt;=4,1,0)</f>
        <v>2025</v>
      </c>
      <c r="D48" s="128">
        <f>YEAR(MC[[#This Row],[Date]])</f>
        <v>2025</v>
      </c>
      <c r="E48" s="287" t="s">
        <v>156</v>
      </c>
      <c r="F48" s="287" t="s">
        <v>156</v>
      </c>
      <c r="G48" s="129" t="str">
        <f>TEXT(MC[[#This Row],[Date]],"mmm-yy")</f>
        <v>Mar-25</v>
      </c>
      <c r="H48" s="129">
        <f>DAY(EOMONTH(MC[[#This Row],[Month Year]],0))</f>
        <v>31</v>
      </c>
      <c r="I48" s="132"/>
      <c r="J48" s="132"/>
      <c r="K48" s="132"/>
      <c r="L48" s="132"/>
      <c r="M48" s="132"/>
      <c r="N48" s="132"/>
      <c r="O48" s="132"/>
      <c r="P48" s="125"/>
      <c r="Q48" s="125"/>
      <c r="R48" s="4">
        <f>SUM(MC[[#This Row],[ICR1]:[ICR12]])</f>
        <v>0</v>
      </c>
      <c r="S48" s="132"/>
      <c r="T48" s="132"/>
      <c r="U48" s="132"/>
      <c r="V48" s="132"/>
      <c r="W48" s="132"/>
      <c r="X48" s="132"/>
      <c r="Y48" s="132"/>
    </row>
    <row r="49" spans="1:25">
      <c r="A49" s="132">
        <v>47</v>
      </c>
      <c r="B49" s="126">
        <f t="shared" si="0"/>
        <v>45735</v>
      </c>
      <c r="C49" s="127">
        <f>YEAR(MC[[#This Row],[Date]])+IF(MONTH(MC[[#This Row],[Date]])&gt;=4,1,0)</f>
        <v>2025</v>
      </c>
      <c r="D49" s="128">
        <f>YEAR(MC[[#This Row],[Date]])</f>
        <v>2025</v>
      </c>
      <c r="E49" s="287" t="s">
        <v>156</v>
      </c>
      <c r="F49" s="287" t="s">
        <v>156</v>
      </c>
      <c r="G49" s="129" t="str">
        <f>TEXT(MC[[#This Row],[Date]],"mmm-yy")</f>
        <v>Mar-25</v>
      </c>
      <c r="H49" s="129">
        <f>DAY(EOMONTH(MC[[#This Row],[Month Year]],0))</f>
        <v>31</v>
      </c>
      <c r="I49" s="132"/>
      <c r="J49" s="132"/>
      <c r="K49" s="132"/>
      <c r="L49" s="132"/>
      <c r="M49" s="132"/>
      <c r="N49" s="132"/>
      <c r="O49" s="132"/>
      <c r="P49" s="125"/>
      <c r="Q49" s="125"/>
      <c r="R49" s="4">
        <f>SUM(MC[[#This Row],[ICR1]:[ICR12]])</f>
        <v>0</v>
      </c>
      <c r="S49" s="132"/>
      <c r="T49" s="132"/>
      <c r="U49" s="132"/>
      <c r="V49" s="132"/>
      <c r="W49" s="132"/>
      <c r="X49" s="132"/>
      <c r="Y49" s="132"/>
    </row>
    <row r="50" spans="1:25">
      <c r="A50" s="132">
        <v>48</v>
      </c>
      <c r="B50" s="126">
        <f t="shared" si="0"/>
        <v>45736</v>
      </c>
      <c r="C50" s="127">
        <f>YEAR(MC[[#This Row],[Date]])+IF(MONTH(MC[[#This Row],[Date]])&gt;=4,1,0)</f>
        <v>2025</v>
      </c>
      <c r="D50" s="128">
        <f>YEAR(MC[[#This Row],[Date]])</f>
        <v>2025</v>
      </c>
      <c r="E50" s="287" t="s">
        <v>156</v>
      </c>
      <c r="F50" s="287" t="s">
        <v>156</v>
      </c>
      <c r="G50" s="129" t="str">
        <f>TEXT(MC[[#This Row],[Date]],"mmm-yy")</f>
        <v>Mar-25</v>
      </c>
      <c r="H50" s="129">
        <f>DAY(EOMONTH(MC[[#This Row],[Month Year]],0))</f>
        <v>31</v>
      </c>
      <c r="I50" s="132"/>
      <c r="J50" s="132"/>
      <c r="K50" s="132"/>
      <c r="L50" s="132"/>
      <c r="M50" s="132"/>
      <c r="N50" s="132"/>
      <c r="O50" s="132"/>
      <c r="P50" s="125"/>
      <c r="Q50" s="125"/>
      <c r="R50" s="4">
        <f>SUM(MC[[#This Row],[ICR1]:[ICR12]])</f>
        <v>0</v>
      </c>
      <c r="S50" s="132"/>
      <c r="T50" s="132"/>
      <c r="U50" s="132"/>
      <c r="V50" s="132"/>
      <c r="W50" s="132"/>
      <c r="X50" s="132"/>
      <c r="Y50" s="132"/>
    </row>
    <row r="51" spans="1:25">
      <c r="A51" s="132">
        <v>49</v>
      </c>
      <c r="B51" s="126">
        <f t="shared" si="0"/>
        <v>45737</v>
      </c>
      <c r="C51" s="127">
        <f>YEAR(MC[[#This Row],[Date]])+IF(MONTH(MC[[#This Row],[Date]])&gt;=4,1,0)</f>
        <v>2025</v>
      </c>
      <c r="D51" s="128">
        <f>YEAR(MC[[#This Row],[Date]])</f>
        <v>2025</v>
      </c>
      <c r="E51" s="287" t="s">
        <v>156</v>
      </c>
      <c r="F51" s="287" t="s">
        <v>156</v>
      </c>
      <c r="G51" s="129" t="str">
        <f>TEXT(MC[[#This Row],[Date]],"mmm-yy")</f>
        <v>Mar-25</v>
      </c>
      <c r="H51" s="129">
        <f>DAY(EOMONTH(MC[[#This Row],[Month Year]],0))</f>
        <v>31</v>
      </c>
      <c r="I51" s="132"/>
      <c r="J51" s="132"/>
      <c r="K51" s="132"/>
      <c r="L51" s="132"/>
      <c r="M51" s="132"/>
      <c r="N51" s="132"/>
      <c r="O51" s="132"/>
      <c r="P51" s="125"/>
      <c r="Q51" s="125"/>
      <c r="R51" s="4">
        <f>SUM(MC[[#This Row],[ICR1]:[ICR12]])</f>
        <v>0</v>
      </c>
      <c r="S51" s="132"/>
      <c r="T51" s="132"/>
      <c r="U51" s="132"/>
      <c r="V51" s="132"/>
      <c r="W51" s="132"/>
      <c r="X51" s="132"/>
      <c r="Y51" s="132"/>
    </row>
    <row r="52" spans="1:25">
      <c r="A52" s="132">
        <v>50</v>
      </c>
      <c r="B52" s="126">
        <f t="shared" si="0"/>
        <v>45738</v>
      </c>
      <c r="C52" s="127">
        <f>YEAR(MC[[#This Row],[Date]])+IF(MONTH(MC[[#This Row],[Date]])&gt;=4,1,0)</f>
        <v>2025</v>
      </c>
      <c r="D52" s="128">
        <f>YEAR(MC[[#This Row],[Date]])</f>
        <v>2025</v>
      </c>
      <c r="E52" s="287" t="s">
        <v>156</v>
      </c>
      <c r="F52" s="287" t="s">
        <v>156</v>
      </c>
      <c r="G52" s="129" t="str">
        <f>TEXT(MC[[#This Row],[Date]],"mmm-yy")</f>
        <v>Mar-25</v>
      </c>
      <c r="H52" s="129">
        <f>DAY(EOMONTH(MC[[#This Row],[Month Year]],0))</f>
        <v>31</v>
      </c>
      <c r="I52" s="132"/>
      <c r="J52" s="132"/>
      <c r="K52" s="132"/>
      <c r="L52" s="132"/>
      <c r="M52" s="132"/>
      <c r="N52" s="132"/>
      <c r="O52" s="132"/>
      <c r="P52" s="125"/>
      <c r="Q52" s="125"/>
      <c r="R52" s="4">
        <f>SUM(MC[[#This Row],[ICR1]:[ICR12]])</f>
        <v>0</v>
      </c>
      <c r="S52" s="132"/>
      <c r="T52" s="132"/>
      <c r="U52" s="132"/>
      <c r="V52" s="132"/>
      <c r="W52" s="132"/>
      <c r="X52" s="132"/>
      <c r="Y52" s="132"/>
    </row>
    <row r="53" spans="1:25">
      <c r="A53" s="132">
        <v>51</v>
      </c>
      <c r="B53" s="126">
        <f t="shared" si="0"/>
        <v>45739</v>
      </c>
      <c r="C53" s="127">
        <f>YEAR(MC[[#This Row],[Date]])+IF(MONTH(MC[[#This Row],[Date]])&gt;=4,1,0)</f>
        <v>2025</v>
      </c>
      <c r="D53" s="128">
        <f>YEAR(MC[[#This Row],[Date]])</f>
        <v>2025</v>
      </c>
      <c r="E53" s="287" t="s">
        <v>156</v>
      </c>
      <c r="F53" s="287" t="s">
        <v>156</v>
      </c>
      <c r="G53" s="129" t="str">
        <f>TEXT(MC[[#This Row],[Date]],"mmm-yy")</f>
        <v>Mar-25</v>
      </c>
      <c r="H53" s="129">
        <f>DAY(EOMONTH(MC[[#This Row],[Month Year]],0))</f>
        <v>31</v>
      </c>
      <c r="I53" s="132"/>
      <c r="J53" s="132"/>
      <c r="K53" s="132"/>
      <c r="L53" s="132"/>
      <c r="M53" s="132"/>
      <c r="N53" s="132"/>
      <c r="O53" s="132"/>
      <c r="P53" s="125"/>
      <c r="Q53" s="125"/>
      <c r="R53" s="4">
        <f>SUM(MC[[#This Row],[ICR1]:[ICR12]])</f>
        <v>0</v>
      </c>
      <c r="S53" s="132"/>
      <c r="T53" s="132"/>
      <c r="U53" s="132"/>
      <c r="V53" s="132"/>
      <c r="W53" s="132"/>
      <c r="X53" s="132"/>
      <c r="Y53" s="132"/>
    </row>
    <row r="54" spans="1:25">
      <c r="A54" s="132">
        <v>52</v>
      </c>
      <c r="B54" s="126">
        <f t="shared" si="0"/>
        <v>45740</v>
      </c>
      <c r="C54" s="127">
        <f>YEAR(MC[[#This Row],[Date]])+IF(MONTH(MC[[#This Row],[Date]])&gt;=4,1,0)</f>
        <v>2025</v>
      </c>
      <c r="D54" s="128">
        <f>YEAR(MC[[#This Row],[Date]])</f>
        <v>2025</v>
      </c>
      <c r="E54" s="287" t="s">
        <v>156</v>
      </c>
      <c r="F54" s="287" t="s">
        <v>156</v>
      </c>
      <c r="G54" s="129" t="str">
        <f>TEXT(MC[[#This Row],[Date]],"mmm-yy")</f>
        <v>Mar-25</v>
      </c>
      <c r="H54" s="129">
        <f>DAY(EOMONTH(MC[[#This Row],[Month Year]],0))</f>
        <v>31</v>
      </c>
      <c r="I54" s="132"/>
      <c r="J54" s="132"/>
      <c r="K54" s="132"/>
      <c r="L54" s="132"/>
      <c r="M54" s="132"/>
      <c r="N54" s="132"/>
      <c r="O54" s="132"/>
      <c r="P54" s="125"/>
      <c r="Q54" s="125"/>
      <c r="R54" s="4">
        <f>SUM(MC[[#This Row],[ICR1]:[ICR12]])</f>
        <v>0</v>
      </c>
      <c r="S54" s="132"/>
      <c r="T54" s="132"/>
      <c r="U54" s="132"/>
      <c r="V54" s="132"/>
      <c r="W54" s="132"/>
      <c r="X54" s="132"/>
      <c r="Y54" s="132"/>
    </row>
    <row r="55" spans="1:25">
      <c r="A55" s="132">
        <v>53</v>
      </c>
      <c r="B55" s="126">
        <f t="shared" si="0"/>
        <v>45741</v>
      </c>
      <c r="C55" s="127">
        <f>YEAR(MC[[#This Row],[Date]])+IF(MONTH(MC[[#This Row],[Date]])&gt;=4,1,0)</f>
        <v>2025</v>
      </c>
      <c r="D55" s="128">
        <f>YEAR(MC[[#This Row],[Date]])</f>
        <v>2025</v>
      </c>
      <c r="E55" s="287" t="s">
        <v>156</v>
      </c>
      <c r="F55" s="287" t="s">
        <v>156</v>
      </c>
      <c r="G55" s="129" t="str">
        <f>TEXT(MC[[#This Row],[Date]],"mmm-yy")</f>
        <v>Mar-25</v>
      </c>
      <c r="H55" s="129">
        <f>DAY(EOMONTH(MC[[#This Row],[Month Year]],0))</f>
        <v>31</v>
      </c>
      <c r="I55" s="132"/>
      <c r="J55" s="132"/>
      <c r="K55" s="132"/>
      <c r="L55" s="132"/>
      <c r="M55" s="132"/>
      <c r="N55" s="132"/>
      <c r="O55" s="132"/>
      <c r="P55" s="125"/>
      <c r="Q55" s="125"/>
      <c r="R55" s="4">
        <f>SUM(MC[[#This Row],[ICR1]:[ICR12]])</f>
        <v>0</v>
      </c>
      <c r="S55" s="133"/>
      <c r="T55" s="132"/>
      <c r="U55" s="132"/>
      <c r="V55" s="133"/>
      <c r="W55" s="132"/>
      <c r="X55" s="132"/>
      <c r="Y55" s="132"/>
    </row>
    <row r="56" spans="1:25">
      <c r="A56" s="132">
        <v>54</v>
      </c>
      <c r="B56" s="126">
        <f t="shared" si="0"/>
        <v>45742</v>
      </c>
      <c r="C56" s="127">
        <f>YEAR(MC[[#This Row],[Date]])+IF(MONTH(MC[[#This Row],[Date]])&gt;=4,1,0)</f>
        <v>2025</v>
      </c>
      <c r="D56" s="128">
        <f>YEAR(MC[[#This Row],[Date]])</f>
        <v>2025</v>
      </c>
      <c r="E56" s="287" t="s">
        <v>156</v>
      </c>
      <c r="F56" s="287" t="s">
        <v>156</v>
      </c>
      <c r="G56" s="129" t="str">
        <f>TEXT(MC[[#This Row],[Date]],"mmm-yy")</f>
        <v>Mar-25</v>
      </c>
      <c r="H56" s="129">
        <f>DAY(EOMONTH(MC[[#This Row],[Month Year]],0))</f>
        <v>31</v>
      </c>
      <c r="I56" s="132"/>
      <c r="J56" s="132"/>
      <c r="K56" s="132"/>
      <c r="L56" s="132"/>
      <c r="M56" s="132"/>
      <c r="N56" s="132"/>
      <c r="O56" s="132"/>
      <c r="P56" s="125"/>
      <c r="Q56" s="125"/>
      <c r="R56" s="4">
        <f>SUM(MC[[#This Row],[ICR1]:[ICR12]])</f>
        <v>0</v>
      </c>
      <c r="S56" s="133"/>
      <c r="T56" s="132"/>
      <c r="U56" s="132"/>
      <c r="V56" s="133"/>
      <c r="W56" s="132"/>
      <c r="X56" s="132"/>
      <c r="Y56" s="132"/>
    </row>
    <row r="57" spans="1:25">
      <c r="A57" s="132">
        <v>55</v>
      </c>
      <c r="B57" s="126">
        <f t="shared" si="0"/>
        <v>45743</v>
      </c>
      <c r="C57" s="127">
        <f>YEAR(MC[[#This Row],[Date]])+IF(MONTH(MC[[#This Row],[Date]])&gt;=4,1,0)</f>
        <v>2025</v>
      </c>
      <c r="D57" s="128">
        <f>YEAR(MC[[#This Row],[Date]])</f>
        <v>2025</v>
      </c>
      <c r="E57" s="287" t="s">
        <v>156</v>
      </c>
      <c r="F57" s="287" t="s">
        <v>156</v>
      </c>
      <c r="G57" s="129" t="str">
        <f>TEXT(MC[[#This Row],[Date]],"mmm-yy")</f>
        <v>Mar-25</v>
      </c>
      <c r="H57" s="129">
        <f>DAY(EOMONTH(MC[[#This Row],[Month Year]],0))</f>
        <v>31</v>
      </c>
      <c r="I57" s="132"/>
      <c r="J57" s="132"/>
      <c r="K57" s="132"/>
      <c r="L57" s="132"/>
      <c r="M57" s="132"/>
      <c r="N57" s="132"/>
      <c r="O57" s="132"/>
      <c r="P57" s="125"/>
      <c r="Q57" s="125"/>
      <c r="R57" s="4">
        <f>SUM(MC[[#This Row],[ICR1]:[ICR12]])</f>
        <v>0</v>
      </c>
      <c r="S57" s="133"/>
      <c r="T57" s="132"/>
      <c r="U57" s="132"/>
      <c r="V57" s="133"/>
      <c r="W57" s="132"/>
      <c r="X57" s="132"/>
      <c r="Y57" s="132"/>
    </row>
    <row r="58" spans="1:25">
      <c r="A58" s="132">
        <v>56</v>
      </c>
      <c r="B58" s="126">
        <f t="shared" si="0"/>
        <v>45744</v>
      </c>
      <c r="C58" s="127">
        <f>YEAR(MC[[#This Row],[Date]])+IF(MONTH(MC[[#This Row],[Date]])&gt;=4,1,0)</f>
        <v>2025</v>
      </c>
      <c r="D58" s="128">
        <f>YEAR(MC[[#This Row],[Date]])</f>
        <v>2025</v>
      </c>
      <c r="E58" s="287" t="s">
        <v>156</v>
      </c>
      <c r="F58" s="287" t="s">
        <v>156</v>
      </c>
      <c r="G58" s="129" t="str">
        <f>TEXT(MC[[#This Row],[Date]],"mmm-yy")</f>
        <v>Mar-25</v>
      </c>
      <c r="H58" s="129">
        <f>DAY(EOMONTH(MC[[#This Row],[Month Year]],0))</f>
        <v>31</v>
      </c>
      <c r="I58" s="132"/>
      <c r="J58" s="132"/>
      <c r="K58" s="132"/>
      <c r="L58" s="132"/>
      <c r="M58" s="132"/>
      <c r="N58" s="132"/>
      <c r="O58" s="132"/>
      <c r="P58" s="125"/>
      <c r="Q58" s="125"/>
      <c r="R58" s="4">
        <f>SUM(MC[[#This Row],[ICR1]:[ICR12]])</f>
        <v>0</v>
      </c>
      <c r="S58" s="133"/>
      <c r="T58" s="132"/>
      <c r="U58" s="132"/>
      <c r="V58" s="133"/>
      <c r="W58" s="132"/>
      <c r="X58" s="132"/>
      <c r="Y58" s="132"/>
    </row>
    <row r="59" spans="1:25">
      <c r="A59" s="132">
        <v>57</v>
      </c>
      <c r="B59" s="126">
        <f t="shared" si="0"/>
        <v>45745</v>
      </c>
      <c r="C59" s="127">
        <f>YEAR(MC[[#This Row],[Date]])+IF(MONTH(MC[[#This Row],[Date]])&gt;=4,1,0)</f>
        <v>2025</v>
      </c>
      <c r="D59" s="128">
        <f>YEAR(MC[[#This Row],[Date]])</f>
        <v>2025</v>
      </c>
      <c r="E59" s="287" t="s">
        <v>156</v>
      </c>
      <c r="F59" s="287" t="s">
        <v>156</v>
      </c>
      <c r="G59" s="129" t="str">
        <f>TEXT(MC[[#This Row],[Date]],"mmm-yy")</f>
        <v>Mar-25</v>
      </c>
      <c r="H59" s="129">
        <f>DAY(EOMONTH(MC[[#This Row],[Month Year]],0))</f>
        <v>31</v>
      </c>
      <c r="I59" s="132"/>
      <c r="J59" s="132"/>
      <c r="K59" s="132"/>
      <c r="L59" s="132"/>
      <c r="M59" s="132"/>
      <c r="N59" s="132"/>
      <c r="O59" s="132"/>
      <c r="P59" s="125"/>
      <c r="Q59" s="125"/>
      <c r="R59" s="4">
        <f>SUM(MC[[#This Row],[ICR1]:[ICR12]])</f>
        <v>0</v>
      </c>
      <c r="S59" s="133"/>
      <c r="T59" s="132"/>
      <c r="U59" s="132"/>
      <c r="V59" s="133"/>
      <c r="W59" s="132"/>
      <c r="X59" s="132"/>
      <c r="Y59" s="132"/>
    </row>
    <row r="60" spans="1:25">
      <c r="A60" s="132">
        <v>58</v>
      </c>
      <c r="B60" s="126">
        <f t="shared" si="0"/>
        <v>45746</v>
      </c>
      <c r="C60" s="127">
        <f>YEAR(MC[[#This Row],[Date]])+IF(MONTH(MC[[#This Row],[Date]])&gt;=4,1,0)</f>
        <v>2025</v>
      </c>
      <c r="D60" s="128">
        <f>YEAR(MC[[#This Row],[Date]])</f>
        <v>2025</v>
      </c>
      <c r="E60" s="287" t="s">
        <v>156</v>
      </c>
      <c r="F60" s="287" t="s">
        <v>156</v>
      </c>
      <c r="G60" s="129" t="str">
        <f>TEXT(MC[[#This Row],[Date]],"mmm-yy")</f>
        <v>Mar-25</v>
      </c>
      <c r="H60" s="129">
        <f>DAY(EOMONTH(MC[[#This Row],[Month Year]],0))</f>
        <v>31</v>
      </c>
      <c r="I60" s="132"/>
      <c r="J60" s="132"/>
      <c r="K60" s="132"/>
      <c r="L60" s="132"/>
      <c r="M60" s="132"/>
      <c r="N60" s="132"/>
      <c r="O60" s="132"/>
      <c r="P60" s="125"/>
      <c r="Q60" s="125"/>
      <c r="R60" s="4">
        <f>SUM(MC[[#This Row],[ICR1]:[ICR12]])</f>
        <v>0</v>
      </c>
      <c r="S60" s="133"/>
      <c r="T60" s="132"/>
      <c r="U60" s="132"/>
      <c r="V60" s="133"/>
      <c r="W60" s="132"/>
      <c r="X60" s="132"/>
      <c r="Y60" s="132"/>
    </row>
    <row r="61" spans="1:25">
      <c r="A61" s="132">
        <v>59</v>
      </c>
      <c r="B61" s="126">
        <f t="shared" si="0"/>
        <v>45747</v>
      </c>
      <c r="C61" s="127">
        <f>YEAR(MC[[#This Row],[Date]])+IF(MONTH(MC[[#This Row],[Date]])&gt;=4,1,0)</f>
        <v>2025</v>
      </c>
      <c r="D61" s="128">
        <f>YEAR(MC[[#This Row],[Date]])</f>
        <v>2025</v>
      </c>
      <c r="E61" s="287" t="s">
        <v>156</v>
      </c>
      <c r="F61" s="287" t="s">
        <v>156</v>
      </c>
      <c r="G61" s="129" t="str">
        <f>TEXT(MC[[#This Row],[Date]],"mmm-yy")</f>
        <v>Mar-25</v>
      </c>
      <c r="H61" s="129">
        <f>DAY(EOMONTH(MC[[#This Row],[Month Year]],0))</f>
        <v>31</v>
      </c>
      <c r="I61" s="132"/>
      <c r="J61" s="132"/>
      <c r="K61" s="132"/>
      <c r="L61" s="132"/>
      <c r="M61" s="132"/>
      <c r="N61" s="132"/>
      <c r="O61" s="132"/>
      <c r="P61" s="125"/>
      <c r="Q61" s="125"/>
      <c r="R61" s="4">
        <f>SUM(MC[[#This Row],[ICR1]:[ICR12]])</f>
        <v>0</v>
      </c>
      <c r="S61" s="133"/>
      <c r="T61" s="132"/>
      <c r="U61" s="132"/>
      <c r="V61" s="133"/>
      <c r="W61" s="132"/>
      <c r="X61" s="132"/>
      <c r="Y61" s="132"/>
    </row>
    <row r="62" spans="1:25">
      <c r="A62" s="132">
        <v>60</v>
      </c>
      <c r="B62" s="126">
        <f t="shared" si="0"/>
        <v>45748</v>
      </c>
      <c r="C62" s="127">
        <f>YEAR(MC[[#This Row],[Date]])+IF(MONTH(MC[[#This Row],[Date]])&gt;=4,1,0)</f>
        <v>2026</v>
      </c>
      <c r="D62" s="128">
        <f>YEAR(MC[[#This Row],[Date]])</f>
        <v>2025</v>
      </c>
      <c r="E62" s="287" t="s">
        <v>156</v>
      </c>
      <c r="F62" s="287" t="s">
        <v>156</v>
      </c>
      <c r="G62" s="129" t="str">
        <f>TEXT(MC[[#This Row],[Date]],"mmm-yy")</f>
        <v>Apr-25</v>
      </c>
      <c r="H62" s="129">
        <f>DAY(EOMONTH(MC[[#This Row],[Month Year]],0))</f>
        <v>30</v>
      </c>
      <c r="I62" s="132"/>
      <c r="J62" s="132"/>
      <c r="K62" s="132"/>
      <c r="L62" s="132"/>
      <c r="M62" s="132"/>
      <c r="N62" s="132"/>
      <c r="O62" s="132"/>
      <c r="P62" s="125"/>
      <c r="Q62" s="125"/>
      <c r="R62" s="4">
        <f>SUM(MC[[#This Row],[ICR1]:[ICR12]])</f>
        <v>0</v>
      </c>
      <c r="S62" s="133"/>
      <c r="T62" s="132"/>
      <c r="U62" s="132"/>
      <c r="V62" s="133"/>
      <c r="W62" s="132"/>
      <c r="X62" s="132"/>
      <c r="Y62" s="132"/>
    </row>
    <row r="63" spans="1:25">
      <c r="A63" s="132">
        <v>61</v>
      </c>
      <c r="B63" s="126">
        <f t="shared" si="0"/>
        <v>45749</v>
      </c>
      <c r="C63" s="127">
        <f>YEAR(MC[[#This Row],[Date]])+IF(MONTH(MC[[#This Row],[Date]])&gt;=4,1,0)</f>
        <v>2026</v>
      </c>
      <c r="D63" s="128">
        <f>YEAR(MC[[#This Row],[Date]])</f>
        <v>2025</v>
      </c>
      <c r="E63" s="287" t="s">
        <v>156</v>
      </c>
      <c r="F63" s="287" t="s">
        <v>156</v>
      </c>
      <c r="G63" s="129" t="str">
        <f>TEXT(MC[[#This Row],[Date]],"mmm-yy")</f>
        <v>Apr-25</v>
      </c>
      <c r="H63" s="129">
        <f>DAY(EOMONTH(MC[[#This Row],[Month Year]],0))</f>
        <v>30</v>
      </c>
      <c r="I63" s="132"/>
      <c r="J63" s="132"/>
      <c r="K63" s="132"/>
      <c r="L63" s="132"/>
      <c r="M63" s="132"/>
      <c r="N63" s="132"/>
      <c r="O63" s="132"/>
      <c r="P63" s="125"/>
      <c r="Q63" s="125"/>
      <c r="R63" s="4">
        <f>SUM(MC[[#This Row],[ICR1]:[ICR12]])</f>
        <v>0</v>
      </c>
      <c r="S63" s="132"/>
      <c r="T63" s="132"/>
      <c r="U63" s="132"/>
      <c r="V63" s="132"/>
      <c r="W63" s="132"/>
      <c r="X63" s="132"/>
      <c r="Y63" s="132"/>
    </row>
    <row r="64" spans="1:25">
      <c r="A64" s="132">
        <v>62</v>
      </c>
      <c r="B64" s="126">
        <f t="shared" si="0"/>
        <v>45750</v>
      </c>
      <c r="C64" s="127">
        <f>YEAR(MC[[#This Row],[Date]])+IF(MONTH(MC[[#This Row],[Date]])&gt;=4,1,0)</f>
        <v>2026</v>
      </c>
      <c r="D64" s="128">
        <f>YEAR(MC[[#This Row],[Date]])</f>
        <v>2025</v>
      </c>
      <c r="E64" s="287" t="s">
        <v>156</v>
      </c>
      <c r="F64" s="287" t="s">
        <v>156</v>
      </c>
      <c r="G64" s="129" t="str">
        <f>TEXT(MC[[#This Row],[Date]],"mmm-yy")</f>
        <v>Apr-25</v>
      </c>
      <c r="H64" s="129">
        <f>DAY(EOMONTH(MC[[#This Row],[Month Year]],0))</f>
        <v>30</v>
      </c>
      <c r="I64" s="132"/>
      <c r="J64" s="132"/>
      <c r="K64" s="132"/>
      <c r="L64" s="132"/>
      <c r="M64" s="132"/>
      <c r="N64" s="132"/>
      <c r="O64" s="132"/>
      <c r="P64" s="125"/>
      <c r="Q64" s="125"/>
      <c r="R64" s="4">
        <f>SUM(MC[[#This Row],[ICR1]:[ICR12]])</f>
        <v>0</v>
      </c>
      <c r="S64" s="133"/>
      <c r="T64" s="132"/>
      <c r="U64" s="132"/>
      <c r="V64" s="133"/>
      <c r="W64" s="132"/>
      <c r="X64" s="132"/>
      <c r="Y64" s="132"/>
    </row>
    <row r="65" spans="1:25">
      <c r="A65" s="132">
        <v>63</v>
      </c>
      <c r="B65" s="126">
        <f t="shared" si="0"/>
        <v>45751</v>
      </c>
      <c r="C65" s="127">
        <f>YEAR(MC[[#This Row],[Date]])+IF(MONTH(MC[[#This Row],[Date]])&gt;=4,1,0)</f>
        <v>2026</v>
      </c>
      <c r="D65" s="128">
        <f>YEAR(MC[[#This Row],[Date]])</f>
        <v>2025</v>
      </c>
      <c r="E65" s="287" t="s">
        <v>156</v>
      </c>
      <c r="F65" s="287" t="s">
        <v>156</v>
      </c>
      <c r="G65" s="129" t="str">
        <f>TEXT(MC[[#This Row],[Date]],"mmm-yy")</f>
        <v>Apr-25</v>
      </c>
      <c r="H65" s="129">
        <f>DAY(EOMONTH(MC[[#This Row],[Month Year]],0))</f>
        <v>30</v>
      </c>
      <c r="I65" s="132"/>
      <c r="J65" s="132"/>
      <c r="K65" s="132"/>
      <c r="L65" s="132"/>
      <c r="M65" s="132"/>
      <c r="N65" s="132"/>
      <c r="O65" s="132"/>
      <c r="P65" s="125"/>
      <c r="Q65" s="125"/>
      <c r="R65" s="4">
        <f>SUM(MC[[#This Row],[ICR1]:[ICR12]])</f>
        <v>0</v>
      </c>
      <c r="S65" s="133"/>
      <c r="T65" s="132"/>
      <c r="U65" s="132"/>
      <c r="V65" s="133"/>
      <c r="W65" s="132"/>
      <c r="X65" s="132"/>
      <c r="Y65" s="132"/>
    </row>
    <row r="66" spans="1:25">
      <c r="A66" s="132">
        <v>64</v>
      </c>
      <c r="B66" s="126">
        <f t="shared" si="0"/>
        <v>45752</v>
      </c>
      <c r="C66" s="127">
        <f>YEAR(MC[[#This Row],[Date]])+IF(MONTH(MC[[#This Row],[Date]])&gt;=4,1,0)</f>
        <v>2026</v>
      </c>
      <c r="D66" s="128">
        <f>YEAR(MC[[#This Row],[Date]])</f>
        <v>2025</v>
      </c>
      <c r="E66" s="287" t="s">
        <v>156</v>
      </c>
      <c r="F66" s="287" t="s">
        <v>156</v>
      </c>
      <c r="G66" s="129" t="str">
        <f>TEXT(MC[[#This Row],[Date]],"mmm-yy")</f>
        <v>Apr-25</v>
      </c>
      <c r="H66" s="129">
        <f>DAY(EOMONTH(MC[[#This Row],[Month Year]],0))</f>
        <v>30</v>
      </c>
      <c r="I66" s="132"/>
      <c r="J66" s="132"/>
      <c r="K66" s="132"/>
      <c r="L66" s="132"/>
      <c r="M66" s="132"/>
      <c r="N66" s="132"/>
      <c r="O66" s="132"/>
      <c r="P66" s="125"/>
      <c r="Q66" s="125"/>
      <c r="R66" s="4">
        <f>SUM(MC[[#This Row],[ICR1]:[ICR12]])</f>
        <v>0</v>
      </c>
      <c r="S66" s="133"/>
      <c r="T66" s="132"/>
      <c r="U66" s="132"/>
      <c r="V66" s="133"/>
      <c r="W66" s="132"/>
      <c r="X66" s="132"/>
      <c r="Y66" s="132"/>
    </row>
    <row r="67" spans="1:25">
      <c r="A67" s="132">
        <v>65</v>
      </c>
      <c r="B67" s="126">
        <f t="shared" si="0"/>
        <v>45753</v>
      </c>
      <c r="C67" s="127">
        <f>YEAR(MC[[#This Row],[Date]])+IF(MONTH(MC[[#This Row],[Date]])&gt;=4,1,0)</f>
        <v>2026</v>
      </c>
      <c r="D67" s="128">
        <f>YEAR(MC[[#This Row],[Date]])</f>
        <v>2025</v>
      </c>
      <c r="E67" s="287" t="s">
        <v>156</v>
      </c>
      <c r="F67" s="287" t="s">
        <v>156</v>
      </c>
      <c r="G67" s="129" t="str">
        <f>TEXT(MC[[#This Row],[Date]],"mmm-yy")</f>
        <v>Apr-25</v>
      </c>
      <c r="H67" s="129">
        <f>DAY(EOMONTH(MC[[#This Row],[Month Year]],0))</f>
        <v>30</v>
      </c>
      <c r="I67" s="132"/>
      <c r="J67" s="132"/>
      <c r="K67" s="132"/>
      <c r="L67" s="132"/>
      <c r="M67" s="132"/>
      <c r="N67" s="132"/>
      <c r="O67" s="132"/>
      <c r="P67" s="125"/>
      <c r="Q67" s="125"/>
      <c r="R67" s="4">
        <f>SUM(MC[[#This Row],[ICR1]:[ICR12]])</f>
        <v>0</v>
      </c>
      <c r="S67" s="133"/>
      <c r="T67" s="132"/>
      <c r="U67" s="132"/>
      <c r="V67" s="133"/>
      <c r="W67" s="132"/>
      <c r="X67" s="132"/>
      <c r="Y67" s="132"/>
    </row>
    <row r="68" spans="1:25">
      <c r="A68" s="132">
        <v>66</v>
      </c>
      <c r="B68" s="126">
        <f t="shared" si="0"/>
        <v>45754</v>
      </c>
      <c r="C68" s="127">
        <f>YEAR(MC[[#This Row],[Date]])+IF(MONTH(MC[[#This Row],[Date]])&gt;=4,1,0)</f>
        <v>2026</v>
      </c>
      <c r="D68" s="128">
        <f>YEAR(MC[[#This Row],[Date]])</f>
        <v>2025</v>
      </c>
      <c r="E68" s="287" t="s">
        <v>156</v>
      </c>
      <c r="F68" s="287" t="s">
        <v>156</v>
      </c>
      <c r="G68" s="129" t="str">
        <f>TEXT(MC[[#This Row],[Date]],"mmm-yy")</f>
        <v>Apr-25</v>
      </c>
      <c r="H68" s="129">
        <f>DAY(EOMONTH(MC[[#This Row],[Month Year]],0))</f>
        <v>30</v>
      </c>
      <c r="I68" s="132"/>
      <c r="J68" s="132"/>
      <c r="K68" s="132"/>
      <c r="L68" s="132"/>
      <c r="M68" s="132"/>
      <c r="N68" s="132"/>
      <c r="O68" s="132"/>
      <c r="P68" s="125"/>
      <c r="Q68" s="125"/>
      <c r="R68" s="4">
        <f>SUM(MC[[#This Row],[ICR1]:[ICR12]])</f>
        <v>0</v>
      </c>
      <c r="S68" s="132"/>
      <c r="T68" s="132"/>
      <c r="U68" s="132"/>
      <c r="V68" s="132"/>
      <c r="W68" s="132"/>
      <c r="X68" s="132"/>
      <c r="Y68" s="132"/>
    </row>
    <row r="69" spans="1:25">
      <c r="A69" s="132">
        <v>67</v>
      </c>
      <c r="B69" s="126">
        <f t="shared" ref="B69:B132" si="1">B68+1</f>
        <v>45755</v>
      </c>
      <c r="C69" s="127">
        <f>YEAR(MC[[#This Row],[Date]])+IF(MONTH(MC[[#This Row],[Date]])&gt;=4,1,0)</f>
        <v>2026</v>
      </c>
      <c r="D69" s="128">
        <f>YEAR(MC[[#This Row],[Date]])</f>
        <v>2025</v>
      </c>
      <c r="E69" s="287" t="s">
        <v>156</v>
      </c>
      <c r="F69" s="287" t="s">
        <v>156</v>
      </c>
      <c r="G69" s="129" t="str">
        <f>TEXT(MC[[#This Row],[Date]],"mmm-yy")</f>
        <v>Apr-25</v>
      </c>
      <c r="H69" s="129">
        <f>DAY(EOMONTH(MC[[#This Row],[Month Year]],0))</f>
        <v>30</v>
      </c>
      <c r="I69" s="132"/>
      <c r="J69" s="132"/>
      <c r="K69" s="132"/>
      <c r="L69" s="132"/>
      <c r="M69" s="132"/>
      <c r="N69" s="132"/>
      <c r="O69" s="132"/>
      <c r="P69" s="125"/>
      <c r="Q69" s="125"/>
      <c r="R69" s="4">
        <f>SUM(MC[[#This Row],[ICR1]:[ICR12]])</f>
        <v>0</v>
      </c>
      <c r="S69" s="133"/>
      <c r="T69" s="132"/>
      <c r="U69" s="132"/>
      <c r="V69" s="133"/>
      <c r="W69" s="132"/>
      <c r="X69" s="132"/>
      <c r="Y69" s="132"/>
    </row>
    <row r="70" spans="1:25">
      <c r="A70" s="132">
        <v>68</v>
      </c>
      <c r="B70" s="126">
        <f t="shared" si="1"/>
        <v>45756</v>
      </c>
      <c r="C70" s="127">
        <f>YEAR(MC[[#This Row],[Date]])+IF(MONTH(MC[[#This Row],[Date]])&gt;=4,1,0)</f>
        <v>2026</v>
      </c>
      <c r="D70" s="128">
        <f>YEAR(MC[[#This Row],[Date]])</f>
        <v>2025</v>
      </c>
      <c r="E70" s="287" t="s">
        <v>156</v>
      </c>
      <c r="F70" s="287" t="s">
        <v>156</v>
      </c>
      <c r="G70" s="129" t="str">
        <f>TEXT(MC[[#This Row],[Date]],"mmm-yy")</f>
        <v>Apr-25</v>
      </c>
      <c r="H70" s="129">
        <f>DAY(EOMONTH(MC[[#This Row],[Month Year]],0))</f>
        <v>30</v>
      </c>
      <c r="I70" s="132"/>
      <c r="J70" s="132"/>
      <c r="K70" s="132"/>
      <c r="L70" s="132"/>
      <c r="M70" s="132"/>
      <c r="N70" s="132"/>
      <c r="O70" s="132"/>
      <c r="P70" s="125"/>
      <c r="Q70" s="125"/>
      <c r="R70" s="4">
        <f>SUM(MC[[#This Row],[ICR1]:[ICR12]])</f>
        <v>0</v>
      </c>
      <c r="S70" s="132"/>
      <c r="T70" s="132"/>
      <c r="U70" s="132"/>
      <c r="V70" s="132"/>
      <c r="W70" s="132"/>
      <c r="X70" s="132"/>
      <c r="Y70" s="132"/>
    </row>
    <row r="71" spans="1:25">
      <c r="A71" s="132">
        <v>69</v>
      </c>
      <c r="B71" s="126">
        <f t="shared" si="1"/>
        <v>45757</v>
      </c>
      <c r="C71" s="127">
        <f>YEAR(MC[[#This Row],[Date]])+IF(MONTH(MC[[#This Row],[Date]])&gt;=4,1,0)</f>
        <v>2026</v>
      </c>
      <c r="D71" s="128">
        <f>YEAR(MC[[#This Row],[Date]])</f>
        <v>2025</v>
      </c>
      <c r="E71" s="287" t="s">
        <v>156</v>
      </c>
      <c r="F71" s="287" t="s">
        <v>156</v>
      </c>
      <c r="G71" s="129" t="str">
        <f>TEXT(MC[[#This Row],[Date]],"mmm-yy")</f>
        <v>Apr-25</v>
      </c>
      <c r="H71" s="129">
        <f>DAY(EOMONTH(MC[[#This Row],[Month Year]],0))</f>
        <v>30</v>
      </c>
      <c r="I71" s="132"/>
      <c r="J71" s="132"/>
      <c r="K71" s="132"/>
      <c r="L71" s="132"/>
      <c r="M71" s="132"/>
      <c r="N71" s="132"/>
      <c r="O71" s="132"/>
      <c r="P71" s="125"/>
      <c r="Q71" s="125"/>
      <c r="R71" s="4">
        <f>SUM(MC[[#This Row],[ICR1]:[ICR12]])</f>
        <v>0</v>
      </c>
      <c r="S71" s="132"/>
      <c r="T71" s="132"/>
      <c r="U71" s="132"/>
      <c r="V71" s="132"/>
      <c r="W71" s="132"/>
      <c r="X71" s="132"/>
      <c r="Y71" s="132"/>
    </row>
    <row r="72" spans="1:25">
      <c r="A72" s="132">
        <v>70</v>
      </c>
      <c r="B72" s="126">
        <f t="shared" si="1"/>
        <v>45758</v>
      </c>
      <c r="C72" s="127">
        <f>YEAR(MC[[#This Row],[Date]])+IF(MONTH(MC[[#This Row],[Date]])&gt;=4,1,0)</f>
        <v>2026</v>
      </c>
      <c r="D72" s="128">
        <f>YEAR(MC[[#This Row],[Date]])</f>
        <v>2025</v>
      </c>
      <c r="E72" s="287" t="s">
        <v>156</v>
      </c>
      <c r="F72" s="287" t="s">
        <v>156</v>
      </c>
      <c r="G72" s="129" t="str">
        <f>TEXT(MC[[#This Row],[Date]],"mmm-yy")</f>
        <v>Apr-25</v>
      </c>
      <c r="H72" s="129">
        <f>DAY(EOMONTH(MC[[#This Row],[Month Year]],0))</f>
        <v>30</v>
      </c>
      <c r="I72" s="132"/>
      <c r="J72" s="132"/>
      <c r="K72" s="132"/>
      <c r="L72" s="132"/>
      <c r="M72" s="132"/>
      <c r="N72" s="132"/>
      <c r="O72" s="132"/>
      <c r="P72" s="125"/>
      <c r="Q72" s="125"/>
      <c r="R72" s="4">
        <f>SUM(MC[[#This Row],[ICR1]:[ICR12]])</f>
        <v>0</v>
      </c>
      <c r="S72" s="132"/>
      <c r="T72" s="132"/>
      <c r="U72" s="132"/>
      <c r="V72" s="132"/>
      <c r="W72" s="132"/>
      <c r="X72" s="132"/>
      <c r="Y72" s="132"/>
    </row>
    <row r="73" spans="1:25">
      <c r="A73" s="132">
        <v>71</v>
      </c>
      <c r="B73" s="126">
        <f t="shared" si="1"/>
        <v>45759</v>
      </c>
      <c r="C73" s="127">
        <f>YEAR(MC[[#This Row],[Date]])+IF(MONTH(MC[[#This Row],[Date]])&gt;=4,1,0)</f>
        <v>2026</v>
      </c>
      <c r="D73" s="128">
        <f>YEAR(MC[[#This Row],[Date]])</f>
        <v>2025</v>
      </c>
      <c r="E73" s="287" t="s">
        <v>156</v>
      </c>
      <c r="F73" s="287" t="s">
        <v>156</v>
      </c>
      <c r="G73" s="129" t="str">
        <f>TEXT(MC[[#This Row],[Date]],"mmm-yy")</f>
        <v>Apr-25</v>
      </c>
      <c r="H73" s="129">
        <f>DAY(EOMONTH(MC[[#This Row],[Month Year]],0))</f>
        <v>30</v>
      </c>
      <c r="I73" s="132"/>
      <c r="J73" s="132"/>
      <c r="K73" s="132"/>
      <c r="L73" s="132"/>
      <c r="M73" s="132"/>
      <c r="N73" s="132"/>
      <c r="O73" s="132"/>
      <c r="P73" s="125"/>
      <c r="Q73" s="125"/>
      <c r="R73" s="4">
        <f>SUM(MC[[#This Row],[ICR1]:[ICR12]])</f>
        <v>0</v>
      </c>
      <c r="S73" s="132"/>
      <c r="T73" s="132"/>
      <c r="U73" s="132"/>
      <c r="V73" s="132"/>
      <c r="W73" s="132"/>
      <c r="X73" s="132"/>
      <c r="Y73" s="132"/>
    </row>
    <row r="74" spans="1:25">
      <c r="A74" s="132">
        <v>72</v>
      </c>
      <c r="B74" s="126">
        <f t="shared" si="1"/>
        <v>45760</v>
      </c>
      <c r="C74" s="127">
        <f>YEAR(MC[[#This Row],[Date]])+IF(MONTH(MC[[#This Row],[Date]])&gt;=4,1,0)</f>
        <v>2026</v>
      </c>
      <c r="D74" s="128">
        <f>YEAR(MC[[#This Row],[Date]])</f>
        <v>2025</v>
      </c>
      <c r="E74" s="287" t="s">
        <v>156</v>
      </c>
      <c r="F74" s="287" t="s">
        <v>156</v>
      </c>
      <c r="G74" s="129" t="str">
        <f>TEXT(MC[[#This Row],[Date]],"mmm-yy")</f>
        <v>Apr-25</v>
      </c>
      <c r="H74" s="129">
        <f>DAY(EOMONTH(MC[[#This Row],[Month Year]],0))</f>
        <v>30</v>
      </c>
      <c r="I74" s="132"/>
      <c r="J74" s="132"/>
      <c r="K74" s="132"/>
      <c r="L74" s="132"/>
      <c r="M74" s="132"/>
      <c r="N74" s="132"/>
      <c r="O74" s="132"/>
      <c r="P74" s="125"/>
      <c r="Q74" s="125"/>
      <c r="R74" s="4">
        <f>SUM(MC[[#This Row],[ICR1]:[ICR12]])</f>
        <v>0</v>
      </c>
      <c r="S74" s="132"/>
      <c r="T74" s="132"/>
      <c r="U74" s="132"/>
      <c r="V74" s="132"/>
      <c r="W74" s="132"/>
      <c r="X74" s="132"/>
      <c r="Y74" s="132"/>
    </row>
    <row r="75" spans="1:25">
      <c r="A75" s="132">
        <v>73</v>
      </c>
      <c r="B75" s="126">
        <f t="shared" si="1"/>
        <v>45761</v>
      </c>
      <c r="C75" s="127">
        <f>YEAR(MC[[#This Row],[Date]])+IF(MONTH(MC[[#This Row],[Date]])&gt;=4,1,0)</f>
        <v>2026</v>
      </c>
      <c r="D75" s="128">
        <f>YEAR(MC[[#This Row],[Date]])</f>
        <v>2025</v>
      </c>
      <c r="E75" s="287" t="s">
        <v>156</v>
      </c>
      <c r="F75" s="287" t="s">
        <v>156</v>
      </c>
      <c r="G75" s="129" t="str">
        <f>TEXT(MC[[#This Row],[Date]],"mmm-yy")</f>
        <v>Apr-25</v>
      </c>
      <c r="H75" s="129">
        <f>DAY(EOMONTH(MC[[#This Row],[Month Year]],0))</f>
        <v>30</v>
      </c>
      <c r="I75" s="132"/>
      <c r="J75" s="132"/>
      <c r="K75" s="132"/>
      <c r="L75" s="132"/>
      <c r="M75" s="132"/>
      <c r="N75" s="132"/>
      <c r="O75" s="132"/>
      <c r="P75" s="125"/>
      <c r="Q75" s="125"/>
      <c r="R75" s="4">
        <f>SUM(MC[[#This Row],[ICR1]:[ICR12]])</f>
        <v>0</v>
      </c>
      <c r="S75" s="132"/>
      <c r="T75" s="132"/>
      <c r="U75" s="132"/>
      <c r="V75" s="132"/>
      <c r="W75" s="132"/>
      <c r="X75" s="132"/>
      <c r="Y75" s="132"/>
    </row>
    <row r="76" spans="1:25">
      <c r="A76" s="132">
        <v>74</v>
      </c>
      <c r="B76" s="126">
        <f t="shared" si="1"/>
        <v>45762</v>
      </c>
      <c r="C76" s="127">
        <f>YEAR(MC[[#This Row],[Date]])+IF(MONTH(MC[[#This Row],[Date]])&gt;=4,1,0)</f>
        <v>2026</v>
      </c>
      <c r="D76" s="128">
        <f>YEAR(MC[[#This Row],[Date]])</f>
        <v>2025</v>
      </c>
      <c r="E76" s="287" t="s">
        <v>156</v>
      </c>
      <c r="F76" s="287" t="s">
        <v>156</v>
      </c>
      <c r="G76" s="129" t="str">
        <f>TEXT(MC[[#This Row],[Date]],"mmm-yy")</f>
        <v>Apr-25</v>
      </c>
      <c r="H76" s="129">
        <f>DAY(EOMONTH(MC[[#This Row],[Month Year]],0))</f>
        <v>30</v>
      </c>
      <c r="I76" s="132"/>
      <c r="J76" s="132"/>
      <c r="K76" s="132"/>
      <c r="L76" s="132"/>
      <c r="M76" s="132"/>
      <c r="N76" s="132"/>
      <c r="O76" s="132"/>
      <c r="P76" s="125"/>
      <c r="Q76" s="125"/>
      <c r="R76" s="4">
        <f>SUM(MC[[#This Row],[ICR1]:[ICR12]])</f>
        <v>0</v>
      </c>
      <c r="S76" s="133"/>
      <c r="T76" s="132"/>
      <c r="U76" s="132"/>
      <c r="V76" s="133"/>
      <c r="W76" s="132"/>
      <c r="X76" s="132"/>
      <c r="Y76" s="132"/>
    </row>
    <row r="77" spans="1:25">
      <c r="A77" s="132">
        <v>75</v>
      </c>
      <c r="B77" s="126">
        <f t="shared" si="1"/>
        <v>45763</v>
      </c>
      <c r="C77" s="127">
        <f>YEAR(MC[[#This Row],[Date]])+IF(MONTH(MC[[#This Row],[Date]])&gt;=4,1,0)</f>
        <v>2026</v>
      </c>
      <c r="D77" s="128">
        <f>YEAR(MC[[#This Row],[Date]])</f>
        <v>2025</v>
      </c>
      <c r="E77" s="287" t="s">
        <v>156</v>
      </c>
      <c r="F77" s="287" t="s">
        <v>156</v>
      </c>
      <c r="G77" s="129" t="str">
        <f>TEXT(MC[[#This Row],[Date]],"mmm-yy")</f>
        <v>Apr-25</v>
      </c>
      <c r="H77" s="129">
        <f>DAY(EOMONTH(MC[[#This Row],[Month Year]],0))</f>
        <v>30</v>
      </c>
      <c r="I77" s="132"/>
      <c r="J77" s="132"/>
      <c r="K77" s="132"/>
      <c r="L77" s="132"/>
      <c r="M77" s="132"/>
      <c r="N77" s="132"/>
      <c r="O77" s="132"/>
      <c r="P77" s="125"/>
      <c r="Q77" s="125"/>
      <c r="R77" s="4">
        <f>SUM(MC[[#This Row],[ICR1]:[ICR12]])</f>
        <v>0</v>
      </c>
      <c r="S77" s="133"/>
      <c r="T77" s="132"/>
      <c r="U77" s="132"/>
      <c r="V77" s="133"/>
      <c r="W77" s="132"/>
      <c r="X77" s="132"/>
      <c r="Y77" s="132"/>
    </row>
    <row r="78" spans="1:25">
      <c r="A78" s="132">
        <v>76</v>
      </c>
      <c r="B78" s="126">
        <f t="shared" si="1"/>
        <v>45764</v>
      </c>
      <c r="C78" s="127">
        <f>YEAR(MC[[#This Row],[Date]])+IF(MONTH(MC[[#This Row],[Date]])&gt;=4,1,0)</f>
        <v>2026</v>
      </c>
      <c r="D78" s="128">
        <f>YEAR(MC[[#This Row],[Date]])</f>
        <v>2025</v>
      </c>
      <c r="E78" s="287" t="s">
        <v>156</v>
      </c>
      <c r="F78" s="287" t="s">
        <v>156</v>
      </c>
      <c r="G78" s="129" t="str">
        <f>TEXT(MC[[#This Row],[Date]],"mmm-yy")</f>
        <v>Apr-25</v>
      </c>
      <c r="H78" s="129">
        <f>DAY(EOMONTH(MC[[#This Row],[Month Year]],0))</f>
        <v>30</v>
      </c>
      <c r="I78" s="132"/>
      <c r="J78" s="132"/>
      <c r="K78" s="132"/>
      <c r="L78" s="132"/>
      <c r="M78" s="132"/>
      <c r="N78" s="132"/>
      <c r="O78" s="132"/>
      <c r="P78" s="125"/>
      <c r="Q78" s="125"/>
      <c r="R78" s="4">
        <f>SUM(MC[[#This Row],[ICR1]:[ICR12]])</f>
        <v>0</v>
      </c>
      <c r="S78" s="132"/>
      <c r="T78" s="132"/>
      <c r="U78" s="132"/>
      <c r="V78" s="132"/>
      <c r="W78" s="132"/>
      <c r="X78" s="132"/>
      <c r="Y78" s="132"/>
    </row>
    <row r="79" spans="1:25">
      <c r="A79" s="132">
        <v>77</v>
      </c>
      <c r="B79" s="126">
        <f t="shared" si="1"/>
        <v>45765</v>
      </c>
      <c r="C79" s="127">
        <f>YEAR(MC[[#This Row],[Date]])+IF(MONTH(MC[[#This Row],[Date]])&gt;=4,1,0)</f>
        <v>2026</v>
      </c>
      <c r="D79" s="128">
        <f>YEAR(MC[[#This Row],[Date]])</f>
        <v>2025</v>
      </c>
      <c r="E79" s="287" t="s">
        <v>156</v>
      </c>
      <c r="F79" s="287" t="s">
        <v>156</v>
      </c>
      <c r="G79" s="129" t="str">
        <f>TEXT(MC[[#This Row],[Date]],"mmm-yy")</f>
        <v>Apr-25</v>
      </c>
      <c r="H79" s="129">
        <f>DAY(EOMONTH(MC[[#This Row],[Month Year]],0))</f>
        <v>30</v>
      </c>
      <c r="I79" s="132"/>
      <c r="J79" s="132"/>
      <c r="K79" s="132"/>
      <c r="L79" s="132"/>
      <c r="M79" s="132"/>
      <c r="N79" s="132"/>
      <c r="O79" s="132"/>
      <c r="P79" s="125"/>
      <c r="Q79" s="125"/>
      <c r="R79" s="4">
        <f>SUM(MC[[#This Row],[ICR1]:[ICR12]])</f>
        <v>0</v>
      </c>
      <c r="S79" s="132"/>
      <c r="T79" s="132"/>
      <c r="U79" s="132"/>
      <c r="V79" s="132"/>
      <c r="W79" s="132"/>
      <c r="X79" s="132"/>
      <c r="Y79" s="132"/>
    </row>
    <row r="80" spans="1:25">
      <c r="A80" s="132">
        <v>78</v>
      </c>
      <c r="B80" s="126">
        <f t="shared" si="1"/>
        <v>45766</v>
      </c>
      <c r="C80" s="127">
        <f>YEAR(MC[[#This Row],[Date]])+IF(MONTH(MC[[#This Row],[Date]])&gt;=4,1,0)</f>
        <v>2026</v>
      </c>
      <c r="D80" s="128">
        <f>YEAR(MC[[#This Row],[Date]])</f>
        <v>2025</v>
      </c>
      <c r="E80" s="287" t="s">
        <v>156</v>
      </c>
      <c r="F80" s="287" t="s">
        <v>156</v>
      </c>
      <c r="G80" s="129" t="str">
        <f>TEXT(MC[[#This Row],[Date]],"mmm-yy")</f>
        <v>Apr-25</v>
      </c>
      <c r="H80" s="129">
        <f>DAY(EOMONTH(MC[[#This Row],[Month Year]],0))</f>
        <v>30</v>
      </c>
      <c r="I80" s="132"/>
      <c r="J80" s="132"/>
      <c r="K80" s="132"/>
      <c r="L80" s="132"/>
      <c r="M80" s="132"/>
      <c r="N80" s="132"/>
      <c r="O80" s="132"/>
      <c r="P80" s="125"/>
      <c r="Q80" s="125"/>
      <c r="R80" s="4">
        <f>SUM(MC[[#This Row],[ICR1]:[ICR12]])</f>
        <v>0</v>
      </c>
      <c r="S80" s="133"/>
      <c r="T80" s="132"/>
      <c r="U80" s="132"/>
      <c r="V80" s="133"/>
      <c r="W80" s="132"/>
      <c r="X80" s="132"/>
      <c r="Y80" s="132"/>
    </row>
    <row r="81" spans="1:25">
      <c r="A81" s="132">
        <v>79</v>
      </c>
      <c r="B81" s="126">
        <f t="shared" si="1"/>
        <v>45767</v>
      </c>
      <c r="C81" s="127">
        <f>YEAR(MC[[#This Row],[Date]])+IF(MONTH(MC[[#This Row],[Date]])&gt;=4,1,0)</f>
        <v>2026</v>
      </c>
      <c r="D81" s="128">
        <f>YEAR(MC[[#This Row],[Date]])</f>
        <v>2025</v>
      </c>
      <c r="E81" s="287" t="s">
        <v>156</v>
      </c>
      <c r="F81" s="287" t="s">
        <v>156</v>
      </c>
      <c r="G81" s="129" t="str">
        <f>TEXT(MC[[#This Row],[Date]],"mmm-yy")</f>
        <v>Apr-25</v>
      </c>
      <c r="H81" s="129">
        <f>DAY(EOMONTH(MC[[#This Row],[Month Year]],0))</f>
        <v>30</v>
      </c>
      <c r="I81" s="132"/>
      <c r="J81" s="132"/>
      <c r="K81" s="132"/>
      <c r="L81" s="132"/>
      <c r="M81" s="132"/>
      <c r="N81" s="132"/>
      <c r="O81" s="132"/>
      <c r="P81" s="125"/>
      <c r="Q81" s="125"/>
      <c r="R81" s="4">
        <f>SUM(MC[[#This Row],[ICR1]:[ICR12]])</f>
        <v>0</v>
      </c>
      <c r="S81" s="132"/>
      <c r="T81" s="132"/>
      <c r="U81" s="132"/>
      <c r="V81" s="132"/>
      <c r="W81" s="132"/>
      <c r="X81" s="132"/>
      <c r="Y81" s="132"/>
    </row>
    <row r="82" spans="1:25">
      <c r="A82" s="132">
        <v>80</v>
      </c>
      <c r="B82" s="126">
        <f t="shared" si="1"/>
        <v>45768</v>
      </c>
      <c r="C82" s="127">
        <f>YEAR(MC[[#This Row],[Date]])+IF(MONTH(MC[[#This Row],[Date]])&gt;=4,1,0)</f>
        <v>2026</v>
      </c>
      <c r="D82" s="128">
        <f>YEAR(MC[[#This Row],[Date]])</f>
        <v>2025</v>
      </c>
      <c r="E82" s="287" t="s">
        <v>156</v>
      </c>
      <c r="F82" s="287" t="s">
        <v>156</v>
      </c>
      <c r="G82" s="129" t="str">
        <f>TEXT(MC[[#This Row],[Date]],"mmm-yy")</f>
        <v>Apr-25</v>
      </c>
      <c r="H82" s="129">
        <f>DAY(EOMONTH(MC[[#This Row],[Month Year]],0))</f>
        <v>30</v>
      </c>
      <c r="I82" s="132"/>
      <c r="J82" s="132"/>
      <c r="K82" s="132"/>
      <c r="L82" s="132"/>
      <c r="M82" s="132"/>
      <c r="N82" s="132"/>
      <c r="O82" s="132"/>
      <c r="P82" s="125"/>
      <c r="Q82" s="125"/>
      <c r="R82" s="4">
        <f>SUM(MC[[#This Row],[ICR1]:[ICR12]])</f>
        <v>0</v>
      </c>
      <c r="S82" s="132"/>
      <c r="T82" s="132"/>
      <c r="U82" s="132"/>
      <c r="V82" s="132"/>
      <c r="W82" s="132"/>
      <c r="X82" s="132"/>
      <c r="Y82" s="132"/>
    </row>
    <row r="83" spans="1:25">
      <c r="A83" s="132">
        <v>81</v>
      </c>
      <c r="B83" s="126">
        <f t="shared" si="1"/>
        <v>45769</v>
      </c>
      <c r="C83" s="127">
        <f>YEAR(MC[[#This Row],[Date]])+IF(MONTH(MC[[#This Row],[Date]])&gt;=4,1,0)</f>
        <v>2026</v>
      </c>
      <c r="D83" s="128">
        <f>YEAR(MC[[#This Row],[Date]])</f>
        <v>2025</v>
      </c>
      <c r="E83" s="287" t="s">
        <v>156</v>
      </c>
      <c r="F83" s="287" t="s">
        <v>156</v>
      </c>
      <c r="G83" s="129" t="str">
        <f>TEXT(MC[[#This Row],[Date]],"mmm-yy")</f>
        <v>Apr-25</v>
      </c>
      <c r="H83" s="129">
        <f>DAY(EOMONTH(MC[[#This Row],[Month Year]],0))</f>
        <v>30</v>
      </c>
      <c r="I83" s="132"/>
      <c r="J83" s="132"/>
      <c r="K83" s="132"/>
      <c r="L83" s="132"/>
      <c r="M83" s="132"/>
      <c r="N83" s="132"/>
      <c r="O83" s="132"/>
      <c r="P83" s="125"/>
      <c r="Q83" s="125"/>
      <c r="R83" s="4">
        <f>SUM(MC[[#This Row],[ICR1]:[ICR12]])</f>
        <v>0</v>
      </c>
      <c r="S83" s="132"/>
      <c r="T83" s="132"/>
      <c r="U83" s="132"/>
      <c r="V83" s="132"/>
      <c r="W83" s="132"/>
      <c r="X83" s="132"/>
      <c r="Y83" s="132"/>
    </row>
    <row r="84" spans="1:25">
      <c r="A84" s="132">
        <v>82</v>
      </c>
      <c r="B84" s="126">
        <f t="shared" si="1"/>
        <v>45770</v>
      </c>
      <c r="C84" s="127">
        <f>YEAR(MC[[#This Row],[Date]])+IF(MONTH(MC[[#This Row],[Date]])&gt;=4,1,0)</f>
        <v>2026</v>
      </c>
      <c r="D84" s="128">
        <f>YEAR(MC[[#This Row],[Date]])</f>
        <v>2025</v>
      </c>
      <c r="E84" s="287" t="s">
        <v>156</v>
      </c>
      <c r="F84" s="287" t="s">
        <v>156</v>
      </c>
      <c r="G84" s="129" t="str">
        <f>TEXT(MC[[#This Row],[Date]],"mmm-yy")</f>
        <v>Apr-25</v>
      </c>
      <c r="H84" s="129">
        <f>DAY(EOMONTH(MC[[#This Row],[Month Year]],0))</f>
        <v>30</v>
      </c>
      <c r="I84" s="132"/>
      <c r="J84" s="132"/>
      <c r="K84" s="132"/>
      <c r="L84" s="132"/>
      <c r="M84" s="132"/>
      <c r="N84" s="132"/>
      <c r="O84" s="132"/>
      <c r="P84" s="125"/>
      <c r="Q84" s="125"/>
      <c r="R84" s="4">
        <f>SUM(MC[[#This Row],[ICR1]:[ICR12]])</f>
        <v>0</v>
      </c>
      <c r="S84" s="132"/>
      <c r="T84" s="132"/>
      <c r="U84" s="132"/>
      <c r="V84" s="132"/>
      <c r="W84" s="132"/>
      <c r="X84" s="132"/>
      <c r="Y84" s="132"/>
    </row>
    <row r="85" spans="1:25">
      <c r="A85" s="132">
        <v>83</v>
      </c>
      <c r="B85" s="126">
        <f t="shared" si="1"/>
        <v>45771</v>
      </c>
      <c r="C85" s="127">
        <f>YEAR(MC[[#This Row],[Date]])+IF(MONTH(MC[[#This Row],[Date]])&gt;=4,1,0)</f>
        <v>2026</v>
      </c>
      <c r="D85" s="128">
        <f>YEAR(MC[[#This Row],[Date]])</f>
        <v>2025</v>
      </c>
      <c r="E85" s="287" t="s">
        <v>156</v>
      </c>
      <c r="F85" s="287" t="s">
        <v>156</v>
      </c>
      <c r="G85" s="129" t="str">
        <f>TEXT(MC[[#This Row],[Date]],"mmm-yy")</f>
        <v>Apr-25</v>
      </c>
      <c r="H85" s="129">
        <f>DAY(EOMONTH(MC[[#This Row],[Month Year]],0))</f>
        <v>30</v>
      </c>
      <c r="I85" s="132"/>
      <c r="J85" s="132"/>
      <c r="K85" s="132"/>
      <c r="L85" s="132"/>
      <c r="M85" s="132"/>
      <c r="N85" s="132"/>
      <c r="O85" s="132"/>
      <c r="P85" s="125"/>
      <c r="Q85" s="125"/>
      <c r="R85" s="4">
        <f>SUM(MC[[#This Row],[ICR1]:[ICR12]])</f>
        <v>0</v>
      </c>
      <c r="S85" s="132"/>
      <c r="T85" s="132"/>
      <c r="U85" s="132"/>
      <c r="V85" s="132"/>
      <c r="W85" s="132"/>
      <c r="X85" s="132"/>
      <c r="Y85" s="132"/>
    </row>
    <row r="86" spans="1:25">
      <c r="A86" s="132">
        <v>84</v>
      </c>
      <c r="B86" s="126">
        <f t="shared" si="1"/>
        <v>45772</v>
      </c>
      <c r="C86" s="127">
        <f>YEAR(MC[[#This Row],[Date]])+IF(MONTH(MC[[#This Row],[Date]])&gt;=4,1,0)</f>
        <v>2026</v>
      </c>
      <c r="D86" s="128">
        <f>YEAR(MC[[#This Row],[Date]])</f>
        <v>2025</v>
      </c>
      <c r="E86" s="287" t="s">
        <v>156</v>
      </c>
      <c r="F86" s="287" t="s">
        <v>156</v>
      </c>
      <c r="G86" s="129" t="str">
        <f>TEXT(MC[[#This Row],[Date]],"mmm-yy")</f>
        <v>Apr-25</v>
      </c>
      <c r="H86" s="129">
        <f>DAY(EOMONTH(MC[[#This Row],[Month Year]],0))</f>
        <v>30</v>
      </c>
      <c r="I86" s="132"/>
      <c r="J86" s="132"/>
      <c r="K86" s="132"/>
      <c r="L86" s="132"/>
      <c r="M86" s="132"/>
      <c r="N86" s="132"/>
      <c r="O86" s="132"/>
      <c r="P86" s="125"/>
      <c r="Q86" s="125"/>
      <c r="R86" s="4">
        <f>SUM(MC[[#This Row],[ICR1]:[ICR12]])</f>
        <v>0</v>
      </c>
      <c r="S86" s="133"/>
      <c r="T86" s="132"/>
      <c r="U86" s="132"/>
      <c r="V86" s="133"/>
      <c r="W86" s="132"/>
      <c r="X86" s="132"/>
      <c r="Y86" s="132"/>
    </row>
    <row r="87" spans="1:25">
      <c r="A87" s="132">
        <v>85</v>
      </c>
      <c r="B87" s="126">
        <f t="shared" si="1"/>
        <v>45773</v>
      </c>
      <c r="C87" s="127">
        <f>YEAR(MC[[#This Row],[Date]])+IF(MONTH(MC[[#This Row],[Date]])&gt;=4,1,0)</f>
        <v>2026</v>
      </c>
      <c r="D87" s="128">
        <f>YEAR(MC[[#This Row],[Date]])</f>
        <v>2025</v>
      </c>
      <c r="E87" s="287" t="s">
        <v>156</v>
      </c>
      <c r="F87" s="287" t="s">
        <v>156</v>
      </c>
      <c r="G87" s="129" t="str">
        <f>TEXT(MC[[#This Row],[Date]],"mmm-yy")</f>
        <v>Apr-25</v>
      </c>
      <c r="H87" s="129">
        <f>DAY(EOMONTH(MC[[#This Row],[Month Year]],0))</f>
        <v>30</v>
      </c>
      <c r="I87" s="132"/>
      <c r="J87" s="132"/>
      <c r="K87" s="132"/>
      <c r="L87" s="132"/>
      <c r="M87" s="132"/>
      <c r="N87" s="132"/>
      <c r="O87" s="132"/>
      <c r="P87" s="125"/>
      <c r="Q87" s="125"/>
      <c r="R87" s="4">
        <f>SUM(MC[[#This Row],[ICR1]:[ICR12]])</f>
        <v>0</v>
      </c>
      <c r="S87" s="133"/>
      <c r="T87" s="132"/>
      <c r="U87" s="132"/>
      <c r="V87" s="133"/>
      <c r="W87" s="132"/>
      <c r="X87" s="132"/>
      <c r="Y87" s="132"/>
    </row>
    <row r="88" spans="1:25">
      <c r="A88" s="132">
        <v>86</v>
      </c>
      <c r="B88" s="126">
        <f t="shared" si="1"/>
        <v>45774</v>
      </c>
      <c r="C88" s="127">
        <f>YEAR(MC[[#This Row],[Date]])+IF(MONTH(MC[[#This Row],[Date]])&gt;=4,1,0)</f>
        <v>2026</v>
      </c>
      <c r="D88" s="128">
        <f>YEAR(MC[[#This Row],[Date]])</f>
        <v>2025</v>
      </c>
      <c r="E88" s="287" t="s">
        <v>156</v>
      </c>
      <c r="F88" s="287" t="s">
        <v>156</v>
      </c>
      <c r="G88" s="129" t="str">
        <f>TEXT(MC[[#This Row],[Date]],"mmm-yy")</f>
        <v>Apr-25</v>
      </c>
      <c r="H88" s="129">
        <f>DAY(EOMONTH(MC[[#This Row],[Month Year]],0))</f>
        <v>30</v>
      </c>
      <c r="I88" s="132"/>
      <c r="J88" s="132"/>
      <c r="K88" s="132"/>
      <c r="L88" s="132"/>
      <c r="M88" s="132"/>
      <c r="N88" s="132"/>
      <c r="O88" s="132"/>
      <c r="P88" s="125"/>
      <c r="Q88" s="125"/>
      <c r="R88" s="4">
        <f>SUM(MC[[#This Row],[ICR1]:[ICR12]])</f>
        <v>0</v>
      </c>
      <c r="S88" s="132"/>
      <c r="T88" s="132"/>
      <c r="U88" s="132"/>
      <c r="V88" s="132"/>
      <c r="W88" s="132"/>
      <c r="X88" s="132"/>
      <c r="Y88" s="132"/>
    </row>
    <row r="89" spans="1:25">
      <c r="A89" s="132">
        <v>87</v>
      </c>
      <c r="B89" s="126">
        <f t="shared" si="1"/>
        <v>45775</v>
      </c>
      <c r="C89" s="127">
        <f>YEAR(MC[[#This Row],[Date]])+IF(MONTH(MC[[#This Row],[Date]])&gt;=4,1,0)</f>
        <v>2026</v>
      </c>
      <c r="D89" s="128">
        <f>YEAR(MC[[#This Row],[Date]])</f>
        <v>2025</v>
      </c>
      <c r="E89" s="287" t="s">
        <v>156</v>
      </c>
      <c r="F89" s="287" t="s">
        <v>156</v>
      </c>
      <c r="G89" s="129" t="str">
        <f>TEXT(MC[[#This Row],[Date]],"mmm-yy")</f>
        <v>Apr-25</v>
      </c>
      <c r="H89" s="129">
        <f>DAY(EOMONTH(MC[[#This Row],[Month Year]],0))</f>
        <v>30</v>
      </c>
      <c r="I89" s="132"/>
      <c r="J89" s="132"/>
      <c r="K89" s="132"/>
      <c r="L89" s="132"/>
      <c r="M89" s="132"/>
      <c r="N89" s="132"/>
      <c r="O89" s="132"/>
      <c r="P89" s="125"/>
      <c r="Q89" s="125"/>
      <c r="R89" s="4">
        <f>SUM(MC[[#This Row],[ICR1]:[ICR12]])</f>
        <v>0</v>
      </c>
      <c r="S89" s="132"/>
      <c r="T89" s="132"/>
      <c r="U89" s="132"/>
      <c r="V89" s="132"/>
      <c r="W89" s="132"/>
      <c r="X89" s="132"/>
      <c r="Y89" s="132"/>
    </row>
    <row r="90" spans="1:25">
      <c r="A90" s="132">
        <v>88</v>
      </c>
      <c r="B90" s="126">
        <f t="shared" si="1"/>
        <v>45776</v>
      </c>
      <c r="C90" s="127">
        <f>YEAR(MC[[#This Row],[Date]])+IF(MONTH(MC[[#This Row],[Date]])&gt;=4,1,0)</f>
        <v>2026</v>
      </c>
      <c r="D90" s="128">
        <f>YEAR(MC[[#This Row],[Date]])</f>
        <v>2025</v>
      </c>
      <c r="E90" s="287" t="s">
        <v>156</v>
      </c>
      <c r="F90" s="287" t="s">
        <v>156</v>
      </c>
      <c r="G90" s="129" t="str">
        <f>TEXT(MC[[#This Row],[Date]],"mmm-yy")</f>
        <v>Apr-25</v>
      </c>
      <c r="H90" s="129">
        <f>DAY(EOMONTH(MC[[#This Row],[Month Year]],0))</f>
        <v>30</v>
      </c>
      <c r="I90" s="132"/>
      <c r="J90" s="132"/>
      <c r="K90" s="132"/>
      <c r="L90" s="132"/>
      <c r="M90" s="132"/>
      <c r="N90" s="132"/>
      <c r="O90" s="132"/>
      <c r="P90" s="125"/>
      <c r="Q90" s="125"/>
      <c r="R90" s="4">
        <f>SUM(MC[[#This Row],[ICR1]:[ICR12]])</f>
        <v>0</v>
      </c>
      <c r="S90" s="132"/>
      <c r="T90" s="132"/>
      <c r="U90" s="132"/>
      <c r="V90" s="132"/>
      <c r="W90" s="132"/>
      <c r="X90" s="132"/>
      <c r="Y90" s="132"/>
    </row>
    <row r="91" spans="1:25">
      <c r="A91" s="132">
        <v>89</v>
      </c>
      <c r="B91" s="126">
        <f t="shared" si="1"/>
        <v>45777</v>
      </c>
      <c r="C91" s="127">
        <f>YEAR(MC[[#This Row],[Date]])+IF(MONTH(MC[[#This Row],[Date]])&gt;=4,1,0)</f>
        <v>2026</v>
      </c>
      <c r="D91" s="128">
        <f>YEAR(MC[[#This Row],[Date]])</f>
        <v>2025</v>
      </c>
      <c r="E91" s="287" t="s">
        <v>156</v>
      </c>
      <c r="F91" s="287" t="s">
        <v>156</v>
      </c>
      <c r="G91" s="129" t="str">
        <f>TEXT(MC[[#This Row],[Date]],"mmm-yy")</f>
        <v>Apr-25</v>
      </c>
      <c r="H91" s="129">
        <f>DAY(EOMONTH(MC[[#This Row],[Month Year]],0))</f>
        <v>30</v>
      </c>
      <c r="I91" s="132"/>
      <c r="J91" s="132"/>
      <c r="K91" s="132"/>
      <c r="L91" s="132"/>
      <c r="M91" s="132"/>
      <c r="N91" s="132"/>
      <c r="O91" s="132"/>
      <c r="P91" s="125"/>
      <c r="Q91" s="125"/>
      <c r="R91" s="4">
        <f>SUM(MC[[#This Row],[ICR1]:[ICR12]])</f>
        <v>0</v>
      </c>
      <c r="S91" s="132"/>
      <c r="T91" s="132"/>
      <c r="U91" s="132"/>
      <c r="V91" s="132"/>
      <c r="W91" s="132"/>
      <c r="X91" s="132"/>
      <c r="Y91" s="132"/>
    </row>
    <row r="92" spans="1:25">
      <c r="A92" s="132">
        <v>90</v>
      </c>
      <c r="B92" s="126">
        <f t="shared" si="1"/>
        <v>45778</v>
      </c>
      <c r="C92" s="127">
        <f>YEAR(MC[[#This Row],[Date]])+IF(MONTH(MC[[#This Row],[Date]])&gt;=4,1,0)</f>
        <v>2026</v>
      </c>
      <c r="D92" s="128">
        <f>YEAR(MC[[#This Row],[Date]])</f>
        <v>2025</v>
      </c>
      <c r="E92" s="287" t="s">
        <v>156</v>
      </c>
      <c r="F92" s="287" t="s">
        <v>156</v>
      </c>
      <c r="G92" s="129" t="str">
        <f>TEXT(MC[[#This Row],[Date]],"mmm-yy")</f>
        <v>May-25</v>
      </c>
      <c r="H92" s="129">
        <f>DAY(EOMONTH(MC[[#This Row],[Month Year]],0))</f>
        <v>31</v>
      </c>
      <c r="I92" s="132"/>
      <c r="J92" s="132"/>
      <c r="K92" s="132"/>
      <c r="L92" s="132"/>
      <c r="M92" s="132"/>
      <c r="N92" s="132"/>
      <c r="O92" s="132"/>
      <c r="P92" s="125"/>
      <c r="Q92" s="125"/>
      <c r="R92" s="4">
        <f>SUM(MC[[#This Row],[ICR1]:[ICR12]])</f>
        <v>0</v>
      </c>
      <c r="S92" s="132"/>
      <c r="T92" s="132"/>
      <c r="U92" s="132"/>
      <c r="V92" s="132"/>
      <c r="W92" s="132"/>
      <c r="X92" s="132"/>
      <c r="Y92" s="132"/>
    </row>
    <row r="93" spans="1:25">
      <c r="A93" s="132">
        <v>91</v>
      </c>
      <c r="B93" s="126">
        <f t="shared" si="1"/>
        <v>45779</v>
      </c>
      <c r="C93" s="127">
        <f>YEAR(MC[[#This Row],[Date]])+IF(MONTH(MC[[#This Row],[Date]])&gt;=4,1,0)</f>
        <v>2026</v>
      </c>
      <c r="D93" s="128">
        <f>YEAR(MC[[#This Row],[Date]])</f>
        <v>2025</v>
      </c>
      <c r="E93" s="287" t="s">
        <v>156</v>
      </c>
      <c r="F93" s="287" t="s">
        <v>156</v>
      </c>
      <c r="G93" s="129" t="str">
        <f>TEXT(MC[[#This Row],[Date]],"mmm-yy")</f>
        <v>May-25</v>
      </c>
      <c r="H93" s="129">
        <f>DAY(EOMONTH(MC[[#This Row],[Month Year]],0))</f>
        <v>31</v>
      </c>
      <c r="I93" s="132"/>
      <c r="J93" s="132"/>
      <c r="K93" s="132"/>
      <c r="L93" s="132"/>
      <c r="M93" s="132"/>
      <c r="N93" s="132"/>
      <c r="O93" s="132"/>
      <c r="P93" s="125"/>
      <c r="Q93" s="125"/>
      <c r="R93" s="4">
        <f>SUM(MC[[#This Row],[ICR1]:[ICR12]])</f>
        <v>0</v>
      </c>
      <c r="S93" s="132"/>
      <c r="T93" s="132"/>
      <c r="U93" s="132"/>
      <c r="V93" s="132"/>
      <c r="W93" s="132"/>
      <c r="X93" s="132"/>
      <c r="Y93" s="132"/>
    </row>
    <row r="94" spans="1:25">
      <c r="A94" s="132">
        <v>92</v>
      </c>
      <c r="B94" s="126">
        <f t="shared" si="1"/>
        <v>45780</v>
      </c>
      <c r="C94" s="127">
        <f>YEAR(MC[[#This Row],[Date]])+IF(MONTH(MC[[#This Row],[Date]])&gt;=4,1,0)</f>
        <v>2026</v>
      </c>
      <c r="D94" s="128">
        <f>YEAR(MC[[#This Row],[Date]])</f>
        <v>2025</v>
      </c>
      <c r="E94" s="287" t="s">
        <v>156</v>
      </c>
      <c r="F94" s="287" t="s">
        <v>156</v>
      </c>
      <c r="G94" s="129" t="str">
        <f>TEXT(MC[[#This Row],[Date]],"mmm-yy")</f>
        <v>May-25</v>
      </c>
      <c r="H94" s="129">
        <f>DAY(EOMONTH(MC[[#This Row],[Month Year]],0))</f>
        <v>31</v>
      </c>
      <c r="I94" s="132"/>
      <c r="J94" s="132"/>
      <c r="K94" s="132"/>
      <c r="L94" s="132"/>
      <c r="M94" s="132"/>
      <c r="N94" s="132"/>
      <c r="O94" s="132"/>
      <c r="P94" s="125"/>
      <c r="Q94" s="125"/>
      <c r="R94" s="4">
        <f>SUM(MC[[#This Row],[ICR1]:[ICR12]])</f>
        <v>0</v>
      </c>
      <c r="S94" s="132"/>
      <c r="T94" s="132"/>
      <c r="U94" s="132"/>
      <c r="V94" s="132"/>
      <c r="W94" s="132"/>
      <c r="X94" s="132"/>
      <c r="Y94" s="132"/>
    </row>
    <row r="95" spans="1:25">
      <c r="A95" s="132">
        <v>93</v>
      </c>
      <c r="B95" s="126">
        <f t="shared" si="1"/>
        <v>45781</v>
      </c>
      <c r="C95" s="127">
        <f>YEAR(MC[[#This Row],[Date]])+IF(MONTH(MC[[#This Row],[Date]])&gt;=4,1,0)</f>
        <v>2026</v>
      </c>
      <c r="D95" s="128">
        <f>YEAR(MC[[#This Row],[Date]])</f>
        <v>2025</v>
      </c>
      <c r="E95" s="287" t="s">
        <v>156</v>
      </c>
      <c r="F95" s="287" t="s">
        <v>156</v>
      </c>
      <c r="G95" s="129" t="str">
        <f>TEXT(MC[[#This Row],[Date]],"mmm-yy")</f>
        <v>May-25</v>
      </c>
      <c r="H95" s="129">
        <f>DAY(EOMONTH(MC[[#This Row],[Month Year]],0))</f>
        <v>31</v>
      </c>
      <c r="I95" s="132"/>
      <c r="J95" s="132"/>
      <c r="K95" s="132"/>
      <c r="L95" s="132"/>
      <c r="M95" s="132"/>
      <c r="N95" s="132"/>
      <c r="O95" s="132"/>
      <c r="P95" s="125"/>
      <c r="Q95" s="125"/>
      <c r="R95" s="4">
        <f>SUM(MC[[#This Row],[ICR1]:[ICR12]])</f>
        <v>0</v>
      </c>
      <c r="S95" s="132"/>
      <c r="T95" s="132"/>
      <c r="U95" s="132"/>
      <c r="V95" s="132"/>
      <c r="W95" s="132"/>
      <c r="X95" s="132"/>
      <c r="Y95" s="132"/>
    </row>
    <row r="96" spans="1:25">
      <c r="A96" s="132">
        <v>94</v>
      </c>
      <c r="B96" s="126">
        <f t="shared" si="1"/>
        <v>45782</v>
      </c>
      <c r="C96" s="127">
        <f>YEAR(MC[[#This Row],[Date]])+IF(MONTH(MC[[#This Row],[Date]])&gt;=4,1,0)</f>
        <v>2026</v>
      </c>
      <c r="D96" s="128">
        <f>YEAR(MC[[#This Row],[Date]])</f>
        <v>2025</v>
      </c>
      <c r="E96" s="287" t="s">
        <v>156</v>
      </c>
      <c r="F96" s="287" t="s">
        <v>156</v>
      </c>
      <c r="G96" s="129" t="str">
        <f>TEXT(MC[[#This Row],[Date]],"mmm-yy")</f>
        <v>May-25</v>
      </c>
      <c r="H96" s="129">
        <f>DAY(EOMONTH(MC[[#This Row],[Month Year]],0))</f>
        <v>31</v>
      </c>
      <c r="I96" s="132"/>
      <c r="J96" s="132"/>
      <c r="K96" s="132"/>
      <c r="L96" s="132"/>
      <c r="M96" s="132"/>
      <c r="N96" s="132"/>
      <c r="O96" s="132"/>
      <c r="P96" s="125"/>
      <c r="Q96" s="125"/>
      <c r="R96" s="4">
        <f>SUM(MC[[#This Row],[ICR1]:[ICR12]])</f>
        <v>0</v>
      </c>
      <c r="S96" s="133"/>
      <c r="T96" s="132"/>
      <c r="U96" s="132"/>
      <c r="V96" s="133"/>
      <c r="W96" s="132"/>
      <c r="X96" s="132"/>
      <c r="Y96" s="132"/>
    </row>
    <row r="97" spans="1:25">
      <c r="A97" s="132">
        <v>95</v>
      </c>
      <c r="B97" s="126">
        <f t="shared" si="1"/>
        <v>45783</v>
      </c>
      <c r="C97" s="127">
        <f>YEAR(MC[[#This Row],[Date]])+IF(MONTH(MC[[#This Row],[Date]])&gt;=4,1,0)</f>
        <v>2026</v>
      </c>
      <c r="D97" s="128">
        <f>YEAR(MC[[#This Row],[Date]])</f>
        <v>2025</v>
      </c>
      <c r="E97" s="287" t="s">
        <v>156</v>
      </c>
      <c r="F97" s="287" t="s">
        <v>156</v>
      </c>
      <c r="G97" s="129" t="str">
        <f>TEXT(MC[[#This Row],[Date]],"mmm-yy")</f>
        <v>May-25</v>
      </c>
      <c r="H97" s="129">
        <f>DAY(EOMONTH(MC[[#This Row],[Month Year]],0))</f>
        <v>31</v>
      </c>
      <c r="I97" s="132"/>
      <c r="J97" s="132"/>
      <c r="K97" s="132"/>
      <c r="L97" s="132"/>
      <c r="M97" s="132"/>
      <c r="N97" s="132"/>
      <c r="O97" s="132"/>
      <c r="P97" s="125"/>
      <c r="Q97" s="125"/>
      <c r="R97" s="4">
        <f>SUM(MC[[#This Row],[ICR1]:[ICR12]])</f>
        <v>0</v>
      </c>
      <c r="S97" s="132"/>
      <c r="T97" s="132"/>
      <c r="U97" s="132"/>
      <c r="V97" s="132"/>
      <c r="W97" s="132"/>
      <c r="X97" s="132"/>
      <c r="Y97" s="132"/>
    </row>
    <row r="98" spans="1:25">
      <c r="A98" s="132">
        <v>96</v>
      </c>
      <c r="B98" s="126">
        <f t="shared" si="1"/>
        <v>45784</v>
      </c>
      <c r="C98" s="127">
        <f>YEAR(MC[[#This Row],[Date]])+IF(MONTH(MC[[#This Row],[Date]])&gt;=4,1,0)</f>
        <v>2026</v>
      </c>
      <c r="D98" s="128">
        <f>YEAR(MC[[#This Row],[Date]])</f>
        <v>2025</v>
      </c>
      <c r="E98" s="287" t="s">
        <v>156</v>
      </c>
      <c r="F98" s="287" t="s">
        <v>156</v>
      </c>
      <c r="G98" s="129" t="str">
        <f>TEXT(MC[[#This Row],[Date]],"mmm-yy")</f>
        <v>May-25</v>
      </c>
      <c r="H98" s="129">
        <f>DAY(EOMONTH(MC[[#This Row],[Month Year]],0))</f>
        <v>31</v>
      </c>
      <c r="I98" s="132"/>
      <c r="J98" s="132"/>
      <c r="K98" s="132"/>
      <c r="L98" s="132"/>
      <c r="M98" s="132"/>
      <c r="N98" s="132"/>
      <c r="O98" s="132"/>
      <c r="P98" s="125"/>
      <c r="Q98" s="125"/>
      <c r="R98" s="4">
        <f>SUM(MC[[#This Row],[ICR1]:[ICR12]])</f>
        <v>0</v>
      </c>
      <c r="S98" s="132"/>
      <c r="T98" s="132"/>
      <c r="U98" s="132"/>
      <c r="V98" s="132"/>
      <c r="W98" s="132"/>
      <c r="X98" s="132"/>
      <c r="Y98" s="132"/>
    </row>
    <row r="99" spans="1:25">
      <c r="A99" s="132">
        <v>97</v>
      </c>
      <c r="B99" s="126">
        <f t="shared" si="1"/>
        <v>45785</v>
      </c>
      <c r="C99" s="127">
        <f>YEAR(MC[[#This Row],[Date]])+IF(MONTH(MC[[#This Row],[Date]])&gt;=4,1,0)</f>
        <v>2026</v>
      </c>
      <c r="D99" s="128">
        <f>YEAR(MC[[#This Row],[Date]])</f>
        <v>2025</v>
      </c>
      <c r="E99" s="287" t="s">
        <v>156</v>
      </c>
      <c r="F99" s="287" t="s">
        <v>156</v>
      </c>
      <c r="G99" s="129" t="str">
        <f>TEXT(MC[[#This Row],[Date]],"mmm-yy")</f>
        <v>May-25</v>
      </c>
      <c r="H99" s="129">
        <f>DAY(EOMONTH(MC[[#This Row],[Month Year]],0))</f>
        <v>31</v>
      </c>
      <c r="I99" s="132"/>
      <c r="J99" s="132"/>
      <c r="K99" s="132"/>
      <c r="L99" s="132"/>
      <c r="M99" s="132"/>
      <c r="N99" s="132"/>
      <c r="O99" s="132"/>
      <c r="P99" s="125"/>
      <c r="Q99" s="125"/>
      <c r="R99" s="4">
        <f>SUM(MC[[#This Row],[ICR1]:[ICR12]])</f>
        <v>0</v>
      </c>
      <c r="S99" s="132"/>
      <c r="T99" s="132"/>
      <c r="U99" s="132"/>
      <c r="V99" s="132"/>
      <c r="W99" s="132"/>
      <c r="X99" s="132"/>
      <c r="Y99" s="132"/>
    </row>
    <row r="100" spans="1:25">
      <c r="A100" s="132">
        <v>98</v>
      </c>
      <c r="B100" s="126">
        <f t="shared" si="1"/>
        <v>45786</v>
      </c>
      <c r="C100" s="127">
        <f>YEAR(MC[[#This Row],[Date]])+IF(MONTH(MC[[#This Row],[Date]])&gt;=4,1,0)</f>
        <v>2026</v>
      </c>
      <c r="D100" s="128">
        <f>YEAR(MC[[#This Row],[Date]])</f>
        <v>2025</v>
      </c>
      <c r="E100" s="287" t="s">
        <v>156</v>
      </c>
      <c r="F100" s="287" t="s">
        <v>156</v>
      </c>
      <c r="G100" s="129" t="str">
        <f>TEXT(MC[[#This Row],[Date]],"mmm-yy")</f>
        <v>May-25</v>
      </c>
      <c r="H100" s="129">
        <f>DAY(EOMONTH(MC[[#This Row],[Month Year]],0))</f>
        <v>31</v>
      </c>
      <c r="I100" s="132"/>
      <c r="J100" s="132"/>
      <c r="K100" s="132"/>
      <c r="L100" s="132"/>
      <c r="M100" s="132"/>
      <c r="N100" s="132"/>
      <c r="O100" s="132"/>
      <c r="P100" s="125"/>
      <c r="Q100" s="125"/>
      <c r="R100" s="4">
        <f>SUM(MC[[#This Row],[ICR1]:[ICR12]])</f>
        <v>0</v>
      </c>
      <c r="S100" s="132"/>
      <c r="T100" s="132"/>
      <c r="U100" s="132"/>
      <c r="V100" s="132"/>
      <c r="W100" s="132"/>
      <c r="X100" s="132"/>
      <c r="Y100" s="132"/>
    </row>
    <row r="101" spans="1:25">
      <c r="A101" s="132">
        <v>99</v>
      </c>
      <c r="B101" s="126">
        <f t="shared" si="1"/>
        <v>45787</v>
      </c>
      <c r="C101" s="127">
        <f>YEAR(MC[[#This Row],[Date]])+IF(MONTH(MC[[#This Row],[Date]])&gt;=4,1,0)</f>
        <v>2026</v>
      </c>
      <c r="D101" s="128">
        <f>YEAR(MC[[#This Row],[Date]])</f>
        <v>2025</v>
      </c>
      <c r="E101" s="287" t="s">
        <v>156</v>
      </c>
      <c r="F101" s="287" t="s">
        <v>156</v>
      </c>
      <c r="G101" s="129" t="str">
        <f>TEXT(MC[[#This Row],[Date]],"mmm-yy")</f>
        <v>May-25</v>
      </c>
      <c r="H101" s="129">
        <f>DAY(EOMONTH(MC[[#This Row],[Month Year]],0))</f>
        <v>31</v>
      </c>
      <c r="I101" s="132"/>
      <c r="J101" s="132"/>
      <c r="K101" s="132"/>
      <c r="L101" s="132"/>
      <c r="M101" s="132"/>
      <c r="N101" s="132"/>
      <c r="O101" s="132"/>
      <c r="P101" s="125"/>
      <c r="Q101" s="125"/>
      <c r="R101" s="4">
        <f>SUM(MC[[#This Row],[ICR1]:[ICR12]])</f>
        <v>0</v>
      </c>
      <c r="S101" s="132"/>
      <c r="T101" s="132"/>
      <c r="U101" s="132"/>
      <c r="V101" s="132"/>
      <c r="W101" s="132"/>
      <c r="X101" s="132"/>
      <c r="Y101" s="132"/>
    </row>
    <row r="102" spans="1:25">
      <c r="A102" s="132">
        <v>100</v>
      </c>
      <c r="B102" s="126">
        <f t="shared" si="1"/>
        <v>45788</v>
      </c>
      <c r="C102" s="127">
        <f>YEAR(MC[[#This Row],[Date]])+IF(MONTH(MC[[#This Row],[Date]])&gt;=4,1,0)</f>
        <v>2026</v>
      </c>
      <c r="D102" s="128">
        <f>YEAR(MC[[#This Row],[Date]])</f>
        <v>2025</v>
      </c>
      <c r="E102" s="287" t="s">
        <v>156</v>
      </c>
      <c r="F102" s="287" t="s">
        <v>156</v>
      </c>
      <c r="G102" s="129" t="str">
        <f>TEXT(MC[[#This Row],[Date]],"mmm-yy")</f>
        <v>May-25</v>
      </c>
      <c r="H102" s="129">
        <f>DAY(EOMONTH(MC[[#This Row],[Month Year]],0))</f>
        <v>31</v>
      </c>
      <c r="I102" s="132"/>
      <c r="J102" s="132"/>
      <c r="K102" s="132"/>
      <c r="L102" s="132"/>
      <c r="M102" s="132"/>
      <c r="N102" s="132"/>
      <c r="O102" s="132"/>
      <c r="P102" s="125"/>
      <c r="Q102" s="125"/>
      <c r="R102" s="4">
        <f>SUM(MC[[#This Row],[ICR1]:[ICR12]])</f>
        <v>0</v>
      </c>
      <c r="S102" s="132"/>
      <c r="T102" s="132"/>
      <c r="U102" s="132"/>
      <c r="V102" s="132"/>
      <c r="W102" s="132"/>
      <c r="X102" s="132"/>
      <c r="Y102" s="132"/>
    </row>
    <row r="103" spans="1:25">
      <c r="A103" s="132">
        <v>101</v>
      </c>
      <c r="B103" s="126">
        <f t="shared" si="1"/>
        <v>45789</v>
      </c>
      <c r="C103" s="127">
        <f>YEAR(MC[[#This Row],[Date]])+IF(MONTH(MC[[#This Row],[Date]])&gt;=4,1,0)</f>
        <v>2026</v>
      </c>
      <c r="D103" s="128">
        <f>YEAR(MC[[#This Row],[Date]])</f>
        <v>2025</v>
      </c>
      <c r="E103" s="287" t="s">
        <v>156</v>
      </c>
      <c r="F103" s="287" t="s">
        <v>156</v>
      </c>
      <c r="G103" s="129" t="str">
        <f>TEXT(MC[[#This Row],[Date]],"mmm-yy")</f>
        <v>May-25</v>
      </c>
      <c r="H103" s="129">
        <f>DAY(EOMONTH(MC[[#This Row],[Month Year]],0))</f>
        <v>31</v>
      </c>
      <c r="I103" s="132"/>
      <c r="J103" s="132"/>
      <c r="K103" s="132"/>
      <c r="L103" s="132"/>
      <c r="M103" s="132"/>
      <c r="N103" s="132"/>
      <c r="O103" s="132"/>
      <c r="P103" s="125"/>
      <c r="Q103" s="125"/>
      <c r="R103" s="4">
        <f>SUM(MC[[#This Row],[ICR1]:[ICR12]])</f>
        <v>0</v>
      </c>
      <c r="S103" s="132"/>
      <c r="T103" s="132"/>
      <c r="U103" s="132"/>
      <c r="V103" s="132"/>
      <c r="W103" s="132"/>
      <c r="X103" s="132"/>
      <c r="Y103" s="132"/>
    </row>
    <row r="104" spans="1:25">
      <c r="A104" s="132">
        <v>102</v>
      </c>
      <c r="B104" s="126">
        <f t="shared" si="1"/>
        <v>45790</v>
      </c>
      <c r="C104" s="127">
        <f>YEAR(MC[[#This Row],[Date]])+IF(MONTH(MC[[#This Row],[Date]])&gt;=4,1,0)</f>
        <v>2026</v>
      </c>
      <c r="D104" s="128">
        <f>YEAR(MC[[#This Row],[Date]])</f>
        <v>2025</v>
      </c>
      <c r="E104" s="287" t="s">
        <v>156</v>
      </c>
      <c r="F104" s="287" t="s">
        <v>156</v>
      </c>
      <c r="G104" s="129" t="str">
        <f>TEXT(MC[[#This Row],[Date]],"mmm-yy")</f>
        <v>May-25</v>
      </c>
      <c r="H104" s="129">
        <f>DAY(EOMONTH(MC[[#This Row],[Month Year]],0))</f>
        <v>31</v>
      </c>
      <c r="I104" s="132"/>
      <c r="J104" s="132"/>
      <c r="K104" s="132"/>
      <c r="L104" s="132"/>
      <c r="M104" s="132"/>
      <c r="N104" s="132"/>
      <c r="O104" s="132"/>
      <c r="P104" s="125"/>
      <c r="Q104" s="125"/>
      <c r="R104" s="4">
        <f>SUM(MC[[#This Row],[ICR1]:[ICR12]])</f>
        <v>0</v>
      </c>
      <c r="S104" s="132"/>
      <c r="T104" s="132"/>
      <c r="U104" s="132"/>
      <c r="V104" s="132"/>
      <c r="W104" s="132"/>
      <c r="X104" s="132"/>
      <c r="Y104" s="132"/>
    </row>
    <row r="105" spans="1:25">
      <c r="A105" s="132">
        <v>103</v>
      </c>
      <c r="B105" s="126">
        <f t="shared" si="1"/>
        <v>45791</v>
      </c>
      <c r="C105" s="127">
        <f>YEAR(MC[[#This Row],[Date]])+IF(MONTH(MC[[#This Row],[Date]])&gt;=4,1,0)</f>
        <v>2026</v>
      </c>
      <c r="D105" s="128">
        <f>YEAR(MC[[#This Row],[Date]])</f>
        <v>2025</v>
      </c>
      <c r="E105" s="287" t="s">
        <v>156</v>
      </c>
      <c r="F105" s="287" t="s">
        <v>156</v>
      </c>
      <c r="G105" s="129" t="str">
        <f>TEXT(MC[[#This Row],[Date]],"mmm-yy")</f>
        <v>May-25</v>
      </c>
      <c r="H105" s="129">
        <f>DAY(EOMONTH(MC[[#This Row],[Month Year]],0))</f>
        <v>31</v>
      </c>
      <c r="I105" s="132"/>
      <c r="J105" s="132"/>
      <c r="K105" s="132"/>
      <c r="L105" s="132"/>
      <c r="M105" s="132"/>
      <c r="N105" s="132"/>
      <c r="O105" s="132"/>
      <c r="P105" s="125"/>
      <c r="Q105" s="125"/>
      <c r="R105" s="4">
        <f>SUM(MC[[#This Row],[ICR1]:[ICR12]])</f>
        <v>0</v>
      </c>
      <c r="S105" s="132"/>
      <c r="T105" s="132"/>
      <c r="U105" s="133"/>
      <c r="V105" s="133"/>
      <c r="W105" s="132"/>
      <c r="X105" s="132"/>
      <c r="Y105" s="132"/>
    </row>
    <row r="106" spans="1:25">
      <c r="A106" s="132">
        <v>104</v>
      </c>
      <c r="B106" s="126">
        <f t="shared" si="1"/>
        <v>45792</v>
      </c>
      <c r="C106" s="127">
        <f>YEAR(MC[[#This Row],[Date]])+IF(MONTH(MC[[#This Row],[Date]])&gt;=4,1,0)</f>
        <v>2026</v>
      </c>
      <c r="D106" s="128">
        <f>YEAR(MC[[#This Row],[Date]])</f>
        <v>2025</v>
      </c>
      <c r="E106" s="287" t="s">
        <v>156</v>
      </c>
      <c r="F106" s="287" t="s">
        <v>156</v>
      </c>
      <c r="G106" s="129" t="str">
        <f>TEXT(MC[[#This Row],[Date]],"mmm-yy")</f>
        <v>May-25</v>
      </c>
      <c r="H106" s="129">
        <f>DAY(EOMONTH(MC[[#This Row],[Month Year]],0))</f>
        <v>31</v>
      </c>
      <c r="I106" s="132"/>
      <c r="J106" s="132"/>
      <c r="K106" s="132"/>
      <c r="L106" s="132"/>
      <c r="M106" s="132"/>
      <c r="N106" s="132"/>
      <c r="O106" s="132"/>
      <c r="P106" s="125"/>
      <c r="Q106" s="125"/>
      <c r="R106" s="4">
        <f>SUM(MC[[#This Row],[ICR1]:[ICR12]])</f>
        <v>0</v>
      </c>
      <c r="S106" s="133"/>
      <c r="T106" s="133"/>
      <c r="U106" s="133"/>
      <c r="V106" s="133"/>
      <c r="W106" s="132"/>
      <c r="X106" s="132"/>
      <c r="Y106" s="132"/>
    </row>
    <row r="107" spans="1:25">
      <c r="A107" s="132">
        <v>105</v>
      </c>
      <c r="B107" s="126">
        <f t="shared" si="1"/>
        <v>45793</v>
      </c>
      <c r="C107" s="127">
        <f>YEAR(MC[[#This Row],[Date]])+IF(MONTH(MC[[#This Row],[Date]])&gt;=4,1,0)</f>
        <v>2026</v>
      </c>
      <c r="D107" s="128">
        <f>YEAR(MC[[#This Row],[Date]])</f>
        <v>2025</v>
      </c>
      <c r="E107" s="287" t="s">
        <v>156</v>
      </c>
      <c r="F107" s="287" t="s">
        <v>156</v>
      </c>
      <c r="G107" s="129" t="str">
        <f>TEXT(MC[[#This Row],[Date]],"mmm-yy")</f>
        <v>May-25</v>
      </c>
      <c r="H107" s="129">
        <f>DAY(EOMONTH(MC[[#This Row],[Month Year]],0))</f>
        <v>31</v>
      </c>
      <c r="I107" s="132"/>
      <c r="J107" s="132"/>
      <c r="K107" s="132"/>
      <c r="L107" s="132"/>
      <c r="M107" s="132"/>
      <c r="N107" s="132"/>
      <c r="O107" s="132"/>
      <c r="P107" s="125"/>
      <c r="Q107" s="125"/>
      <c r="R107" s="4">
        <f>SUM(MC[[#This Row],[ICR1]:[ICR12]])</f>
        <v>0</v>
      </c>
      <c r="S107" s="133"/>
      <c r="T107" s="133"/>
      <c r="U107" s="132"/>
      <c r="V107" s="132"/>
      <c r="W107" s="132"/>
      <c r="X107" s="132"/>
      <c r="Y107" s="132"/>
    </row>
    <row r="108" spans="1:25">
      <c r="A108" s="132">
        <v>106</v>
      </c>
      <c r="B108" s="126">
        <f t="shared" si="1"/>
        <v>45794</v>
      </c>
      <c r="C108" s="127">
        <f>YEAR(MC[[#This Row],[Date]])+IF(MONTH(MC[[#This Row],[Date]])&gt;=4,1,0)</f>
        <v>2026</v>
      </c>
      <c r="D108" s="128">
        <f>YEAR(MC[[#This Row],[Date]])</f>
        <v>2025</v>
      </c>
      <c r="E108" s="287" t="s">
        <v>156</v>
      </c>
      <c r="F108" s="287" t="s">
        <v>156</v>
      </c>
      <c r="G108" s="129" t="str">
        <f>TEXT(MC[[#This Row],[Date]],"mmm-yy")</f>
        <v>May-25</v>
      </c>
      <c r="H108" s="129">
        <f>DAY(EOMONTH(MC[[#This Row],[Month Year]],0))</f>
        <v>31</v>
      </c>
      <c r="I108" s="132"/>
      <c r="J108" s="132"/>
      <c r="K108" s="132"/>
      <c r="L108" s="132"/>
      <c r="M108" s="132"/>
      <c r="N108" s="132"/>
      <c r="O108" s="132"/>
      <c r="P108" s="125"/>
      <c r="Q108" s="125"/>
      <c r="R108" s="4">
        <f>SUM(MC[[#This Row],[ICR1]:[ICR12]])</f>
        <v>0</v>
      </c>
      <c r="S108" s="132"/>
      <c r="T108" s="132"/>
      <c r="U108" s="132"/>
      <c r="V108" s="132"/>
      <c r="W108" s="132"/>
      <c r="X108" s="132"/>
      <c r="Y108" s="132"/>
    </row>
    <row r="109" spans="1:25">
      <c r="A109" s="132">
        <v>107</v>
      </c>
      <c r="B109" s="126">
        <f t="shared" si="1"/>
        <v>45795</v>
      </c>
      <c r="C109" s="127">
        <f>YEAR(MC[[#This Row],[Date]])+IF(MONTH(MC[[#This Row],[Date]])&gt;=4,1,0)</f>
        <v>2026</v>
      </c>
      <c r="D109" s="128">
        <f>YEAR(MC[[#This Row],[Date]])</f>
        <v>2025</v>
      </c>
      <c r="E109" s="287" t="s">
        <v>156</v>
      </c>
      <c r="F109" s="287" t="s">
        <v>156</v>
      </c>
      <c r="G109" s="129" t="str">
        <f>TEXT(MC[[#This Row],[Date]],"mmm-yy")</f>
        <v>May-25</v>
      </c>
      <c r="H109" s="129">
        <f>DAY(EOMONTH(MC[[#This Row],[Month Year]],0))</f>
        <v>31</v>
      </c>
      <c r="I109" s="132"/>
      <c r="J109" s="132"/>
      <c r="K109" s="132"/>
      <c r="L109" s="132"/>
      <c r="M109" s="132"/>
      <c r="N109" s="132"/>
      <c r="O109" s="132"/>
      <c r="P109" s="125"/>
      <c r="Q109" s="125"/>
      <c r="R109" s="4">
        <f>SUM(MC[[#This Row],[ICR1]:[ICR12]])</f>
        <v>0</v>
      </c>
      <c r="S109" s="132"/>
      <c r="T109" s="132"/>
      <c r="U109" s="132"/>
      <c r="V109" s="132"/>
      <c r="W109" s="132"/>
      <c r="X109" s="132"/>
      <c r="Y109" s="132"/>
    </row>
    <row r="110" spans="1:25">
      <c r="A110" s="132">
        <v>108</v>
      </c>
      <c r="B110" s="126">
        <f t="shared" si="1"/>
        <v>45796</v>
      </c>
      <c r="C110" s="127">
        <f>YEAR(MC[[#This Row],[Date]])+IF(MONTH(MC[[#This Row],[Date]])&gt;=4,1,0)</f>
        <v>2026</v>
      </c>
      <c r="D110" s="128">
        <f>YEAR(MC[[#This Row],[Date]])</f>
        <v>2025</v>
      </c>
      <c r="E110" s="287" t="s">
        <v>156</v>
      </c>
      <c r="F110" s="287" t="s">
        <v>156</v>
      </c>
      <c r="G110" s="129" t="str">
        <f>TEXT(MC[[#This Row],[Date]],"mmm-yy")</f>
        <v>May-25</v>
      </c>
      <c r="H110" s="129">
        <f>DAY(EOMONTH(MC[[#This Row],[Month Year]],0))</f>
        <v>31</v>
      </c>
      <c r="I110" s="132"/>
      <c r="J110" s="132"/>
      <c r="K110" s="132"/>
      <c r="L110" s="132"/>
      <c r="M110" s="132"/>
      <c r="N110" s="132"/>
      <c r="O110" s="132"/>
      <c r="P110" s="125"/>
      <c r="Q110" s="125"/>
      <c r="R110" s="4">
        <f>SUM(MC[[#This Row],[ICR1]:[ICR12]])</f>
        <v>0</v>
      </c>
      <c r="S110" s="132"/>
      <c r="T110" s="132"/>
      <c r="U110" s="133"/>
      <c r="V110" s="133"/>
      <c r="W110" s="132"/>
      <c r="X110" s="132"/>
      <c r="Y110" s="132"/>
    </row>
    <row r="111" spans="1:25">
      <c r="A111" s="132">
        <v>109</v>
      </c>
      <c r="B111" s="126">
        <f t="shared" si="1"/>
        <v>45797</v>
      </c>
      <c r="C111" s="127">
        <f>YEAR(MC[[#This Row],[Date]])+IF(MONTH(MC[[#This Row],[Date]])&gt;=4,1,0)</f>
        <v>2026</v>
      </c>
      <c r="D111" s="128">
        <f>YEAR(MC[[#This Row],[Date]])</f>
        <v>2025</v>
      </c>
      <c r="E111" s="287" t="s">
        <v>156</v>
      </c>
      <c r="F111" s="287" t="s">
        <v>156</v>
      </c>
      <c r="G111" s="129" t="str">
        <f>TEXT(MC[[#This Row],[Date]],"mmm-yy")</f>
        <v>May-25</v>
      </c>
      <c r="H111" s="129">
        <f>DAY(EOMONTH(MC[[#This Row],[Month Year]],0))</f>
        <v>31</v>
      </c>
      <c r="I111" s="132"/>
      <c r="J111" s="132"/>
      <c r="K111" s="132"/>
      <c r="L111" s="132"/>
      <c r="M111" s="132"/>
      <c r="N111" s="132"/>
      <c r="O111" s="132"/>
      <c r="P111" s="125"/>
      <c r="Q111" s="125"/>
      <c r="R111" s="4">
        <f>SUM(MC[[#This Row],[ICR1]:[ICR12]])</f>
        <v>0</v>
      </c>
      <c r="S111" s="133"/>
      <c r="T111" s="133"/>
      <c r="U111" s="133"/>
      <c r="V111" s="133"/>
      <c r="W111" s="132"/>
      <c r="X111" s="132"/>
      <c r="Y111" s="132"/>
    </row>
    <row r="112" spans="1:25">
      <c r="A112" s="132">
        <v>110</v>
      </c>
      <c r="B112" s="126">
        <f t="shared" si="1"/>
        <v>45798</v>
      </c>
      <c r="C112" s="127">
        <f>YEAR(MC[[#This Row],[Date]])+IF(MONTH(MC[[#This Row],[Date]])&gt;=4,1,0)</f>
        <v>2026</v>
      </c>
      <c r="D112" s="128">
        <f>YEAR(MC[[#This Row],[Date]])</f>
        <v>2025</v>
      </c>
      <c r="E112" s="287" t="s">
        <v>156</v>
      </c>
      <c r="F112" s="287" t="s">
        <v>156</v>
      </c>
      <c r="G112" s="129" t="str">
        <f>TEXT(MC[[#This Row],[Date]],"mmm-yy")</f>
        <v>May-25</v>
      </c>
      <c r="H112" s="129">
        <f>DAY(EOMONTH(MC[[#This Row],[Month Year]],0))</f>
        <v>31</v>
      </c>
      <c r="I112" s="132"/>
      <c r="J112" s="132"/>
      <c r="K112" s="132"/>
      <c r="L112" s="132"/>
      <c r="M112" s="132"/>
      <c r="N112" s="132"/>
      <c r="O112" s="132"/>
      <c r="P112" s="125"/>
      <c r="Q112" s="125"/>
      <c r="R112" s="4">
        <f>SUM(MC[[#This Row],[ICR1]:[ICR12]])</f>
        <v>0</v>
      </c>
      <c r="S112" s="133"/>
      <c r="T112" s="133"/>
      <c r="U112" s="133"/>
      <c r="V112" s="133"/>
      <c r="W112" s="132"/>
      <c r="X112" s="132"/>
      <c r="Y112" s="132"/>
    </row>
    <row r="113" spans="1:25">
      <c r="A113" s="132">
        <v>111</v>
      </c>
      <c r="B113" s="126">
        <f t="shared" si="1"/>
        <v>45799</v>
      </c>
      <c r="C113" s="127">
        <f>YEAR(MC[[#This Row],[Date]])+IF(MONTH(MC[[#This Row],[Date]])&gt;=4,1,0)</f>
        <v>2026</v>
      </c>
      <c r="D113" s="128">
        <f>YEAR(MC[[#This Row],[Date]])</f>
        <v>2025</v>
      </c>
      <c r="E113" s="287" t="s">
        <v>156</v>
      </c>
      <c r="F113" s="287" t="s">
        <v>156</v>
      </c>
      <c r="G113" s="129" t="str">
        <f>TEXT(MC[[#This Row],[Date]],"mmm-yy")</f>
        <v>May-25</v>
      </c>
      <c r="H113" s="129">
        <f>DAY(EOMONTH(MC[[#This Row],[Month Year]],0))</f>
        <v>31</v>
      </c>
      <c r="I113" s="132"/>
      <c r="J113" s="132"/>
      <c r="K113" s="132"/>
      <c r="L113" s="132"/>
      <c r="M113" s="132"/>
      <c r="N113" s="132"/>
      <c r="O113" s="132"/>
      <c r="P113" s="125"/>
      <c r="Q113" s="125"/>
      <c r="R113" s="4">
        <f>SUM(MC[[#This Row],[ICR1]:[ICR12]])</f>
        <v>0</v>
      </c>
      <c r="S113" s="132"/>
      <c r="T113" s="132"/>
      <c r="U113" s="133"/>
      <c r="V113" s="133"/>
      <c r="W113" s="132"/>
      <c r="X113" s="132"/>
      <c r="Y113" s="132"/>
    </row>
    <row r="114" spans="1:25">
      <c r="A114" s="132">
        <v>112</v>
      </c>
      <c r="B114" s="126">
        <f t="shared" si="1"/>
        <v>45800</v>
      </c>
      <c r="C114" s="127">
        <f>YEAR(MC[[#This Row],[Date]])+IF(MONTH(MC[[#This Row],[Date]])&gt;=4,1,0)</f>
        <v>2026</v>
      </c>
      <c r="D114" s="128">
        <f>YEAR(MC[[#This Row],[Date]])</f>
        <v>2025</v>
      </c>
      <c r="E114" s="287" t="s">
        <v>156</v>
      </c>
      <c r="F114" s="287" t="s">
        <v>156</v>
      </c>
      <c r="G114" s="129" t="str">
        <f>TEXT(MC[[#This Row],[Date]],"mmm-yy")</f>
        <v>May-25</v>
      </c>
      <c r="H114" s="129">
        <f>DAY(EOMONTH(MC[[#This Row],[Month Year]],0))</f>
        <v>31</v>
      </c>
      <c r="I114" s="132"/>
      <c r="J114" s="132"/>
      <c r="K114" s="132"/>
      <c r="L114" s="132"/>
      <c r="M114" s="132"/>
      <c r="N114" s="132"/>
      <c r="O114" s="132"/>
      <c r="P114" s="125"/>
      <c r="Q114" s="125"/>
      <c r="R114" s="4">
        <f>SUM(MC[[#This Row],[ICR1]:[ICR12]])</f>
        <v>0</v>
      </c>
      <c r="S114" s="133"/>
      <c r="T114" s="133"/>
      <c r="U114" s="133"/>
      <c r="V114" s="133"/>
      <c r="W114" s="132"/>
      <c r="X114" s="132"/>
      <c r="Y114" s="132"/>
    </row>
    <row r="115" spans="1:25">
      <c r="A115" s="132">
        <v>113</v>
      </c>
      <c r="B115" s="126">
        <f t="shared" si="1"/>
        <v>45801</v>
      </c>
      <c r="C115" s="127">
        <f>YEAR(MC[[#This Row],[Date]])+IF(MONTH(MC[[#This Row],[Date]])&gt;=4,1,0)</f>
        <v>2026</v>
      </c>
      <c r="D115" s="128">
        <f>YEAR(MC[[#This Row],[Date]])</f>
        <v>2025</v>
      </c>
      <c r="E115" s="287" t="s">
        <v>156</v>
      </c>
      <c r="F115" s="287" t="s">
        <v>156</v>
      </c>
      <c r="G115" s="129" t="str">
        <f>TEXT(MC[[#This Row],[Date]],"mmm-yy")</f>
        <v>May-25</v>
      </c>
      <c r="H115" s="129">
        <f>DAY(EOMONTH(MC[[#This Row],[Month Year]],0))</f>
        <v>31</v>
      </c>
      <c r="I115" s="132"/>
      <c r="J115" s="132"/>
      <c r="K115" s="132"/>
      <c r="L115" s="132"/>
      <c r="M115" s="132"/>
      <c r="N115" s="132"/>
      <c r="O115" s="132"/>
      <c r="P115" s="125"/>
      <c r="Q115" s="125"/>
      <c r="R115" s="4">
        <f>SUM(MC[[#This Row],[ICR1]:[ICR12]])</f>
        <v>0</v>
      </c>
      <c r="S115" s="133"/>
      <c r="T115" s="133"/>
      <c r="U115" s="133"/>
      <c r="V115" s="133"/>
      <c r="W115" s="132"/>
      <c r="X115" s="132"/>
      <c r="Y115" s="132"/>
    </row>
    <row r="116" spans="1:25">
      <c r="A116" s="132">
        <v>114</v>
      </c>
      <c r="B116" s="126">
        <f t="shared" si="1"/>
        <v>45802</v>
      </c>
      <c r="C116" s="127">
        <f>YEAR(MC[[#This Row],[Date]])+IF(MONTH(MC[[#This Row],[Date]])&gt;=4,1,0)</f>
        <v>2026</v>
      </c>
      <c r="D116" s="128">
        <f>YEAR(MC[[#This Row],[Date]])</f>
        <v>2025</v>
      </c>
      <c r="E116" s="287" t="s">
        <v>156</v>
      </c>
      <c r="F116" s="287" t="s">
        <v>156</v>
      </c>
      <c r="G116" s="129" t="str">
        <f>TEXT(MC[[#This Row],[Date]],"mmm-yy")</f>
        <v>May-25</v>
      </c>
      <c r="H116" s="129">
        <f>DAY(EOMONTH(MC[[#This Row],[Month Year]],0))</f>
        <v>31</v>
      </c>
      <c r="I116" s="132"/>
      <c r="J116" s="132"/>
      <c r="K116" s="132"/>
      <c r="L116" s="132"/>
      <c r="M116" s="132"/>
      <c r="N116" s="132"/>
      <c r="O116" s="132"/>
      <c r="P116" s="125"/>
      <c r="Q116" s="125"/>
      <c r="R116" s="4">
        <f>SUM(MC[[#This Row],[ICR1]:[ICR12]])</f>
        <v>0</v>
      </c>
      <c r="S116" s="133"/>
      <c r="T116" s="133"/>
      <c r="U116" s="133"/>
      <c r="V116" s="133"/>
      <c r="W116" s="132"/>
      <c r="X116" s="132"/>
      <c r="Y116" s="132"/>
    </row>
    <row r="117" spans="1:25">
      <c r="A117" s="132">
        <v>115</v>
      </c>
      <c r="B117" s="126">
        <f t="shared" si="1"/>
        <v>45803</v>
      </c>
      <c r="C117" s="127">
        <f>YEAR(MC[[#This Row],[Date]])+IF(MONTH(MC[[#This Row],[Date]])&gt;=4,1,0)</f>
        <v>2026</v>
      </c>
      <c r="D117" s="128">
        <f>YEAR(MC[[#This Row],[Date]])</f>
        <v>2025</v>
      </c>
      <c r="E117" s="287" t="s">
        <v>156</v>
      </c>
      <c r="F117" s="287" t="s">
        <v>156</v>
      </c>
      <c r="G117" s="129" t="str">
        <f>TEXT(MC[[#This Row],[Date]],"mmm-yy")</f>
        <v>May-25</v>
      </c>
      <c r="H117" s="129">
        <f>DAY(EOMONTH(MC[[#This Row],[Month Year]],0))</f>
        <v>31</v>
      </c>
      <c r="I117" s="132"/>
      <c r="J117" s="132"/>
      <c r="K117" s="132"/>
      <c r="L117" s="132"/>
      <c r="M117" s="132"/>
      <c r="N117" s="132"/>
      <c r="O117" s="132"/>
      <c r="P117" s="125"/>
      <c r="Q117" s="125"/>
      <c r="R117" s="4">
        <f>SUM(MC[[#This Row],[ICR1]:[ICR12]])</f>
        <v>0</v>
      </c>
      <c r="S117" s="133"/>
      <c r="T117" s="133"/>
      <c r="U117" s="132"/>
      <c r="V117" s="132"/>
      <c r="W117" s="132"/>
      <c r="X117" s="132"/>
      <c r="Y117" s="132"/>
    </row>
    <row r="118" spans="1:25">
      <c r="A118" s="132">
        <v>116</v>
      </c>
      <c r="B118" s="126">
        <f t="shared" si="1"/>
        <v>45804</v>
      </c>
      <c r="C118" s="127">
        <f>YEAR(MC[[#This Row],[Date]])+IF(MONTH(MC[[#This Row],[Date]])&gt;=4,1,0)</f>
        <v>2026</v>
      </c>
      <c r="D118" s="128">
        <f>YEAR(MC[[#This Row],[Date]])</f>
        <v>2025</v>
      </c>
      <c r="E118" s="287" t="s">
        <v>156</v>
      </c>
      <c r="F118" s="287" t="s">
        <v>156</v>
      </c>
      <c r="G118" s="129" t="str">
        <f>TEXT(MC[[#This Row],[Date]],"mmm-yy")</f>
        <v>May-25</v>
      </c>
      <c r="H118" s="129">
        <f>DAY(EOMONTH(MC[[#This Row],[Month Year]],0))</f>
        <v>31</v>
      </c>
      <c r="I118" s="132"/>
      <c r="J118" s="132"/>
      <c r="K118" s="132"/>
      <c r="L118" s="132"/>
      <c r="M118" s="132"/>
      <c r="N118" s="132"/>
      <c r="O118" s="132"/>
      <c r="P118" s="125"/>
      <c r="Q118" s="125"/>
      <c r="R118" s="4">
        <f>SUM(MC[[#This Row],[ICR1]:[ICR12]])</f>
        <v>0</v>
      </c>
      <c r="S118" s="132"/>
      <c r="T118" s="132"/>
      <c r="U118" s="132"/>
      <c r="V118" s="132"/>
      <c r="W118" s="132"/>
      <c r="X118" s="132"/>
      <c r="Y118" s="132"/>
    </row>
    <row r="119" spans="1:25">
      <c r="A119" s="132">
        <v>117</v>
      </c>
      <c r="B119" s="126">
        <f t="shared" si="1"/>
        <v>45805</v>
      </c>
      <c r="C119" s="127">
        <f>YEAR(MC[[#This Row],[Date]])+IF(MONTH(MC[[#This Row],[Date]])&gt;=4,1,0)</f>
        <v>2026</v>
      </c>
      <c r="D119" s="128">
        <f>YEAR(MC[[#This Row],[Date]])</f>
        <v>2025</v>
      </c>
      <c r="E119" s="287" t="s">
        <v>156</v>
      </c>
      <c r="F119" s="287" t="s">
        <v>156</v>
      </c>
      <c r="G119" s="129" t="str">
        <f>TEXT(MC[[#This Row],[Date]],"mmm-yy")</f>
        <v>May-25</v>
      </c>
      <c r="H119" s="129">
        <f>DAY(EOMONTH(MC[[#This Row],[Month Year]],0))</f>
        <v>31</v>
      </c>
      <c r="I119" s="132"/>
      <c r="J119" s="132"/>
      <c r="K119" s="132"/>
      <c r="L119" s="132"/>
      <c r="M119" s="132"/>
      <c r="N119" s="132"/>
      <c r="O119" s="132"/>
      <c r="P119" s="125"/>
      <c r="Q119" s="125"/>
      <c r="R119" s="4">
        <f>SUM(MC[[#This Row],[ICR1]:[ICR12]])</f>
        <v>0</v>
      </c>
      <c r="S119" s="132"/>
      <c r="T119" s="132"/>
      <c r="U119" s="132"/>
      <c r="V119" s="132"/>
      <c r="W119" s="132"/>
      <c r="X119" s="132"/>
      <c r="Y119" s="132"/>
    </row>
    <row r="120" spans="1:25">
      <c r="A120" s="132">
        <v>118</v>
      </c>
      <c r="B120" s="126">
        <f t="shared" si="1"/>
        <v>45806</v>
      </c>
      <c r="C120" s="127">
        <f>YEAR(MC[[#This Row],[Date]])+IF(MONTH(MC[[#This Row],[Date]])&gt;=4,1,0)</f>
        <v>2026</v>
      </c>
      <c r="D120" s="128">
        <f>YEAR(MC[[#This Row],[Date]])</f>
        <v>2025</v>
      </c>
      <c r="E120" s="287" t="s">
        <v>156</v>
      </c>
      <c r="F120" s="287" t="s">
        <v>156</v>
      </c>
      <c r="G120" s="129" t="str">
        <f>TEXT(MC[[#This Row],[Date]],"mmm-yy")</f>
        <v>May-25</v>
      </c>
      <c r="H120" s="129">
        <f>DAY(EOMONTH(MC[[#This Row],[Month Year]],0))</f>
        <v>31</v>
      </c>
      <c r="I120" s="132"/>
      <c r="J120" s="132"/>
      <c r="K120" s="132"/>
      <c r="L120" s="132"/>
      <c r="M120" s="132"/>
      <c r="N120" s="132"/>
      <c r="O120" s="132"/>
      <c r="P120" s="125"/>
      <c r="Q120" s="125"/>
      <c r="R120" s="4">
        <f>SUM(MC[[#This Row],[ICR1]:[ICR12]])</f>
        <v>0</v>
      </c>
      <c r="S120" s="132"/>
      <c r="T120" s="132"/>
      <c r="U120" s="132"/>
      <c r="V120" s="132"/>
      <c r="W120" s="132"/>
      <c r="X120" s="132"/>
      <c r="Y120" s="132"/>
    </row>
    <row r="121" spans="1:25">
      <c r="A121" s="132">
        <v>119</v>
      </c>
      <c r="B121" s="126">
        <f t="shared" si="1"/>
        <v>45807</v>
      </c>
      <c r="C121" s="127">
        <f>YEAR(MC[[#This Row],[Date]])+IF(MONTH(MC[[#This Row],[Date]])&gt;=4,1,0)</f>
        <v>2026</v>
      </c>
      <c r="D121" s="128">
        <f>YEAR(MC[[#This Row],[Date]])</f>
        <v>2025</v>
      </c>
      <c r="E121" s="287" t="s">
        <v>156</v>
      </c>
      <c r="F121" s="287" t="s">
        <v>156</v>
      </c>
      <c r="G121" s="129" t="str">
        <f>TEXT(MC[[#This Row],[Date]],"mmm-yy")</f>
        <v>May-25</v>
      </c>
      <c r="H121" s="129">
        <f>DAY(EOMONTH(MC[[#This Row],[Month Year]],0))</f>
        <v>31</v>
      </c>
      <c r="I121" s="132"/>
      <c r="J121" s="132"/>
      <c r="K121" s="132"/>
      <c r="L121" s="132"/>
      <c r="M121" s="132"/>
      <c r="N121" s="132"/>
      <c r="O121" s="132"/>
      <c r="P121" s="125"/>
      <c r="Q121" s="125"/>
      <c r="R121" s="4">
        <f>SUM(MC[[#This Row],[ICR1]:[ICR12]])</f>
        <v>0</v>
      </c>
      <c r="S121" s="132"/>
      <c r="T121" s="132"/>
      <c r="U121" s="132"/>
      <c r="V121" s="132"/>
      <c r="W121" s="132"/>
      <c r="X121" s="132"/>
      <c r="Y121" s="132"/>
    </row>
    <row r="122" spans="1:25">
      <c r="A122" s="132">
        <v>120</v>
      </c>
      <c r="B122" s="126">
        <f t="shared" si="1"/>
        <v>45808</v>
      </c>
      <c r="C122" s="127">
        <f>YEAR(MC[[#This Row],[Date]])+IF(MONTH(MC[[#This Row],[Date]])&gt;=4,1,0)</f>
        <v>2026</v>
      </c>
      <c r="D122" s="128">
        <f>YEAR(MC[[#This Row],[Date]])</f>
        <v>2025</v>
      </c>
      <c r="E122" s="287" t="s">
        <v>156</v>
      </c>
      <c r="F122" s="287" t="s">
        <v>156</v>
      </c>
      <c r="G122" s="129" t="str">
        <f>TEXT(MC[[#This Row],[Date]],"mmm-yy")</f>
        <v>May-25</v>
      </c>
      <c r="H122" s="129">
        <f>DAY(EOMONTH(MC[[#This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25"/>
      <c r="Q122" s="125"/>
      <c r="R122" s="4">
        <f>SUM(MC[[#This Row],[ICR1]:[ICR12]])</f>
        <v>0</v>
      </c>
      <c r="S122" s="132"/>
      <c r="T122" s="132"/>
      <c r="U122" s="132"/>
      <c r="V122" s="132"/>
      <c r="W122" s="132"/>
      <c r="X122" s="132"/>
      <c r="Y122" s="132"/>
    </row>
    <row r="123" spans="1:25">
      <c r="A123" s="132">
        <v>120</v>
      </c>
      <c r="B123" s="126">
        <f t="shared" si="1"/>
        <v>45809</v>
      </c>
      <c r="C123" s="127">
        <f>YEAR(MC[[#This Row],[Date]])+IF(MONTH(MC[[#This Row],[Date]])&gt;=4,1,0)</f>
        <v>2026</v>
      </c>
      <c r="D123" s="128">
        <f>YEAR(MC[[#This Row],[Date]])</f>
        <v>2025</v>
      </c>
      <c r="E123" s="287" t="s">
        <v>156</v>
      </c>
      <c r="F123" s="287" t="s">
        <v>156</v>
      </c>
      <c r="G123" s="129" t="str">
        <f>TEXT(MC[[#This Row],[Date]],"mmm-yy")</f>
        <v>Jun-25</v>
      </c>
      <c r="H123" s="129">
        <f>DAY(EOMONTH(MC[[#This Row],[Month Year]],0))</f>
        <v>30</v>
      </c>
      <c r="I123" s="132"/>
      <c r="J123" s="132"/>
      <c r="K123" s="132"/>
      <c r="L123" s="132"/>
      <c r="M123" s="132"/>
      <c r="N123" s="132"/>
      <c r="O123" s="132"/>
      <c r="P123" s="125"/>
      <c r="Q123" s="125"/>
      <c r="R123" s="4">
        <f>SUM(MC[[#This Row],[ICR1]:[ICR12]])</f>
        <v>0</v>
      </c>
      <c r="S123" s="132"/>
      <c r="T123" s="132"/>
      <c r="U123" s="132"/>
      <c r="V123" s="132"/>
      <c r="W123" s="132"/>
      <c r="X123" s="132"/>
      <c r="Y123" s="132"/>
    </row>
    <row r="124" spans="1:25">
      <c r="A124" s="132">
        <v>122</v>
      </c>
      <c r="B124" s="126">
        <f t="shared" si="1"/>
        <v>45810</v>
      </c>
      <c r="C124" s="127">
        <f>YEAR(MC[[#This Row],[Date]])+IF(MONTH(MC[[#This Row],[Date]])&gt;=4,1,0)</f>
        <v>2026</v>
      </c>
      <c r="D124" s="128">
        <f>YEAR(MC[[#This Row],[Date]])</f>
        <v>2025</v>
      </c>
      <c r="E124" s="287" t="s">
        <v>156</v>
      </c>
      <c r="F124" s="287" t="s">
        <v>156</v>
      </c>
      <c r="G124" s="129" t="str">
        <f>TEXT(MC[[#This Row],[Date]],"mmm-yy")</f>
        <v>Jun-25</v>
      </c>
      <c r="H124" s="129">
        <f>DAY(EOMONTH(MC[[#This Row],[Month Year]],0))</f>
        <v>30</v>
      </c>
      <c r="I124" s="132"/>
      <c r="J124" s="132"/>
      <c r="K124" s="132"/>
      <c r="L124" s="132"/>
      <c r="M124" s="132"/>
      <c r="N124" s="132"/>
      <c r="O124" s="132"/>
      <c r="P124" s="125"/>
      <c r="Q124" s="125"/>
      <c r="R124" s="4">
        <f>SUM(MC[[#This Row],[ICR1]:[ICR12]])</f>
        <v>0</v>
      </c>
      <c r="S124" s="132"/>
      <c r="T124" s="132"/>
      <c r="U124" s="132"/>
      <c r="V124" s="132"/>
      <c r="W124" s="132"/>
      <c r="X124" s="132"/>
      <c r="Y124" s="132"/>
    </row>
    <row r="125" spans="1:25">
      <c r="A125" s="132">
        <v>123</v>
      </c>
      <c r="B125" s="126">
        <f t="shared" si="1"/>
        <v>45811</v>
      </c>
      <c r="C125" s="127">
        <f>YEAR(MC[[#This Row],[Date]])+IF(MONTH(MC[[#This Row],[Date]])&gt;=4,1,0)</f>
        <v>2026</v>
      </c>
      <c r="D125" s="128">
        <f>YEAR(MC[[#This Row],[Date]])</f>
        <v>2025</v>
      </c>
      <c r="E125" s="287" t="s">
        <v>156</v>
      </c>
      <c r="F125" s="287" t="s">
        <v>156</v>
      </c>
      <c r="G125" s="129" t="str">
        <f>TEXT(MC[[#This Row],[Date]],"mmm-yy")</f>
        <v>Jun-25</v>
      </c>
      <c r="H125" s="129">
        <f>DAY(EOMONTH(MC[[#This Row],[Month Year]],0))</f>
        <v>30</v>
      </c>
      <c r="I125" s="132"/>
      <c r="J125" s="132"/>
      <c r="K125" s="132"/>
      <c r="L125" s="132"/>
      <c r="M125" s="132"/>
      <c r="N125" s="132"/>
      <c r="O125" s="132"/>
      <c r="P125" s="125"/>
      <c r="Q125" s="125"/>
      <c r="R125" s="4">
        <f>SUM(MC[[#This Row],[ICR1]:[ICR12]])</f>
        <v>0</v>
      </c>
      <c r="S125" s="132"/>
      <c r="T125" s="132"/>
      <c r="U125" s="132"/>
      <c r="V125" s="132"/>
      <c r="W125" s="132"/>
      <c r="X125" s="132"/>
      <c r="Y125" s="132"/>
    </row>
    <row r="126" spans="1:25">
      <c r="A126" s="132">
        <v>124</v>
      </c>
      <c r="B126" s="126">
        <f t="shared" si="1"/>
        <v>45812</v>
      </c>
      <c r="C126" s="127">
        <f>YEAR(MC[[#This Row],[Date]])+IF(MONTH(MC[[#This Row],[Date]])&gt;=4,1,0)</f>
        <v>2026</v>
      </c>
      <c r="D126" s="128">
        <f>YEAR(MC[[#This Row],[Date]])</f>
        <v>2025</v>
      </c>
      <c r="E126" s="287" t="s">
        <v>156</v>
      </c>
      <c r="F126" s="287" t="s">
        <v>156</v>
      </c>
      <c r="G126" s="129" t="str">
        <f>TEXT(MC[[#This Row],[Date]],"mmm-yy")</f>
        <v>Jun-25</v>
      </c>
      <c r="H126" s="129">
        <f>DAY(EOMONTH(MC[[#This Row],[Month Year]],0))</f>
        <v>30</v>
      </c>
      <c r="I126" s="132"/>
      <c r="J126" s="132"/>
      <c r="K126" s="132"/>
      <c r="L126" s="132"/>
      <c r="M126" s="132"/>
      <c r="N126" s="132"/>
      <c r="O126" s="132"/>
      <c r="P126" s="125"/>
      <c r="Q126" s="125"/>
      <c r="R126" s="4">
        <f>SUM(MC[[#This Row],[ICR1]:[ICR12]])</f>
        <v>0</v>
      </c>
      <c r="S126" s="132"/>
      <c r="T126" s="132"/>
      <c r="U126" s="132"/>
      <c r="V126" s="132"/>
      <c r="W126" s="132"/>
      <c r="X126" s="132"/>
      <c r="Y126" s="132"/>
    </row>
    <row r="127" spans="1:25">
      <c r="A127" s="132">
        <v>125</v>
      </c>
      <c r="B127" s="126">
        <f t="shared" si="1"/>
        <v>45813</v>
      </c>
      <c r="C127" s="127">
        <f>YEAR(MC[[#This Row],[Date]])+IF(MONTH(MC[[#This Row],[Date]])&gt;=4,1,0)</f>
        <v>2026</v>
      </c>
      <c r="D127" s="128">
        <f>YEAR(MC[[#This Row],[Date]])</f>
        <v>2025</v>
      </c>
      <c r="E127" s="287" t="s">
        <v>156</v>
      </c>
      <c r="F127" s="287" t="s">
        <v>156</v>
      </c>
      <c r="G127" s="129" t="str">
        <f>TEXT(MC[[#This Row],[Date]],"mmm-yy")</f>
        <v>Jun-25</v>
      </c>
      <c r="H127" s="129">
        <f>DAY(EOMONTH(MC[[#This Row],[Month Year]],0))</f>
        <v>30</v>
      </c>
      <c r="I127" s="132"/>
      <c r="J127" s="132"/>
      <c r="K127" s="132"/>
      <c r="L127" s="132"/>
      <c r="M127" s="132"/>
      <c r="N127" s="132"/>
      <c r="O127" s="132"/>
      <c r="P127" s="125"/>
      <c r="Q127" s="125"/>
      <c r="R127" s="4">
        <f>SUM(MC[[#This Row],[ICR1]:[ICR12]])</f>
        <v>0</v>
      </c>
      <c r="S127" s="132"/>
      <c r="T127" s="132"/>
      <c r="U127" s="132"/>
      <c r="V127" s="132"/>
      <c r="W127" s="132"/>
      <c r="X127" s="132"/>
      <c r="Y127" s="132"/>
    </row>
    <row r="128" spans="1:25">
      <c r="A128" s="132">
        <v>126</v>
      </c>
      <c r="B128" s="126">
        <f t="shared" si="1"/>
        <v>45814</v>
      </c>
      <c r="C128" s="127">
        <f>YEAR(MC[[#This Row],[Date]])+IF(MONTH(MC[[#This Row],[Date]])&gt;=4,1,0)</f>
        <v>2026</v>
      </c>
      <c r="D128" s="128">
        <f>YEAR(MC[[#This Row],[Date]])</f>
        <v>2025</v>
      </c>
      <c r="E128" s="287" t="s">
        <v>156</v>
      </c>
      <c r="F128" s="287" t="s">
        <v>156</v>
      </c>
      <c r="G128" s="129" t="str">
        <f>TEXT(MC[[#This Row],[Date]],"mmm-yy")</f>
        <v>Jun-25</v>
      </c>
      <c r="H128" s="129">
        <f>DAY(EOMONTH(MC[[#This Row],[Month Year]],0))</f>
        <v>30</v>
      </c>
      <c r="I128" s="132"/>
      <c r="J128" s="132"/>
      <c r="K128" s="132"/>
      <c r="L128" s="132"/>
      <c r="M128" s="132"/>
      <c r="N128" s="132"/>
      <c r="O128" s="132"/>
      <c r="P128" s="125"/>
      <c r="Q128" s="125"/>
      <c r="R128" s="4">
        <f>SUM(MC[[#This Row],[ICR1]:[ICR12]])</f>
        <v>0</v>
      </c>
      <c r="S128" s="132"/>
      <c r="T128" s="132"/>
      <c r="U128" s="132"/>
      <c r="V128" s="132"/>
      <c r="W128" s="132"/>
      <c r="X128" s="132"/>
      <c r="Y128" s="132"/>
    </row>
    <row r="129" spans="1:25">
      <c r="A129" s="132">
        <v>127</v>
      </c>
      <c r="B129" s="126">
        <f t="shared" si="1"/>
        <v>45815</v>
      </c>
      <c r="C129" s="127">
        <f>YEAR(MC[[#This Row],[Date]])+IF(MONTH(MC[[#This Row],[Date]])&gt;=4,1,0)</f>
        <v>2026</v>
      </c>
      <c r="D129" s="128">
        <f>YEAR(MC[[#This Row],[Date]])</f>
        <v>2025</v>
      </c>
      <c r="E129" s="287" t="s">
        <v>156</v>
      </c>
      <c r="F129" s="287" t="s">
        <v>156</v>
      </c>
      <c r="G129" s="129" t="str">
        <f>TEXT(MC[[#This Row],[Date]],"mmm-yy")</f>
        <v>Jun-25</v>
      </c>
      <c r="H129" s="129">
        <f>DAY(EOMONTH(MC[[#This Row],[Month Year]],0))</f>
        <v>30</v>
      </c>
      <c r="I129" s="132"/>
      <c r="J129" s="132"/>
      <c r="K129" s="132"/>
      <c r="L129" s="132"/>
      <c r="M129" s="132"/>
      <c r="N129" s="132"/>
      <c r="O129" s="132"/>
      <c r="P129" s="125"/>
      <c r="Q129" s="125"/>
      <c r="R129" s="4">
        <f>SUM(MC[[#This Row],[ICR1]:[ICR12]])</f>
        <v>0</v>
      </c>
      <c r="S129" s="132"/>
      <c r="T129" s="132"/>
      <c r="U129" s="132"/>
      <c r="V129" s="132"/>
      <c r="W129" s="132"/>
      <c r="X129" s="132"/>
      <c r="Y129" s="132"/>
    </row>
    <row r="130" spans="1:25">
      <c r="A130" s="132">
        <v>127</v>
      </c>
      <c r="B130" s="126">
        <f t="shared" si="1"/>
        <v>45816</v>
      </c>
      <c r="C130" s="127">
        <f>YEAR(MC[[#This Row],[Date]])+IF(MONTH(MC[[#This Row],[Date]])&gt;=4,1,0)</f>
        <v>2026</v>
      </c>
      <c r="D130" s="128">
        <f>YEAR(MC[[#This Row],[Date]])</f>
        <v>2025</v>
      </c>
      <c r="E130" s="287" t="s">
        <v>156</v>
      </c>
      <c r="F130" s="287" t="s">
        <v>156</v>
      </c>
      <c r="G130" s="129" t="str">
        <f>TEXT(MC[[#This Row],[Date]],"mmm-yy")</f>
        <v>Jun-25</v>
      </c>
      <c r="H130" s="129">
        <f>DAY(EOMONTH(MC[[#This Row],[Month Year]],0))</f>
        <v>30</v>
      </c>
      <c r="I130" s="132"/>
      <c r="J130" s="132"/>
      <c r="K130" s="132"/>
      <c r="L130" s="132"/>
      <c r="M130" s="132"/>
      <c r="N130" s="132"/>
      <c r="O130" s="132"/>
      <c r="P130" s="125"/>
      <c r="Q130" s="125"/>
      <c r="R130" s="4">
        <f>SUM(MC[[#This Row],[ICR1]:[ICR12]])</f>
        <v>0</v>
      </c>
      <c r="S130" s="133"/>
      <c r="T130" s="133"/>
      <c r="U130" s="132"/>
      <c r="V130" s="132"/>
      <c r="W130" s="132"/>
      <c r="X130" s="132"/>
      <c r="Y130" s="132"/>
    </row>
    <row r="131" spans="1:25">
      <c r="A131" s="132">
        <v>127</v>
      </c>
      <c r="B131" s="126">
        <f t="shared" si="1"/>
        <v>45817</v>
      </c>
      <c r="C131" s="127">
        <f>YEAR(MC[[#This Row],[Date]])+IF(MONTH(MC[[#This Row],[Date]])&gt;=4,1,0)</f>
        <v>2026</v>
      </c>
      <c r="D131" s="128">
        <f>YEAR(MC[[#This Row],[Date]])</f>
        <v>2025</v>
      </c>
      <c r="E131" s="287" t="s">
        <v>156</v>
      </c>
      <c r="F131" s="287" t="s">
        <v>156</v>
      </c>
      <c r="G131" s="129" t="str">
        <f>TEXT(MC[[#This Row],[Date]],"mmm-yy")</f>
        <v>Jun-25</v>
      </c>
      <c r="H131" s="129">
        <f>DAY(EOMONTH(MC[[#This Row],[Month Year]],0))</f>
        <v>30</v>
      </c>
      <c r="I131" s="132"/>
      <c r="J131" s="132"/>
      <c r="K131" s="132"/>
      <c r="L131" s="132"/>
      <c r="M131" s="132"/>
      <c r="N131" s="132"/>
      <c r="O131" s="132"/>
      <c r="P131" s="125"/>
      <c r="Q131" s="125"/>
      <c r="R131" s="4">
        <f>SUM(MC[[#This Row],[ICR1]:[ICR12]])</f>
        <v>0</v>
      </c>
      <c r="S131" s="133"/>
      <c r="T131" s="133"/>
      <c r="U131" s="132"/>
      <c r="V131" s="132"/>
      <c r="W131" s="132"/>
      <c r="X131" s="132"/>
      <c r="Y131" s="132"/>
    </row>
    <row r="132" spans="1:25">
      <c r="A132" s="132">
        <v>127</v>
      </c>
      <c r="B132" s="126">
        <f t="shared" si="1"/>
        <v>45818</v>
      </c>
      <c r="C132" s="127">
        <f>YEAR(MC[[#This Row],[Date]])+IF(MONTH(MC[[#This Row],[Date]])&gt;=4,1,0)</f>
        <v>2026</v>
      </c>
      <c r="D132" s="128">
        <f>YEAR(MC[[#This Row],[Date]])</f>
        <v>2025</v>
      </c>
      <c r="E132" s="287" t="s">
        <v>156</v>
      </c>
      <c r="F132" s="287" t="s">
        <v>156</v>
      </c>
      <c r="G132" s="129" t="str">
        <f>TEXT(MC[[#This Row],[Date]],"mmm-yy")</f>
        <v>Jun-25</v>
      </c>
      <c r="H132" s="129">
        <f>DAY(EOMONTH(MC[[#This Row],[Month Year]],0))</f>
        <v>30</v>
      </c>
      <c r="I132" s="132"/>
      <c r="J132" s="132"/>
      <c r="K132" s="132"/>
      <c r="L132" s="132"/>
      <c r="M132" s="132"/>
      <c r="N132" s="132"/>
      <c r="O132" s="132"/>
      <c r="P132" s="125"/>
      <c r="Q132" s="125"/>
      <c r="R132" s="4">
        <f>SUM(MC[[#This Row],[ICR1]:[ICR12]])</f>
        <v>0</v>
      </c>
      <c r="S132" s="133"/>
      <c r="T132" s="133"/>
      <c r="U132" s="132"/>
      <c r="V132" s="132"/>
      <c r="W132" s="132"/>
      <c r="X132" s="132"/>
      <c r="Y132" s="132"/>
    </row>
    <row r="133" spans="1:25">
      <c r="A133" s="132">
        <v>127</v>
      </c>
      <c r="B133" s="126">
        <f t="shared" ref="B133:B196" si="2">B132+1</f>
        <v>45819</v>
      </c>
      <c r="C133" s="127">
        <f>YEAR(MC[[#This Row],[Date]])+IF(MONTH(MC[[#This Row],[Date]])&gt;=4,1,0)</f>
        <v>2026</v>
      </c>
      <c r="D133" s="128">
        <f>YEAR(MC[[#This Row],[Date]])</f>
        <v>2025</v>
      </c>
      <c r="E133" s="287" t="s">
        <v>156</v>
      </c>
      <c r="F133" s="287" t="s">
        <v>156</v>
      </c>
      <c r="G133" s="129" t="str">
        <f>TEXT(MC[[#This Row],[Date]],"mmm-yy")</f>
        <v>Jun-25</v>
      </c>
      <c r="H133" s="129">
        <f>DAY(EOMONTH(MC[[#This Row],[Month Year]],0))</f>
        <v>30</v>
      </c>
      <c r="I133" s="132"/>
      <c r="J133" s="132"/>
      <c r="K133" s="132"/>
      <c r="L133" s="132"/>
      <c r="M133" s="132"/>
      <c r="N133" s="132"/>
      <c r="O133" s="132"/>
      <c r="P133" s="125"/>
      <c r="Q133" s="125"/>
      <c r="R133" s="4">
        <f>SUM(MC[[#This Row],[ICR1]:[ICR12]])</f>
        <v>0</v>
      </c>
      <c r="S133" s="133"/>
      <c r="T133" s="133"/>
      <c r="U133" s="132"/>
      <c r="V133" s="132"/>
      <c r="W133" s="132"/>
      <c r="X133" s="132"/>
      <c r="Y133" s="132"/>
    </row>
    <row r="134" spans="1:25">
      <c r="A134" s="132">
        <v>127</v>
      </c>
      <c r="B134" s="126">
        <f t="shared" si="2"/>
        <v>45820</v>
      </c>
      <c r="C134" s="127">
        <f>YEAR(MC[[#This Row],[Date]])+IF(MONTH(MC[[#This Row],[Date]])&gt;=4,1,0)</f>
        <v>2026</v>
      </c>
      <c r="D134" s="128">
        <f>YEAR(MC[[#This Row],[Date]])</f>
        <v>2025</v>
      </c>
      <c r="E134" s="287" t="s">
        <v>156</v>
      </c>
      <c r="F134" s="287" t="s">
        <v>156</v>
      </c>
      <c r="G134" s="129" t="str">
        <f>TEXT(MC[[#This Row],[Date]],"mmm-yy")</f>
        <v>Jun-25</v>
      </c>
      <c r="H134" s="129">
        <f>DAY(EOMONTH(MC[[#This Row],[Month Year]],0))</f>
        <v>30</v>
      </c>
      <c r="I134" s="132"/>
      <c r="J134" s="132"/>
      <c r="K134" s="132"/>
      <c r="L134" s="132"/>
      <c r="M134" s="132"/>
      <c r="N134" s="132"/>
      <c r="O134" s="132"/>
      <c r="P134" s="125"/>
      <c r="Q134" s="125"/>
      <c r="R134" s="4">
        <f>SUM(MC[[#This Row],[ICR1]:[ICR12]])</f>
        <v>0</v>
      </c>
      <c r="S134" s="133"/>
      <c r="T134" s="133"/>
      <c r="U134" s="132"/>
      <c r="V134" s="132"/>
      <c r="W134" s="132"/>
      <c r="X134" s="132"/>
      <c r="Y134" s="132"/>
    </row>
    <row r="135" spans="1:25">
      <c r="A135" s="132">
        <v>127</v>
      </c>
      <c r="B135" s="126">
        <f t="shared" si="2"/>
        <v>45821</v>
      </c>
      <c r="C135" s="127">
        <f>YEAR(MC[[#This Row],[Date]])+IF(MONTH(MC[[#This Row],[Date]])&gt;=4,1,0)</f>
        <v>2026</v>
      </c>
      <c r="D135" s="128">
        <f>YEAR(MC[[#This Row],[Date]])</f>
        <v>2025</v>
      </c>
      <c r="E135" s="287" t="s">
        <v>156</v>
      </c>
      <c r="F135" s="287" t="s">
        <v>156</v>
      </c>
      <c r="G135" s="129" t="str">
        <f>TEXT(MC[[#This Row],[Date]],"mmm-yy")</f>
        <v>Jun-25</v>
      </c>
      <c r="H135" s="129">
        <f>DAY(EOMONTH(MC[[#This Row],[Month Year]],0))</f>
        <v>30</v>
      </c>
      <c r="I135" s="132"/>
      <c r="J135" s="132"/>
      <c r="K135" s="132"/>
      <c r="L135" s="132"/>
      <c r="M135" s="132"/>
      <c r="N135" s="132"/>
      <c r="O135" s="132"/>
      <c r="P135" s="125"/>
      <c r="Q135" s="125"/>
      <c r="R135" s="4">
        <f>SUM(MC[[#This Row],[ICR1]:[ICR12]])</f>
        <v>0</v>
      </c>
      <c r="S135" s="133"/>
      <c r="T135" s="133"/>
      <c r="U135" s="132"/>
      <c r="V135" s="132"/>
      <c r="W135" s="132"/>
      <c r="X135" s="132"/>
      <c r="Y135" s="132"/>
    </row>
    <row r="136" spans="1:25">
      <c r="A136" s="132">
        <v>127</v>
      </c>
      <c r="B136" s="126">
        <f t="shared" si="2"/>
        <v>45822</v>
      </c>
      <c r="C136" s="127">
        <f>YEAR(MC[[#This Row],[Date]])+IF(MONTH(MC[[#This Row],[Date]])&gt;=4,1,0)</f>
        <v>2026</v>
      </c>
      <c r="D136" s="128">
        <f>YEAR(MC[[#This Row],[Date]])</f>
        <v>2025</v>
      </c>
      <c r="E136" s="287" t="s">
        <v>156</v>
      </c>
      <c r="F136" s="287" t="s">
        <v>156</v>
      </c>
      <c r="G136" s="129" t="str">
        <f>TEXT(MC[[#This Row],[Date]],"mmm-yy")</f>
        <v>Jun-25</v>
      </c>
      <c r="H136" s="129">
        <f>DAY(EOMONTH(MC[[#This Row],[Month Year]],0))</f>
        <v>30</v>
      </c>
      <c r="I136" s="132"/>
      <c r="J136" s="132"/>
      <c r="K136" s="132"/>
      <c r="L136" s="132"/>
      <c r="M136" s="132"/>
      <c r="N136" s="132"/>
      <c r="O136" s="132"/>
      <c r="P136" s="125"/>
      <c r="Q136" s="125"/>
      <c r="R136" s="4">
        <f>SUM(MC[[#This Row],[ICR1]:[ICR12]])</f>
        <v>0</v>
      </c>
      <c r="S136" s="133"/>
      <c r="T136" s="133"/>
      <c r="U136" s="132"/>
      <c r="V136" s="132"/>
      <c r="W136" s="132"/>
      <c r="X136" s="132"/>
      <c r="Y136" s="132"/>
    </row>
    <row r="137" spans="1:25">
      <c r="A137" s="132">
        <v>127</v>
      </c>
      <c r="B137" s="126">
        <f t="shared" si="2"/>
        <v>45823</v>
      </c>
      <c r="C137" s="127">
        <f>YEAR(MC[[#This Row],[Date]])+IF(MONTH(MC[[#This Row],[Date]])&gt;=4,1,0)</f>
        <v>2026</v>
      </c>
      <c r="D137" s="128">
        <f>YEAR(MC[[#This Row],[Date]])</f>
        <v>2025</v>
      </c>
      <c r="E137" s="287" t="s">
        <v>156</v>
      </c>
      <c r="F137" s="287" t="s">
        <v>156</v>
      </c>
      <c r="G137" s="129" t="str">
        <f>TEXT(MC[[#This Row],[Date]],"mmm-yy")</f>
        <v>Jun-25</v>
      </c>
      <c r="H137" s="129">
        <f>DAY(EOMONTH(MC[[#This Row],[Month Year]],0))</f>
        <v>30</v>
      </c>
      <c r="I137" s="132"/>
      <c r="J137" s="132"/>
      <c r="K137" s="132"/>
      <c r="L137" s="132"/>
      <c r="M137" s="132"/>
      <c r="N137" s="132"/>
      <c r="O137" s="132"/>
      <c r="P137" s="125"/>
      <c r="Q137" s="125"/>
      <c r="R137" s="4">
        <f>SUM(MC[[#This Row],[ICR1]:[ICR12]])</f>
        <v>0</v>
      </c>
      <c r="S137" s="133"/>
      <c r="T137" s="133"/>
      <c r="U137" s="132"/>
      <c r="V137" s="132"/>
      <c r="W137" s="132"/>
      <c r="X137" s="132"/>
      <c r="Y137" s="132"/>
    </row>
    <row r="138" spans="1:25">
      <c r="A138" s="132">
        <v>127</v>
      </c>
      <c r="B138" s="126">
        <f t="shared" si="2"/>
        <v>45824</v>
      </c>
      <c r="C138" s="127">
        <f>YEAR(MC[[#This Row],[Date]])+IF(MONTH(MC[[#This Row],[Date]])&gt;=4,1,0)</f>
        <v>2026</v>
      </c>
      <c r="D138" s="128">
        <f>YEAR(MC[[#This Row],[Date]])</f>
        <v>2025</v>
      </c>
      <c r="E138" s="287" t="s">
        <v>156</v>
      </c>
      <c r="F138" s="287" t="s">
        <v>156</v>
      </c>
      <c r="G138" s="129" t="str">
        <f>TEXT(MC[[#This Row],[Date]],"mmm-yy")</f>
        <v>Jun-25</v>
      </c>
      <c r="H138" s="129">
        <f>DAY(EOMONTH(MC[[#This Row],[Month Year]],0))</f>
        <v>30</v>
      </c>
      <c r="I138" s="132"/>
      <c r="J138" s="132"/>
      <c r="K138" s="132"/>
      <c r="L138" s="132"/>
      <c r="M138" s="132"/>
      <c r="N138" s="132"/>
      <c r="O138" s="132"/>
      <c r="P138" s="125"/>
      <c r="Q138" s="125"/>
      <c r="R138" s="4">
        <f>SUM(MC[[#This Row],[ICR1]:[ICR12]])</f>
        <v>0</v>
      </c>
      <c r="S138" s="133"/>
      <c r="T138" s="133"/>
      <c r="U138" s="132"/>
      <c r="V138" s="132"/>
      <c r="W138" s="132"/>
      <c r="X138" s="132"/>
      <c r="Y138" s="132"/>
    </row>
    <row r="139" spans="1:25">
      <c r="A139" s="132">
        <v>127</v>
      </c>
      <c r="B139" s="126">
        <f t="shared" si="2"/>
        <v>45825</v>
      </c>
      <c r="C139" s="127">
        <f>YEAR(MC[[#This Row],[Date]])+IF(MONTH(MC[[#This Row],[Date]])&gt;=4,1,0)</f>
        <v>2026</v>
      </c>
      <c r="D139" s="128">
        <f>YEAR(MC[[#This Row],[Date]])</f>
        <v>2025</v>
      </c>
      <c r="E139" s="287" t="s">
        <v>156</v>
      </c>
      <c r="F139" s="287" t="s">
        <v>156</v>
      </c>
      <c r="G139" s="129" t="str">
        <f>TEXT(MC[[#This Row],[Date]],"mmm-yy")</f>
        <v>Jun-25</v>
      </c>
      <c r="H139" s="129">
        <f>DAY(EOMONTH(MC[[#This Row],[Month Year]],0))</f>
        <v>30</v>
      </c>
      <c r="I139" s="132"/>
      <c r="J139" s="132"/>
      <c r="K139" s="132"/>
      <c r="L139" s="132"/>
      <c r="M139" s="132"/>
      <c r="N139" s="132"/>
      <c r="O139" s="132"/>
      <c r="P139" s="125"/>
      <c r="Q139" s="125"/>
      <c r="R139" s="4">
        <f>SUM(MC[[#This Row],[ICR1]:[ICR12]])</f>
        <v>0</v>
      </c>
      <c r="S139" s="133"/>
      <c r="T139" s="133"/>
      <c r="U139" s="132"/>
      <c r="V139" s="132"/>
      <c r="W139" s="132"/>
      <c r="X139" s="132"/>
      <c r="Y139" s="132"/>
    </row>
    <row r="140" spans="1:25">
      <c r="A140" s="132">
        <v>127</v>
      </c>
      <c r="B140" s="126">
        <f t="shared" si="2"/>
        <v>45826</v>
      </c>
      <c r="C140" s="127">
        <f>YEAR(MC[[#This Row],[Date]])+IF(MONTH(MC[[#This Row],[Date]])&gt;=4,1,0)</f>
        <v>2026</v>
      </c>
      <c r="D140" s="128">
        <f>YEAR(MC[[#This Row],[Date]])</f>
        <v>2025</v>
      </c>
      <c r="E140" s="287" t="s">
        <v>156</v>
      </c>
      <c r="F140" s="287" t="s">
        <v>156</v>
      </c>
      <c r="G140" s="129" t="str">
        <f>TEXT(MC[[#This Row],[Date]],"mmm-yy")</f>
        <v>Jun-25</v>
      </c>
      <c r="H140" s="129">
        <f>DAY(EOMONTH(MC[[#This Row],[Month Year]],0))</f>
        <v>30</v>
      </c>
      <c r="I140" s="132"/>
      <c r="J140" s="132"/>
      <c r="K140" s="132"/>
      <c r="L140" s="132"/>
      <c r="M140" s="132"/>
      <c r="N140" s="132"/>
      <c r="O140" s="132"/>
      <c r="P140" s="125"/>
      <c r="Q140" s="125"/>
      <c r="R140" s="4">
        <f>SUM(MC[[#This Row],[ICR1]:[ICR12]])</f>
        <v>0</v>
      </c>
      <c r="S140" s="133"/>
      <c r="T140" s="133"/>
      <c r="U140" s="132"/>
      <c r="V140" s="132"/>
      <c r="W140" s="132"/>
      <c r="X140" s="132"/>
      <c r="Y140" s="132"/>
    </row>
    <row r="141" spans="1:25">
      <c r="A141" s="132">
        <v>139</v>
      </c>
      <c r="B141" s="126">
        <f t="shared" si="2"/>
        <v>45827</v>
      </c>
      <c r="C141" s="127">
        <f>YEAR(MC[[#This Row],[Date]])+IF(MONTH(MC[[#This Row],[Date]])&gt;=4,1,0)</f>
        <v>2026</v>
      </c>
      <c r="D141" s="128">
        <f>YEAR(MC[[#This Row],[Date]])</f>
        <v>2025</v>
      </c>
      <c r="E141" s="287" t="s">
        <v>156</v>
      </c>
      <c r="F141" s="287" t="s">
        <v>156</v>
      </c>
      <c r="G141" s="129" t="str">
        <f>TEXT(MC[[#This Row],[Date]],"mmm-yy")</f>
        <v>Jun-25</v>
      </c>
      <c r="H141" s="129">
        <f>DAY(EOMONTH(MC[[#This Row],[Month Year]],0))</f>
        <v>30</v>
      </c>
      <c r="I141" s="132"/>
      <c r="J141" s="132"/>
      <c r="K141" s="132"/>
      <c r="L141" s="132"/>
      <c r="M141" s="132"/>
      <c r="N141" s="132"/>
      <c r="O141" s="132"/>
      <c r="P141" s="125"/>
      <c r="Q141" s="125"/>
      <c r="R141" s="4">
        <f>SUM(MC[[#This Row],[ICR1]:[ICR12]])</f>
        <v>0</v>
      </c>
      <c r="S141" s="133"/>
      <c r="T141" s="133"/>
      <c r="U141" s="132"/>
      <c r="V141" s="132"/>
      <c r="W141" s="132"/>
      <c r="X141" s="132"/>
      <c r="Y141" s="132"/>
    </row>
    <row r="142" spans="1:25">
      <c r="A142" s="132">
        <v>140</v>
      </c>
      <c r="B142" s="126">
        <f t="shared" si="2"/>
        <v>45828</v>
      </c>
      <c r="C142" s="127">
        <f>YEAR(MC[[#This Row],[Date]])+IF(MONTH(MC[[#This Row],[Date]])&gt;=4,1,0)</f>
        <v>2026</v>
      </c>
      <c r="D142" s="128">
        <f>YEAR(MC[[#This Row],[Date]])</f>
        <v>2025</v>
      </c>
      <c r="E142" s="287" t="s">
        <v>156</v>
      </c>
      <c r="F142" s="287" t="s">
        <v>156</v>
      </c>
      <c r="G142" s="129" t="str">
        <f>TEXT(MC[[#This Row],[Date]],"mmm-yy")</f>
        <v>Jun-25</v>
      </c>
      <c r="H142" s="129">
        <f>DAY(EOMONTH(MC[[#This Row],[Month Year]],0))</f>
        <v>30</v>
      </c>
      <c r="I142" s="132"/>
      <c r="J142" s="132"/>
      <c r="K142" s="132"/>
      <c r="L142" s="132"/>
      <c r="M142" s="132"/>
      <c r="N142" s="132"/>
      <c r="O142" s="132"/>
      <c r="P142" s="125"/>
      <c r="Q142" s="125"/>
      <c r="R142" s="4">
        <f>SUM(MC[[#This Row],[ICR1]:[ICR12]])</f>
        <v>0</v>
      </c>
      <c r="S142" s="132"/>
      <c r="T142" s="133"/>
      <c r="U142" s="132"/>
      <c r="V142" s="132"/>
      <c r="W142" s="132"/>
      <c r="X142" s="132"/>
      <c r="Y142" s="132"/>
    </row>
    <row r="143" spans="1:25">
      <c r="A143" s="132">
        <v>141</v>
      </c>
      <c r="B143" s="126">
        <f t="shared" si="2"/>
        <v>45829</v>
      </c>
      <c r="C143" s="127">
        <f>YEAR(MC[[#This Row],[Date]])+IF(MONTH(MC[[#This Row],[Date]])&gt;=4,1,0)</f>
        <v>2026</v>
      </c>
      <c r="D143" s="128">
        <f>YEAR(MC[[#This Row],[Date]])</f>
        <v>2025</v>
      </c>
      <c r="E143" s="287" t="s">
        <v>156</v>
      </c>
      <c r="F143" s="287" t="s">
        <v>156</v>
      </c>
      <c r="G143" s="129" t="str">
        <f>TEXT(MC[[#This Row],[Date]],"mmm-yy")</f>
        <v>Jun-25</v>
      </c>
      <c r="H143" s="129">
        <f>DAY(EOMONTH(MC[[#This Row],[Month Year]],0))</f>
        <v>30</v>
      </c>
      <c r="I143" s="132"/>
      <c r="J143" s="132"/>
      <c r="K143" s="132"/>
      <c r="L143" s="132"/>
      <c r="M143" s="132"/>
      <c r="N143" s="132"/>
      <c r="O143" s="132"/>
      <c r="P143" s="125"/>
      <c r="Q143" s="125"/>
      <c r="R143" s="4">
        <f>SUM(MC[[#This Row],[ICR1]:[ICR12]])</f>
        <v>0</v>
      </c>
      <c r="S143" s="132"/>
      <c r="T143" s="133"/>
      <c r="U143" s="132"/>
      <c r="V143" s="132"/>
      <c r="W143" s="132"/>
      <c r="X143" s="132"/>
      <c r="Y143" s="132"/>
    </row>
    <row r="144" spans="1:25">
      <c r="A144" s="132">
        <v>142</v>
      </c>
      <c r="B144" s="126">
        <f t="shared" si="2"/>
        <v>45830</v>
      </c>
      <c r="C144" s="127">
        <f>YEAR(MC[[#This Row],[Date]])+IF(MONTH(MC[[#This Row],[Date]])&gt;=4,1,0)</f>
        <v>2026</v>
      </c>
      <c r="D144" s="128">
        <f>YEAR(MC[[#This Row],[Date]])</f>
        <v>2025</v>
      </c>
      <c r="E144" s="287" t="s">
        <v>156</v>
      </c>
      <c r="F144" s="287" t="s">
        <v>156</v>
      </c>
      <c r="G144" s="129" t="str">
        <f>TEXT(MC[[#This Row],[Date]],"mmm-yy")</f>
        <v>Jun-25</v>
      </c>
      <c r="H144" s="129">
        <f>DAY(EOMONTH(MC[[#This Row],[Month Year]],0))</f>
        <v>30</v>
      </c>
      <c r="I144" s="132"/>
      <c r="J144" s="132"/>
      <c r="K144" s="132"/>
      <c r="L144" s="132"/>
      <c r="M144" s="132"/>
      <c r="N144" s="132"/>
      <c r="O144" s="132"/>
      <c r="P144" s="125"/>
      <c r="Q144" s="125"/>
      <c r="R144" s="4">
        <f>SUM(MC[[#This Row],[ICR1]:[ICR12]])</f>
        <v>0</v>
      </c>
      <c r="S144" s="133"/>
      <c r="T144" s="133"/>
      <c r="U144" s="132"/>
      <c r="V144" s="132"/>
      <c r="W144" s="132"/>
      <c r="X144" s="132"/>
      <c r="Y144" s="132"/>
    </row>
    <row r="145" spans="1:25">
      <c r="A145" s="132">
        <v>143</v>
      </c>
      <c r="B145" s="126">
        <f t="shared" si="2"/>
        <v>45831</v>
      </c>
      <c r="C145" s="127">
        <f>YEAR(MC[[#This Row],[Date]])+IF(MONTH(MC[[#This Row],[Date]])&gt;=4,1,0)</f>
        <v>2026</v>
      </c>
      <c r="D145" s="128">
        <f>YEAR(MC[[#This Row],[Date]])</f>
        <v>2025</v>
      </c>
      <c r="E145" s="287" t="s">
        <v>156</v>
      </c>
      <c r="F145" s="287" t="s">
        <v>156</v>
      </c>
      <c r="G145" s="129" t="str">
        <f>TEXT(MC[[#This Row],[Date]],"mmm-yy")</f>
        <v>Jun-25</v>
      </c>
      <c r="H145" s="129">
        <f>DAY(EOMONTH(MC[[#This Row],[Month Year]],0))</f>
        <v>30</v>
      </c>
      <c r="I145" s="132"/>
      <c r="J145" s="132"/>
      <c r="K145" s="132"/>
      <c r="L145" s="132"/>
      <c r="M145" s="132"/>
      <c r="N145" s="132"/>
      <c r="O145" s="132"/>
      <c r="P145" s="125"/>
      <c r="Q145" s="125"/>
      <c r="R145" s="4">
        <f>SUM(MC[[#This Row],[ICR1]:[ICR12]])</f>
        <v>0</v>
      </c>
      <c r="S145" s="133"/>
      <c r="T145" s="133"/>
      <c r="U145" s="132"/>
      <c r="V145" s="132"/>
      <c r="W145" s="132"/>
      <c r="X145" s="132"/>
      <c r="Y145" s="132"/>
    </row>
    <row r="146" spans="1:25">
      <c r="A146" s="132">
        <v>144</v>
      </c>
      <c r="B146" s="126">
        <f t="shared" si="2"/>
        <v>45832</v>
      </c>
      <c r="C146" s="127">
        <f>YEAR(MC[[#This Row],[Date]])+IF(MONTH(MC[[#This Row],[Date]])&gt;=4,1,0)</f>
        <v>2026</v>
      </c>
      <c r="D146" s="128">
        <f>YEAR(MC[[#This Row],[Date]])</f>
        <v>2025</v>
      </c>
      <c r="E146" s="287" t="s">
        <v>156</v>
      </c>
      <c r="F146" s="287" t="s">
        <v>156</v>
      </c>
      <c r="G146" s="129" t="str">
        <f>TEXT(MC[[#This Row],[Date]],"mmm-yy")</f>
        <v>Jun-25</v>
      </c>
      <c r="H146" s="129">
        <f>DAY(EOMONTH(MC[[#This Row],[Month Year]],0))</f>
        <v>30</v>
      </c>
      <c r="I146" s="132"/>
      <c r="J146" s="132"/>
      <c r="K146" s="132"/>
      <c r="L146" s="132"/>
      <c r="M146" s="132"/>
      <c r="N146" s="132"/>
      <c r="O146" s="132"/>
      <c r="P146" s="125"/>
      <c r="Q146" s="125"/>
      <c r="R146" s="4">
        <f>SUM(MC[[#This Row],[ICR1]:[ICR12]])</f>
        <v>0</v>
      </c>
      <c r="S146" s="133"/>
      <c r="T146" s="133"/>
      <c r="U146" s="133"/>
      <c r="V146" s="133"/>
      <c r="W146" s="132"/>
      <c r="X146" s="132"/>
      <c r="Y146" s="132"/>
    </row>
    <row r="147" spans="1:25">
      <c r="A147" s="132">
        <v>145</v>
      </c>
      <c r="B147" s="126">
        <f t="shared" si="2"/>
        <v>45833</v>
      </c>
      <c r="C147" s="127">
        <f>YEAR(MC[[#This Row],[Date]])+IF(MONTH(MC[[#This Row],[Date]])&gt;=4,1,0)</f>
        <v>2026</v>
      </c>
      <c r="D147" s="128">
        <f>YEAR(MC[[#This Row],[Date]])</f>
        <v>2025</v>
      </c>
      <c r="E147" s="287" t="s">
        <v>156</v>
      </c>
      <c r="F147" s="287" t="s">
        <v>156</v>
      </c>
      <c r="G147" s="129" t="str">
        <f>TEXT(MC[[#This Row],[Date]],"mmm-yy")</f>
        <v>Jun-25</v>
      </c>
      <c r="H147" s="129">
        <f>DAY(EOMONTH(MC[[#This Row],[Month Year]],0))</f>
        <v>30</v>
      </c>
      <c r="I147" s="132"/>
      <c r="J147" s="132"/>
      <c r="K147" s="132"/>
      <c r="L147" s="132"/>
      <c r="M147" s="132"/>
      <c r="N147" s="132"/>
      <c r="O147" s="132"/>
      <c r="P147" s="125"/>
      <c r="Q147" s="125"/>
      <c r="R147" s="4">
        <f>SUM(MC[[#This Row],[ICR1]:[ICR12]])</f>
        <v>0</v>
      </c>
      <c r="S147" s="133"/>
      <c r="T147" s="133"/>
      <c r="U147" s="133"/>
      <c r="V147" s="133"/>
      <c r="W147" s="132"/>
      <c r="X147" s="132"/>
      <c r="Y147" s="132"/>
    </row>
    <row r="148" spans="1:25">
      <c r="A148" s="132">
        <v>146</v>
      </c>
      <c r="B148" s="126">
        <f t="shared" si="2"/>
        <v>45834</v>
      </c>
      <c r="C148" s="127">
        <f>YEAR(MC[[#This Row],[Date]])+IF(MONTH(MC[[#This Row],[Date]])&gt;=4,1,0)</f>
        <v>2026</v>
      </c>
      <c r="D148" s="128">
        <f>YEAR(MC[[#This Row],[Date]])</f>
        <v>2025</v>
      </c>
      <c r="E148" s="287" t="s">
        <v>156</v>
      </c>
      <c r="F148" s="287" t="s">
        <v>156</v>
      </c>
      <c r="G148" s="129" t="str">
        <f>TEXT(MC[[#This Row],[Date]],"mmm-yy")</f>
        <v>Jun-25</v>
      </c>
      <c r="H148" s="129">
        <f>DAY(EOMONTH(MC[[#This Row],[Month Year]],0))</f>
        <v>30</v>
      </c>
      <c r="I148" s="132"/>
      <c r="J148" s="132"/>
      <c r="K148" s="132"/>
      <c r="L148" s="132"/>
      <c r="M148" s="132"/>
      <c r="N148" s="132"/>
      <c r="O148" s="132"/>
      <c r="P148" s="125"/>
      <c r="Q148" s="125"/>
      <c r="R148" s="4">
        <f>SUM(MC[[#This Row],[ICR1]:[ICR12]])</f>
        <v>0</v>
      </c>
      <c r="S148" s="133"/>
      <c r="T148" s="133"/>
      <c r="U148" s="133"/>
      <c r="V148" s="133"/>
      <c r="W148" s="132"/>
      <c r="X148" s="132"/>
      <c r="Y148" s="132"/>
    </row>
    <row r="149" spans="1:25">
      <c r="A149" s="132">
        <v>147</v>
      </c>
      <c r="B149" s="126">
        <f t="shared" si="2"/>
        <v>45835</v>
      </c>
      <c r="C149" s="127">
        <f>YEAR(MC[[#This Row],[Date]])+IF(MONTH(MC[[#This Row],[Date]])&gt;=4,1,0)</f>
        <v>2026</v>
      </c>
      <c r="D149" s="128">
        <f>YEAR(MC[[#This Row],[Date]])</f>
        <v>2025</v>
      </c>
      <c r="E149" s="287" t="s">
        <v>156</v>
      </c>
      <c r="F149" s="287" t="s">
        <v>156</v>
      </c>
      <c r="G149" s="129" t="str">
        <f>TEXT(MC[[#This Row],[Date]],"mmm-yy")</f>
        <v>Jun-25</v>
      </c>
      <c r="H149" s="129">
        <f>DAY(EOMONTH(MC[[#This Row],[Month Year]],0))</f>
        <v>30</v>
      </c>
      <c r="I149" s="132"/>
      <c r="J149" s="132"/>
      <c r="K149" s="132"/>
      <c r="L149" s="132"/>
      <c r="M149" s="132"/>
      <c r="N149" s="132"/>
      <c r="O149" s="132"/>
      <c r="P149" s="125"/>
      <c r="Q149" s="125"/>
      <c r="R149" s="4">
        <f>SUM(MC[[#This Row],[ICR1]:[ICR12]])</f>
        <v>0</v>
      </c>
      <c r="S149" s="133"/>
      <c r="T149" s="132"/>
      <c r="U149" s="132"/>
      <c r="V149" s="133"/>
      <c r="W149" s="132"/>
      <c r="X149" s="132"/>
      <c r="Y149" s="132"/>
    </row>
    <row r="150" spans="1:25">
      <c r="A150" s="132">
        <v>148</v>
      </c>
      <c r="B150" s="126">
        <f t="shared" si="2"/>
        <v>45836</v>
      </c>
      <c r="C150" s="127">
        <f>YEAR(MC[[#This Row],[Date]])+IF(MONTH(MC[[#This Row],[Date]])&gt;=4,1,0)</f>
        <v>2026</v>
      </c>
      <c r="D150" s="128">
        <f>YEAR(MC[[#This Row],[Date]])</f>
        <v>2025</v>
      </c>
      <c r="E150" s="287" t="s">
        <v>156</v>
      </c>
      <c r="F150" s="287" t="s">
        <v>156</v>
      </c>
      <c r="G150" s="129" t="str">
        <f>TEXT(MC[[#This Row],[Date]],"mmm-yy")</f>
        <v>Jun-25</v>
      </c>
      <c r="H150" s="129">
        <f>DAY(EOMONTH(MC[[#This Row],[Month Year]],0))</f>
        <v>30</v>
      </c>
      <c r="I150" s="132"/>
      <c r="J150" s="132"/>
      <c r="K150" s="132"/>
      <c r="L150" s="132"/>
      <c r="M150" s="132"/>
      <c r="N150" s="132"/>
      <c r="O150" s="132"/>
      <c r="P150" s="125"/>
      <c r="Q150" s="125"/>
      <c r="R150" s="4">
        <f>SUM(MC[[#This Row],[ICR1]:[ICR12]])</f>
        <v>0</v>
      </c>
      <c r="S150" s="132"/>
      <c r="T150" s="132"/>
      <c r="U150" s="132"/>
      <c r="V150" s="132"/>
      <c r="W150" s="132"/>
      <c r="X150" s="132"/>
      <c r="Y150" s="134"/>
    </row>
    <row r="151" spans="1:25">
      <c r="A151" s="132">
        <v>149</v>
      </c>
      <c r="B151" s="126">
        <f t="shared" si="2"/>
        <v>45837</v>
      </c>
      <c r="C151" s="127">
        <f>YEAR(MC[[#This Row],[Date]])+IF(MONTH(MC[[#This Row],[Date]])&gt;=4,1,0)</f>
        <v>2026</v>
      </c>
      <c r="D151" s="128">
        <f>YEAR(MC[[#This Row],[Date]])</f>
        <v>2025</v>
      </c>
      <c r="E151" s="287" t="s">
        <v>156</v>
      </c>
      <c r="F151" s="287" t="s">
        <v>156</v>
      </c>
      <c r="G151" s="129" t="str">
        <f>TEXT(MC[[#This Row],[Date]],"mmm-yy")</f>
        <v>Jun-25</v>
      </c>
      <c r="H151" s="129">
        <f>DAY(EOMONTH(MC[[#This Row],[Month Year]],0))</f>
        <v>30</v>
      </c>
      <c r="I151" s="132"/>
      <c r="J151" s="132"/>
      <c r="K151" s="132"/>
      <c r="L151" s="132"/>
      <c r="M151" s="132"/>
      <c r="N151" s="132"/>
      <c r="O151" s="132"/>
      <c r="P151" s="125"/>
      <c r="Q151" s="125"/>
      <c r="R151" s="4">
        <f>SUM(MC[[#This Row],[ICR1]:[ICR12]])</f>
        <v>0</v>
      </c>
      <c r="S151" s="132"/>
      <c r="T151" s="132"/>
      <c r="U151" s="132"/>
      <c r="V151" s="132"/>
      <c r="W151" s="132"/>
      <c r="X151" s="132"/>
      <c r="Y151" s="134"/>
    </row>
    <row r="152" spans="1:25">
      <c r="A152" s="132">
        <v>150</v>
      </c>
      <c r="B152" s="126">
        <f t="shared" si="2"/>
        <v>45838</v>
      </c>
      <c r="C152" s="127">
        <f>YEAR(MC[[#This Row],[Date]])+IF(MONTH(MC[[#This Row],[Date]])&gt;=4,1,0)</f>
        <v>2026</v>
      </c>
      <c r="D152" s="128">
        <f>YEAR(MC[[#This Row],[Date]])</f>
        <v>2025</v>
      </c>
      <c r="E152" s="287" t="s">
        <v>156</v>
      </c>
      <c r="F152" s="287" t="s">
        <v>156</v>
      </c>
      <c r="G152" s="129" t="str">
        <f>TEXT(MC[[#This Row],[Date]],"mmm-yy")</f>
        <v>Jun-25</v>
      </c>
      <c r="H152" s="129">
        <f>DAY(EOMONTH(MC[[#This Row],[Month Year]],0))</f>
        <v>30</v>
      </c>
      <c r="I152" s="132"/>
      <c r="J152" s="132"/>
      <c r="K152" s="132"/>
      <c r="L152" s="132"/>
      <c r="M152" s="132"/>
      <c r="N152" s="132"/>
      <c r="O152" s="132"/>
      <c r="P152" s="125"/>
      <c r="Q152" s="125"/>
      <c r="R152" s="4">
        <f>SUM(MC[[#This Row],[ICR1]:[ICR12]])</f>
        <v>0</v>
      </c>
      <c r="S152" s="132"/>
      <c r="T152" s="132"/>
      <c r="U152" s="132"/>
      <c r="V152" s="132"/>
      <c r="W152" s="132"/>
      <c r="X152" s="132"/>
      <c r="Y152" s="134"/>
    </row>
    <row r="153" spans="1:25">
      <c r="A153" s="132">
        <v>151</v>
      </c>
      <c r="B153" s="126">
        <f t="shared" si="2"/>
        <v>45839</v>
      </c>
      <c r="C153" s="127">
        <f>YEAR(MC[[#This Row],[Date]])+IF(MONTH(MC[[#This Row],[Date]])&gt;=4,1,0)</f>
        <v>2026</v>
      </c>
      <c r="D153" s="128">
        <f>YEAR(MC[[#This Row],[Date]])</f>
        <v>2025</v>
      </c>
      <c r="E153" s="287" t="s">
        <v>156</v>
      </c>
      <c r="F153" s="287" t="s">
        <v>156</v>
      </c>
      <c r="G153" s="129" t="str">
        <f>TEXT(MC[[#This Row],[Date]],"mmm-yy")</f>
        <v>Jul-25</v>
      </c>
      <c r="H153" s="129">
        <f>DAY(EOMONTH(MC[[#This Row],[Month Year]],0))</f>
        <v>31</v>
      </c>
      <c r="I153" s="132"/>
      <c r="J153" s="132"/>
      <c r="K153" s="132"/>
      <c r="L153" s="132"/>
      <c r="M153" s="132"/>
      <c r="N153" s="132"/>
      <c r="O153" s="132"/>
      <c r="P153" s="125"/>
      <c r="Q153" s="125"/>
      <c r="R153" s="4">
        <f>SUM(MC[[#This Row],[ICR1]:[ICR12]])</f>
        <v>0</v>
      </c>
      <c r="S153" s="132"/>
      <c r="T153" s="132"/>
      <c r="U153" s="132"/>
      <c r="V153" s="132"/>
      <c r="W153" s="132"/>
      <c r="X153" s="132"/>
      <c r="Y153" s="134"/>
    </row>
    <row r="154" spans="1:25">
      <c r="A154" s="132">
        <v>152</v>
      </c>
      <c r="B154" s="126">
        <f t="shared" si="2"/>
        <v>45840</v>
      </c>
      <c r="C154" s="127">
        <f>YEAR(MC[[#This Row],[Date]])+IF(MONTH(MC[[#This Row],[Date]])&gt;=4,1,0)</f>
        <v>2026</v>
      </c>
      <c r="D154" s="128">
        <f>YEAR(MC[[#This Row],[Date]])</f>
        <v>2025</v>
      </c>
      <c r="E154" s="287" t="s">
        <v>156</v>
      </c>
      <c r="F154" s="287" t="s">
        <v>156</v>
      </c>
      <c r="G154" s="129" t="str">
        <f>TEXT(MC[[#This Row],[Date]],"mmm-yy")</f>
        <v>Jul-25</v>
      </c>
      <c r="H154" s="129">
        <f>DAY(EOMONTH(MC[[#This Row],[Month Year]],0))</f>
        <v>31</v>
      </c>
      <c r="I154" s="132"/>
      <c r="J154" s="132"/>
      <c r="K154" s="132"/>
      <c r="L154" s="132"/>
      <c r="M154" s="132"/>
      <c r="N154" s="132"/>
      <c r="O154" s="132"/>
      <c r="P154" s="125"/>
      <c r="Q154" s="125"/>
      <c r="R154" s="4">
        <f>SUM(MC[[#This Row],[ICR1]:[ICR12]])</f>
        <v>0</v>
      </c>
      <c r="S154" s="132"/>
      <c r="T154" s="132"/>
      <c r="U154" s="132"/>
      <c r="V154" s="132"/>
      <c r="W154" s="132"/>
      <c r="X154" s="132"/>
      <c r="Y154" s="134"/>
    </row>
    <row r="155" spans="1:25">
      <c r="A155" s="132">
        <v>153</v>
      </c>
      <c r="B155" s="126">
        <f t="shared" si="2"/>
        <v>45841</v>
      </c>
      <c r="C155" s="127">
        <f>YEAR(MC[[#This Row],[Date]])+IF(MONTH(MC[[#This Row],[Date]])&gt;=4,1,0)</f>
        <v>2026</v>
      </c>
      <c r="D155" s="128">
        <f>YEAR(MC[[#This Row],[Date]])</f>
        <v>2025</v>
      </c>
      <c r="E155" s="287" t="s">
        <v>156</v>
      </c>
      <c r="F155" s="287" t="s">
        <v>156</v>
      </c>
      <c r="G155" s="129" t="str">
        <f>TEXT(MC[[#This Row],[Date]],"mmm-yy")</f>
        <v>Jul-25</v>
      </c>
      <c r="H155" s="129">
        <f>DAY(EOMONTH(MC[[#This Row],[Month Year]],0))</f>
        <v>31</v>
      </c>
      <c r="I155" s="132"/>
      <c r="J155" s="132"/>
      <c r="K155" s="132"/>
      <c r="L155" s="132"/>
      <c r="M155" s="132"/>
      <c r="N155" s="132"/>
      <c r="O155" s="132"/>
      <c r="P155" s="125"/>
      <c r="Q155" s="125"/>
      <c r="R155" s="4">
        <f>SUM(MC[[#This Row],[ICR1]:[ICR12]])</f>
        <v>0</v>
      </c>
      <c r="S155" s="132"/>
      <c r="T155" s="132"/>
      <c r="U155" s="132"/>
      <c r="V155" s="132"/>
      <c r="W155" s="132"/>
      <c r="X155" s="132"/>
      <c r="Y155" s="134"/>
    </row>
    <row r="156" spans="1:25">
      <c r="A156" s="132">
        <v>154</v>
      </c>
      <c r="B156" s="126">
        <f t="shared" si="2"/>
        <v>45842</v>
      </c>
      <c r="C156" s="127">
        <f>YEAR(MC[[#This Row],[Date]])+IF(MONTH(MC[[#This Row],[Date]])&gt;=4,1,0)</f>
        <v>2026</v>
      </c>
      <c r="D156" s="128">
        <f>YEAR(MC[[#This Row],[Date]])</f>
        <v>2025</v>
      </c>
      <c r="E156" s="287" t="s">
        <v>156</v>
      </c>
      <c r="F156" s="287" t="s">
        <v>156</v>
      </c>
      <c r="G156" s="129" t="str">
        <f>TEXT(MC[[#This Row],[Date]],"mmm-yy")</f>
        <v>Jul-25</v>
      </c>
      <c r="H156" s="129">
        <f>DAY(EOMONTH(MC[[#This Row],[Month Year]],0))</f>
        <v>31</v>
      </c>
      <c r="I156" s="132"/>
      <c r="J156" s="132"/>
      <c r="K156" s="132"/>
      <c r="L156" s="132"/>
      <c r="M156" s="132"/>
      <c r="N156" s="132"/>
      <c r="O156" s="132"/>
      <c r="P156" s="125"/>
      <c r="Q156" s="125"/>
      <c r="R156" s="4">
        <f>SUM(MC[[#This Row],[ICR1]:[ICR12]])</f>
        <v>0</v>
      </c>
      <c r="S156" s="133"/>
      <c r="T156" s="132"/>
      <c r="U156" s="132"/>
      <c r="V156" s="133"/>
      <c r="W156" s="132"/>
      <c r="X156" s="132"/>
      <c r="Y156" s="132"/>
    </row>
    <row r="157" spans="1:25">
      <c r="A157" s="132">
        <v>155</v>
      </c>
      <c r="B157" s="126">
        <f t="shared" si="2"/>
        <v>45843</v>
      </c>
      <c r="C157" s="127">
        <f>YEAR(MC[[#This Row],[Date]])+IF(MONTH(MC[[#This Row],[Date]])&gt;=4,1,0)</f>
        <v>2026</v>
      </c>
      <c r="D157" s="128">
        <f>YEAR(MC[[#This Row],[Date]])</f>
        <v>2025</v>
      </c>
      <c r="E157" s="287" t="s">
        <v>156</v>
      </c>
      <c r="F157" s="287" t="s">
        <v>156</v>
      </c>
      <c r="G157" s="129" t="str">
        <f>TEXT(MC[[#This Row],[Date]],"mmm-yy")</f>
        <v>Jul-25</v>
      </c>
      <c r="H157" s="129">
        <f>DAY(EOMONTH(MC[[#This Row],[Month Year]],0))</f>
        <v>31</v>
      </c>
      <c r="I157" s="132"/>
      <c r="J157" s="132"/>
      <c r="K157" s="132"/>
      <c r="L157" s="132"/>
      <c r="M157" s="132"/>
      <c r="N157" s="132"/>
      <c r="O157" s="132"/>
      <c r="P157" s="125"/>
      <c r="Q157" s="125"/>
      <c r="R157" s="4">
        <f>SUM(MC[[#This Row],[ICR1]:[ICR12]])</f>
        <v>0</v>
      </c>
      <c r="S157" s="133"/>
      <c r="T157" s="132"/>
      <c r="U157" s="132"/>
      <c r="V157" s="133"/>
      <c r="W157" s="132"/>
      <c r="X157" s="132"/>
      <c r="Y157" s="132"/>
    </row>
    <row r="158" spans="1:25">
      <c r="A158" s="132">
        <v>156</v>
      </c>
      <c r="B158" s="126">
        <f t="shared" si="2"/>
        <v>45844</v>
      </c>
      <c r="C158" s="127">
        <f>YEAR(MC[[#This Row],[Date]])+IF(MONTH(MC[[#This Row],[Date]])&gt;=4,1,0)</f>
        <v>2026</v>
      </c>
      <c r="D158" s="128">
        <f>YEAR(MC[[#This Row],[Date]])</f>
        <v>2025</v>
      </c>
      <c r="E158" s="287" t="s">
        <v>156</v>
      </c>
      <c r="F158" s="287" t="s">
        <v>156</v>
      </c>
      <c r="G158" s="129" t="str">
        <f>TEXT(MC[[#This Row],[Date]],"mmm-yy")</f>
        <v>Jul-25</v>
      </c>
      <c r="H158" s="129">
        <f>DAY(EOMONTH(MC[[#This Row],[Month Year]],0))</f>
        <v>31</v>
      </c>
      <c r="I158" s="132"/>
      <c r="J158" s="132"/>
      <c r="K158" s="132"/>
      <c r="L158" s="132"/>
      <c r="M158" s="132"/>
      <c r="N158" s="132"/>
      <c r="O158" s="132"/>
      <c r="P158" s="125"/>
      <c r="Q158" s="125"/>
      <c r="R158" s="4">
        <f>SUM(MC[[#This Row],[ICR1]:[ICR12]])</f>
        <v>0</v>
      </c>
      <c r="S158" s="133"/>
      <c r="T158" s="132"/>
      <c r="U158" s="132"/>
      <c r="V158" s="133"/>
      <c r="W158" s="132"/>
      <c r="X158" s="132"/>
      <c r="Y158" s="132"/>
    </row>
    <row r="159" spans="1:25">
      <c r="A159" s="132">
        <v>157</v>
      </c>
      <c r="B159" s="126">
        <f t="shared" si="2"/>
        <v>45845</v>
      </c>
      <c r="C159" s="127">
        <f>YEAR(MC[[#This Row],[Date]])+IF(MONTH(MC[[#This Row],[Date]])&gt;=4,1,0)</f>
        <v>2026</v>
      </c>
      <c r="D159" s="128">
        <f>YEAR(MC[[#This Row],[Date]])</f>
        <v>2025</v>
      </c>
      <c r="E159" s="287" t="s">
        <v>156</v>
      </c>
      <c r="F159" s="287" t="s">
        <v>156</v>
      </c>
      <c r="G159" s="129" t="str">
        <f>TEXT(MC[[#This Row],[Date]],"mmm-yy")</f>
        <v>Jul-25</v>
      </c>
      <c r="H159" s="129">
        <f>DAY(EOMONTH(MC[[#This Row],[Month Year]],0))</f>
        <v>31</v>
      </c>
      <c r="I159" s="132"/>
      <c r="J159" s="132"/>
      <c r="K159" s="132"/>
      <c r="L159" s="132"/>
      <c r="M159" s="132"/>
      <c r="N159" s="132"/>
      <c r="O159" s="132"/>
      <c r="P159" s="125"/>
      <c r="Q159" s="125"/>
      <c r="R159" s="4">
        <f>SUM(MC[[#This Row],[ICR1]:[ICR12]])</f>
        <v>0</v>
      </c>
      <c r="S159" s="133"/>
      <c r="T159" s="132"/>
      <c r="U159" s="132"/>
      <c r="V159" s="133"/>
      <c r="W159" s="132"/>
      <c r="X159" s="132"/>
      <c r="Y159" s="132"/>
    </row>
    <row r="160" spans="1:25">
      <c r="A160" s="132">
        <v>158</v>
      </c>
      <c r="B160" s="126">
        <f t="shared" si="2"/>
        <v>45846</v>
      </c>
      <c r="C160" s="127">
        <f>YEAR(MC[[#This Row],[Date]])+IF(MONTH(MC[[#This Row],[Date]])&gt;=4,1,0)</f>
        <v>2026</v>
      </c>
      <c r="D160" s="128">
        <f>YEAR(MC[[#This Row],[Date]])</f>
        <v>2025</v>
      </c>
      <c r="E160" s="287" t="s">
        <v>156</v>
      </c>
      <c r="F160" s="287" t="s">
        <v>156</v>
      </c>
      <c r="G160" s="129" t="str">
        <f>TEXT(MC[[#This Row],[Date]],"mmm-yy")</f>
        <v>Jul-25</v>
      </c>
      <c r="H160" s="129">
        <f>DAY(EOMONTH(MC[[#This Row],[Month Year]],0))</f>
        <v>31</v>
      </c>
      <c r="I160" s="132"/>
      <c r="J160" s="132"/>
      <c r="K160" s="132"/>
      <c r="L160" s="132"/>
      <c r="M160" s="132"/>
      <c r="N160" s="132"/>
      <c r="O160" s="132"/>
      <c r="P160" s="125"/>
      <c r="Q160" s="125"/>
      <c r="R160" s="4">
        <f>SUM(MC[[#This Row],[ICR1]:[ICR12]])</f>
        <v>0</v>
      </c>
      <c r="S160" s="132"/>
      <c r="T160" s="132"/>
      <c r="U160" s="132"/>
      <c r="V160" s="132"/>
      <c r="W160" s="132"/>
      <c r="X160" s="132"/>
      <c r="Y160" s="132"/>
    </row>
    <row r="161" spans="1:25">
      <c r="A161" s="132">
        <v>159</v>
      </c>
      <c r="B161" s="126">
        <f t="shared" si="2"/>
        <v>45847</v>
      </c>
      <c r="C161" s="127">
        <f>YEAR(MC[[#This Row],[Date]])+IF(MONTH(MC[[#This Row],[Date]])&gt;=4,1,0)</f>
        <v>2026</v>
      </c>
      <c r="D161" s="128">
        <f>YEAR(MC[[#This Row],[Date]])</f>
        <v>2025</v>
      </c>
      <c r="E161" s="287" t="s">
        <v>156</v>
      </c>
      <c r="F161" s="287" t="s">
        <v>156</v>
      </c>
      <c r="G161" s="129" t="str">
        <f>TEXT(MC[[#This Row],[Date]],"mmm-yy")</f>
        <v>Jul-25</v>
      </c>
      <c r="H161" s="129">
        <f>DAY(EOMONTH(MC[[#This Row],[Month Year]],0))</f>
        <v>31</v>
      </c>
      <c r="I161" s="132"/>
      <c r="J161" s="132"/>
      <c r="K161" s="132"/>
      <c r="L161" s="132"/>
      <c r="M161" s="132"/>
      <c r="N161" s="132"/>
      <c r="O161" s="132"/>
      <c r="P161" s="125"/>
      <c r="Q161" s="125"/>
      <c r="R161" s="4">
        <f>SUM(MC[[#This Row],[ICR1]:[ICR12]])</f>
        <v>0</v>
      </c>
      <c r="S161" s="133"/>
      <c r="T161" s="132"/>
      <c r="U161" s="132"/>
      <c r="V161" s="133"/>
      <c r="W161" s="132"/>
      <c r="X161" s="132"/>
      <c r="Y161" s="132"/>
    </row>
    <row r="162" spans="1:25">
      <c r="A162" s="132">
        <v>160</v>
      </c>
      <c r="B162" s="126">
        <f t="shared" si="2"/>
        <v>45848</v>
      </c>
      <c r="C162" s="127">
        <f>YEAR(MC[[#This Row],[Date]])+IF(MONTH(MC[[#This Row],[Date]])&gt;=4,1,0)</f>
        <v>2026</v>
      </c>
      <c r="D162" s="128">
        <f>YEAR(MC[[#This Row],[Date]])</f>
        <v>2025</v>
      </c>
      <c r="E162" s="287" t="s">
        <v>156</v>
      </c>
      <c r="F162" s="287" t="s">
        <v>156</v>
      </c>
      <c r="G162" s="129" t="str">
        <f>TEXT(MC[[#This Row],[Date]],"mmm-yy")</f>
        <v>Jul-25</v>
      </c>
      <c r="H162" s="129">
        <f>DAY(EOMONTH(MC[[#This Row],[Month Year]],0))</f>
        <v>31</v>
      </c>
      <c r="I162" s="132"/>
      <c r="J162" s="132"/>
      <c r="K162" s="132"/>
      <c r="L162" s="132"/>
      <c r="M162" s="132"/>
      <c r="N162" s="132"/>
      <c r="O162" s="132"/>
      <c r="P162" s="125"/>
      <c r="Q162" s="125"/>
      <c r="R162" s="4">
        <f>SUM(MC[[#This Row],[ICR1]:[ICR12]])</f>
        <v>0</v>
      </c>
      <c r="S162" s="133"/>
      <c r="T162" s="132"/>
      <c r="U162" s="132"/>
      <c r="V162" s="133"/>
      <c r="W162" s="132"/>
      <c r="X162" s="132"/>
      <c r="Y162" s="132"/>
    </row>
    <row r="163" spans="1:25">
      <c r="A163" s="132">
        <v>161</v>
      </c>
      <c r="B163" s="126">
        <f t="shared" si="2"/>
        <v>45849</v>
      </c>
      <c r="C163" s="127">
        <f>YEAR(MC[[#This Row],[Date]])+IF(MONTH(MC[[#This Row],[Date]])&gt;=4,1,0)</f>
        <v>2026</v>
      </c>
      <c r="D163" s="128">
        <f>YEAR(MC[[#This Row],[Date]])</f>
        <v>2025</v>
      </c>
      <c r="E163" s="287" t="s">
        <v>156</v>
      </c>
      <c r="F163" s="287" t="s">
        <v>156</v>
      </c>
      <c r="G163" s="129" t="str">
        <f>TEXT(MC[[#This Row],[Date]],"mmm-yy")</f>
        <v>Jul-25</v>
      </c>
      <c r="H163" s="129">
        <f>DAY(EOMONTH(MC[[#This Row],[Month Year]],0))</f>
        <v>31</v>
      </c>
      <c r="I163" s="132"/>
      <c r="J163" s="132"/>
      <c r="K163" s="132"/>
      <c r="L163" s="132"/>
      <c r="M163" s="132"/>
      <c r="N163" s="132"/>
      <c r="O163" s="132"/>
      <c r="P163" s="125"/>
      <c r="Q163" s="125"/>
      <c r="R163" s="4">
        <f>SUM(MC[[#This Row],[ICR1]:[ICR12]])</f>
        <v>0</v>
      </c>
      <c r="S163" s="133"/>
      <c r="T163" s="132"/>
      <c r="U163" s="132"/>
      <c r="V163" s="133"/>
      <c r="W163" s="132"/>
      <c r="X163" s="132"/>
      <c r="Y163" s="132"/>
    </row>
    <row r="164" spans="1:25">
      <c r="A164" s="132">
        <v>162</v>
      </c>
      <c r="B164" s="126">
        <f t="shared" si="2"/>
        <v>45850</v>
      </c>
      <c r="C164" s="127">
        <f>YEAR(MC[[#This Row],[Date]])+IF(MONTH(MC[[#This Row],[Date]])&gt;=4,1,0)</f>
        <v>2026</v>
      </c>
      <c r="D164" s="128">
        <f>YEAR(MC[[#This Row],[Date]])</f>
        <v>2025</v>
      </c>
      <c r="E164" s="287" t="s">
        <v>156</v>
      </c>
      <c r="F164" s="287" t="s">
        <v>156</v>
      </c>
      <c r="G164" s="129" t="str">
        <f>TEXT(MC[[#This Row],[Date]],"mmm-yy")</f>
        <v>Jul-25</v>
      </c>
      <c r="H164" s="129">
        <f>DAY(EOMONTH(MC[[#This Row],[Month Year]],0))</f>
        <v>31</v>
      </c>
      <c r="I164" s="132"/>
      <c r="J164" s="132"/>
      <c r="K164" s="132"/>
      <c r="L164" s="132"/>
      <c r="M164" s="132"/>
      <c r="N164" s="132"/>
      <c r="O164" s="132"/>
      <c r="P164" s="125"/>
      <c r="Q164" s="125"/>
      <c r="R164" s="4">
        <f>SUM(MC[[#This Row],[ICR1]:[ICR12]])</f>
        <v>0</v>
      </c>
      <c r="S164" s="133"/>
      <c r="T164" s="132"/>
      <c r="U164" s="132"/>
      <c r="V164" s="133"/>
      <c r="W164" s="132"/>
      <c r="X164" s="132"/>
      <c r="Y164" s="132"/>
    </row>
    <row r="165" spans="1:25">
      <c r="A165" s="132">
        <v>163</v>
      </c>
      <c r="B165" s="126">
        <f t="shared" si="2"/>
        <v>45851</v>
      </c>
      <c r="C165" s="127">
        <f>YEAR(MC[[#This Row],[Date]])+IF(MONTH(MC[[#This Row],[Date]])&gt;=4,1,0)</f>
        <v>2026</v>
      </c>
      <c r="D165" s="128">
        <f>YEAR(MC[[#This Row],[Date]])</f>
        <v>2025</v>
      </c>
      <c r="E165" s="287" t="s">
        <v>156</v>
      </c>
      <c r="F165" s="287" t="s">
        <v>156</v>
      </c>
      <c r="G165" s="129" t="str">
        <f>TEXT(MC[[#This Row],[Date]],"mmm-yy")</f>
        <v>Jul-25</v>
      </c>
      <c r="H165" s="129">
        <f>DAY(EOMONTH(MC[[#This Row],[Month Year]],0))</f>
        <v>31</v>
      </c>
      <c r="I165" s="132"/>
      <c r="J165" s="132"/>
      <c r="K165" s="132"/>
      <c r="L165" s="132"/>
      <c r="M165" s="132"/>
      <c r="N165" s="132"/>
      <c r="O165" s="132"/>
      <c r="P165" s="125"/>
      <c r="Q165" s="125"/>
      <c r="R165" s="4">
        <f>SUM(MC[[#This Row],[ICR1]:[ICR12]])</f>
        <v>0</v>
      </c>
      <c r="S165" s="132"/>
      <c r="T165" s="132"/>
      <c r="U165" s="132"/>
      <c r="V165" s="132"/>
      <c r="W165" s="132"/>
      <c r="X165" s="132"/>
      <c r="Y165" s="132"/>
    </row>
    <row r="166" spans="1:25">
      <c r="A166" s="132">
        <v>164</v>
      </c>
      <c r="B166" s="126">
        <f t="shared" si="2"/>
        <v>45852</v>
      </c>
      <c r="C166" s="127">
        <f>YEAR(MC[[#This Row],[Date]])+IF(MONTH(MC[[#This Row],[Date]])&gt;=4,1,0)</f>
        <v>2026</v>
      </c>
      <c r="D166" s="128">
        <f>YEAR(MC[[#This Row],[Date]])</f>
        <v>2025</v>
      </c>
      <c r="E166" s="287" t="s">
        <v>156</v>
      </c>
      <c r="F166" s="287" t="s">
        <v>156</v>
      </c>
      <c r="G166" s="129" t="str">
        <f>TEXT(MC[[#This Row],[Date]],"mmm-yy")</f>
        <v>Jul-25</v>
      </c>
      <c r="H166" s="129">
        <f>DAY(EOMONTH(MC[[#This Row],[Month Year]],0))</f>
        <v>31</v>
      </c>
      <c r="I166" s="132"/>
      <c r="J166" s="132"/>
      <c r="K166" s="132"/>
      <c r="L166" s="132"/>
      <c r="M166" s="132"/>
      <c r="N166" s="132"/>
      <c r="O166" s="132"/>
      <c r="P166" s="125"/>
      <c r="Q166" s="125"/>
      <c r="R166" s="4">
        <f>SUM(MC[[#This Row],[ICR1]:[ICR12]])</f>
        <v>0</v>
      </c>
      <c r="S166" s="132"/>
      <c r="T166" s="132"/>
      <c r="U166" s="132"/>
      <c r="V166" s="132"/>
      <c r="W166" s="132"/>
      <c r="X166" s="132"/>
      <c r="Y166" s="134"/>
    </row>
    <row r="167" spans="1:25">
      <c r="A167" s="132">
        <v>165</v>
      </c>
      <c r="B167" s="126">
        <f t="shared" si="2"/>
        <v>45853</v>
      </c>
      <c r="C167" s="127">
        <f>YEAR(MC[[#This Row],[Date]])+IF(MONTH(MC[[#This Row],[Date]])&gt;=4,1,0)</f>
        <v>2026</v>
      </c>
      <c r="D167" s="128">
        <f>YEAR(MC[[#This Row],[Date]])</f>
        <v>2025</v>
      </c>
      <c r="E167" s="287" t="s">
        <v>156</v>
      </c>
      <c r="F167" s="287" t="s">
        <v>156</v>
      </c>
      <c r="G167" s="129" t="str">
        <f>TEXT(MC[[#This Row],[Date]],"mmm-yy")</f>
        <v>Jul-25</v>
      </c>
      <c r="H167" s="129">
        <f>DAY(EOMONTH(MC[[#This Row],[Month Year]],0))</f>
        <v>31</v>
      </c>
      <c r="I167" s="132"/>
      <c r="J167" s="132"/>
      <c r="K167" s="132"/>
      <c r="L167" s="132"/>
      <c r="M167" s="132"/>
      <c r="N167" s="132"/>
      <c r="O167" s="132"/>
      <c r="P167" s="125"/>
      <c r="Q167" s="125"/>
      <c r="R167" s="4">
        <f>SUM(MC[[#This Row],[ICR1]:[ICR12]])</f>
        <v>0</v>
      </c>
      <c r="S167" s="132"/>
      <c r="T167" s="132"/>
      <c r="U167" s="132"/>
      <c r="V167" s="132"/>
      <c r="W167" s="132"/>
      <c r="X167" s="132"/>
      <c r="Y167" s="134"/>
    </row>
    <row r="168" spans="1:25">
      <c r="A168" s="132">
        <v>166</v>
      </c>
      <c r="B168" s="126">
        <f t="shared" si="2"/>
        <v>45854</v>
      </c>
      <c r="C168" s="127">
        <f>YEAR(MC[[#This Row],[Date]])+IF(MONTH(MC[[#This Row],[Date]])&gt;=4,1,0)</f>
        <v>2026</v>
      </c>
      <c r="D168" s="128">
        <f>YEAR(MC[[#This Row],[Date]])</f>
        <v>2025</v>
      </c>
      <c r="E168" s="287" t="s">
        <v>156</v>
      </c>
      <c r="F168" s="287" t="s">
        <v>156</v>
      </c>
      <c r="G168" s="129" t="str">
        <f>TEXT(MC[[#This Row],[Date]],"mmm-yy")</f>
        <v>Jul-25</v>
      </c>
      <c r="H168" s="129">
        <f>DAY(EOMONTH(MC[[#This Row],[Month Year]],0))</f>
        <v>31</v>
      </c>
      <c r="I168" s="132"/>
      <c r="J168" s="132"/>
      <c r="K168" s="132"/>
      <c r="L168" s="132"/>
      <c r="M168" s="132"/>
      <c r="N168" s="132"/>
      <c r="O168" s="132"/>
      <c r="P168" s="125"/>
      <c r="Q168" s="125"/>
      <c r="R168" s="4">
        <f>SUM(MC[[#This Row],[ICR1]:[ICR12]])</f>
        <v>0</v>
      </c>
      <c r="S168" s="132"/>
      <c r="T168" s="132"/>
      <c r="U168" s="132"/>
      <c r="V168" s="132"/>
      <c r="W168" s="132"/>
      <c r="X168" s="132"/>
      <c r="Y168" s="134"/>
    </row>
    <row r="169" spans="1:25">
      <c r="A169" s="132">
        <v>167</v>
      </c>
      <c r="B169" s="126">
        <f t="shared" si="2"/>
        <v>45855</v>
      </c>
      <c r="C169" s="127">
        <f>YEAR(MC[[#This Row],[Date]])+IF(MONTH(MC[[#This Row],[Date]])&gt;=4,1,0)</f>
        <v>2026</v>
      </c>
      <c r="D169" s="128">
        <f>YEAR(MC[[#This Row],[Date]])</f>
        <v>2025</v>
      </c>
      <c r="E169" s="287" t="s">
        <v>156</v>
      </c>
      <c r="F169" s="287" t="s">
        <v>156</v>
      </c>
      <c r="G169" s="129" t="str">
        <f>TEXT(MC[[#This Row],[Date]],"mmm-yy")</f>
        <v>Jul-25</v>
      </c>
      <c r="H169" s="129">
        <f>DAY(EOMONTH(MC[[#This Row],[Month Year]],0))</f>
        <v>31</v>
      </c>
      <c r="I169" s="132"/>
      <c r="J169" s="132"/>
      <c r="K169" s="132"/>
      <c r="L169" s="132"/>
      <c r="M169" s="132"/>
      <c r="N169" s="132"/>
      <c r="O169" s="132"/>
      <c r="P169" s="125"/>
      <c r="Q169" s="125"/>
      <c r="R169" s="4">
        <f>SUM(MC[[#This Row],[ICR1]:[ICR12]])</f>
        <v>0</v>
      </c>
      <c r="S169" s="132"/>
      <c r="T169" s="132"/>
      <c r="U169" s="132"/>
      <c r="V169" s="132"/>
      <c r="W169" s="132"/>
      <c r="X169" s="132"/>
      <c r="Y169" s="134"/>
    </row>
    <row r="170" spans="1:25">
      <c r="A170" s="132">
        <v>168</v>
      </c>
      <c r="B170" s="126">
        <f t="shared" si="2"/>
        <v>45856</v>
      </c>
      <c r="C170" s="127">
        <f>YEAR(MC[[#This Row],[Date]])+IF(MONTH(MC[[#This Row],[Date]])&gt;=4,1,0)</f>
        <v>2026</v>
      </c>
      <c r="D170" s="128">
        <f>YEAR(MC[[#This Row],[Date]])</f>
        <v>2025</v>
      </c>
      <c r="E170" s="287" t="s">
        <v>156</v>
      </c>
      <c r="F170" s="287" t="s">
        <v>156</v>
      </c>
      <c r="G170" s="129" t="str">
        <f>TEXT(MC[[#This Row],[Date]],"mmm-yy")</f>
        <v>Jul-25</v>
      </c>
      <c r="H170" s="129">
        <f>DAY(EOMONTH(MC[[#This Row],[Month Year]],0))</f>
        <v>31</v>
      </c>
      <c r="I170" s="132"/>
      <c r="J170" s="132"/>
      <c r="K170" s="132"/>
      <c r="L170" s="132"/>
      <c r="M170" s="132"/>
      <c r="N170" s="132"/>
      <c r="O170" s="132"/>
      <c r="P170" s="125"/>
      <c r="Q170" s="125"/>
      <c r="R170" s="4">
        <f>SUM(MC[[#This Row],[ICR1]:[ICR12]])</f>
        <v>0</v>
      </c>
      <c r="S170" s="132"/>
      <c r="T170" s="132"/>
      <c r="U170" s="132"/>
      <c r="V170" s="132"/>
      <c r="W170" s="132"/>
      <c r="X170" s="132"/>
      <c r="Y170" s="134"/>
    </row>
    <row r="171" spans="1:25">
      <c r="A171" s="132">
        <v>169</v>
      </c>
      <c r="B171" s="126">
        <f t="shared" si="2"/>
        <v>45857</v>
      </c>
      <c r="C171" s="127">
        <f>YEAR(MC[[#This Row],[Date]])+IF(MONTH(MC[[#This Row],[Date]])&gt;=4,1,0)</f>
        <v>2026</v>
      </c>
      <c r="D171" s="128">
        <f>YEAR(MC[[#This Row],[Date]])</f>
        <v>2025</v>
      </c>
      <c r="E171" s="287" t="s">
        <v>156</v>
      </c>
      <c r="F171" s="287" t="s">
        <v>156</v>
      </c>
      <c r="G171" s="129" t="str">
        <f>TEXT(MC[[#This Row],[Date]],"mmm-yy")</f>
        <v>Jul-25</v>
      </c>
      <c r="H171" s="129">
        <f>DAY(EOMONTH(MC[[#This Row],[Month Year]],0))</f>
        <v>31</v>
      </c>
      <c r="I171" s="132"/>
      <c r="J171" s="132"/>
      <c r="K171" s="132"/>
      <c r="L171" s="132"/>
      <c r="M171" s="132"/>
      <c r="N171" s="132"/>
      <c r="O171" s="132"/>
      <c r="P171" s="125"/>
      <c r="Q171" s="125"/>
      <c r="R171" s="4">
        <f>SUM(MC[[#This Row],[ICR1]:[ICR12]])</f>
        <v>0</v>
      </c>
      <c r="S171" s="132"/>
      <c r="T171" s="132"/>
      <c r="U171" s="132"/>
      <c r="V171" s="132"/>
      <c r="W171" s="132"/>
      <c r="X171" s="132"/>
      <c r="Y171" s="134"/>
    </row>
    <row r="172" spans="1:25">
      <c r="A172" s="132">
        <v>170</v>
      </c>
      <c r="B172" s="126">
        <f t="shared" si="2"/>
        <v>45858</v>
      </c>
      <c r="C172" s="127">
        <f>YEAR(MC[[#This Row],[Date]])+IF(MONTH(MC[[#This Row],[Date]])&gt;=4,1,0)</f>
        <v>2026</v>
      </c>
      <c r="D172" s="128">
        <f>YEAR(MC[[#This Row],[Date]])</f>
        <v>2025</v>
      </c>
      <c r="E172" s="287" t="s">
        <v>156</v>
      </c>
      <c r="F172" s="287" t="s">
        <v>156</v>
      </c>
      <c r="G172" s="129" t="str">
        <f>TEXT(MC[[#This Row],[Date]],"mmm-yy")</f>
        <v>Jul-25</v>
      </c>
      <c r="H172" s="129">
        <f>DAY(EOMONTH(MC[[#This Row],[Month Year]],0))</f>
        <v>31</v>
      </c>
      <c r="I172" s="132"/>
      <c r="J172" s="132"/>
      <c r="K172" s="132"/>
      <c r="L172" s="132"/>
      <c r="M172" s="132"/>
      <c r="N172" s="132"/>
      <c r="O172" s="132"/>
      <c r="P172" s="125"/>
      <c r="Q172" s="125"/>
      <c r="R172" s="4">
        <f>SUM(MC[[#This Row],[ICR1]:[ICR12]])</f>
        <v>0</v>
      </c>
      <c r="S172" s="132"/>
      <c r="T172" s="132"/>
      <c r="U172" s="132"/>
      <c r="V172" s="132"/>
      <c r="W172" s="132"/>
      <c r="X172" s="132"/>
      <c r="Y172" s="134"/>
    </row>
    <row r="173" spans="1:25">
      <c r="A173" s="132">
        <v>171</v>
      </c>
      <c r="B173" s="126">
        <f t="shared" si="2"/>
        <v>45859</v>
      </c>
      <c r="C173" s="127">
        <f>YEAR(MC[[#This Row],[Date]])+IF(MONTH(MC[[#This Row],[Date]])&gt;=4,1,0)</f>
        <v>2026</v>
      </c>
      <c r="D173" s="128">
        <f>YEAR(MC[[#This Row],[Date]])</f>
        <v>2025</v>
      </c>
      <c r="E173" s="287" t="s">
        <v>156</v>
      </c>
      <c r="F173" s="287" t="s">
        <v>156</v>
      </c>
      <c r="G173" s="129" t="str">
        <f>TEXT(MC[[#This Row],[Date]],"mmm-yy")</f>
        <v>Jul-25</v>
      </c>
      <c r="H173" s="129">
        <f>DAY(EOMONTH(MC[[#This Row],[Month Year]],0))</f>
        <v>31</v>
      </c>
      <c r="I173" s="132"/>
      <c r="J173" s="132"/>
      <c r="K173" s="132"/>
      <c r="L173" s="132"/>
      <c r="M173" s="132"/>
      <c r="N173" s="132"/>
      <c r="O173" s="132"/>
      <c r="P173" s="125"/>
      <c r="Q173" s="125"/>
      <c r="R173" s="4">
        <f>SUM(MC[[#This Row],[ICR1]:[ICR12]])</f>
        <v>0</v>
      </c>
      <c r="S173" s="132"/>
      <c r="T173" s="132"/>
      <c r="U173" s="132"/>
      <c r="V173" s="132"/>
      <c r="W173" s="132"/>
      <c r="X173" s="132"/>
      <c r="Y173" s="134"/>
    </row>
    <row r="174" spans="1:25">
      <c r="A174" s="132">
        <v>172</v>
      </c>
      <c r="B174" s="126">
        <f t="shared" si="2"/>
        <v>45860</v>
      </c>
      <c r="C174" s="127">
        <f>YEAR(MC[[#This Row],[Date]])+IF(MONTH(MC[[#This Row],[Date]])&gt;=4,1,0)</f>
        <v>2026</v>
      </c>
      <c r="D174" s="128">
        <f>YEAR(MC[[#This Row],[Date]])</f>
        <v>2025</v>
      </c>
      <c r="E174" s="287" t="s">
        <v>156</v>
      </c>
      <c r="F174" s="287" t="s">
        <v>156</v>
      </c>
      <c r="G174" s="129" t="str">
        <f>TEXT(MC[[#This Row],[Date]],"mmm-yy")</f>
        <v>Jul-25</v>
      </c>
      <c r="H174" s="129">
        <f>DAY(EOMONTH(MC[[#This Row],[Month Year]],0))</f>
        <v>31</v>
      </c>
      <c r="I174" s="132"/>
      <c r="J174" s="132"/>
      <c r="K174" s="132"/>
      <c r="L174" s="132"/>
      <c r="M174" s="132"/>
      <c r="N174" s="132"/>
      <c r="O174" s="132"/>
      <c r="P174" s="125"/>
      <c r="Q174" s="125"/>
      <c r="R174" s="4">
        <f>SUM(MC[[#This Row],[ICR1]:[ICR12]])</f>
        <v>0</v>
      </c>
      <c r="S174" s="132"/>
      <c r="T174" s="132"/>
      <c r="U174" s="132"/>
      <c r="V174" s="132"/>
      <c r="W174" s="132"/>
      <c r="X174" s="132"/>
      <c r="Y174" s="134"/>
    </row>
    <row r="175" spans="1:25">
      <c r="A175" s="132">
        <v>173</v>
      </c>
      <c r="B175" s="126">
        <f t="shared" si="2"/>
        <v>45861</v>
      </c>
      <c r="C175" s="127">
        <f>YEAR(MC[[#This Row],[Date]])+IF(MONTH(MC[[#This Row],[Date]])&gt;=4,1,0)</f>
        <v>2026</v>
      </c>
      <c r="D175" s="128">
        <f>YEAR(MC[[#This Row],[Date]])</f>
        <v>2025</v>
      </c>
      <c r="E175" s="287" t="s">
        <v>156</v>
      </c>
      <c r="F175" s="287" t="s">
        <v>156</v>
      </c>
      <c r="G175" s="129" t="str">
        <f>TEXT(MC[[#This Row],[Date]],"mmm-yy")</f>
        <v>Jul-25</v>
      </c>
      <c r="H175" s="129">
        <f>DAY(EOMONTH(MC[[#This Row],[Month Year]],0))</f>
        <v>31</v>
      </c>
      <c r="I175" s="132"/>
      <c r="J175" s="132"/>
      <c r="K175" s="132"/>
      <c r="L175" s="132"/>
      <c r="M175" s="132"/>
      <c r="N175" s="132"/>
      <c r="O175" s="132"/>
      <c r="P175" s="125"/>
      <c r="Q175" s="125"/>
      <c r="R175" s="4">
        <f>SUM(MC[[#This Row],[ICR1]:[ICR12]])</f>
        <v>0</v>
      </c>
      <c r="S175" s="132"/>
      <c r="T175" s="132"/>
      <c r="U175" s="132"/>
      <c r="V175" s="132"/>
      <c r="W175" s="132"/>
      <c r="X175" s="132"/>
      <c r="Y175" s="134"/>
    </row>
    <row r="176" spans="1:25">
      <c r="A176" s="132">
        <v>174</v>
      </c>
      <c r="B176" s="126">
        <f t="shared" si="2"/>
        <v>45862</v>
      </c>
      <c r="C176" s="127">
        <f>YEAR(MC[[#This Row],[Date]])+IF(MONTH(MC[[#This Row],[Date]])&gt;=4,1,0)</f>
        <v>2026</v>
      </c>
      <c r="D176" s="128">
        <f>YEAR(MC[[#This Row],[Date]])</f>
        <v>2025</v>
      </c>
      <c r="E176" s="287" t="s">
        <v>156</v>
      </c>
      <c r="F176" s="287" t="s">
        <v>156</v>
      </c>
      <c r="G176" s="129" t="str">
        <f>TEXT(MC[[#This Row],[Date]],"mmm-yy")</f>
        <v>Jul-25</v>
      </c>
      <c r="H176" s="129">
        <f>DAY(EOMONTH(MC[[#This Row],[Month Year]],0))</f>
        <v>31</v>
      </c>
      <c r="I176" s="132"/>
      <c r="J176" s="132"/>
      <c r="K176" s="132"/>
      <c r="L176" s="132"/>
      <c r="M176" s="132"/>
      <c r="N176" s="132"/>
      <c r="O176" s="132"/>
      <c r="P176" s="125"/>
      <c r="Q176" s="125"/>
      <c r="R176" s="4">
        <f>SUM(MC[[#This Row],[ICR1]:[ICR12]])</f>
        <v>0</v>
      </c>
      <c r="S176" s="132"/>
      <c r="T176" s="132"/>
      <c r="U176" s="132"/>
      <c r="V176" s="132"/>
      <c r="W176" s="132"/>
      <c r="X176" s="132"/>
      <c r="Y176" s="134"/>
    </row>
    <row r="177" spans="1:25">
      <c r="A177" s="132">
        <v>175</v>
      </c>
      <c r="B177" s="126">
        <f t="shared" si="2"/>
        <v>45863</v>
      </c>
      <c r="C177" s="127">
        <f>YEAR(MC[[#This Row],[Date]])+IF(MONTH(MC[[#This Row],[Date]])&gt;=4,1,0)</f>
        <v>2026</v>
      </c>
      <c r="D177" s="128">
        <f>YEAR(MC[[#This Row],[Date]])</f>
        <v>2025</v>
      </c>
      <c r="E177" s="287" t="s">
        <v>156</v>
      </c>
      <c r="F177" s="287" t="s">
        <v>156</v>
      </c>
      <c r="G177" s="129" t="str">
        <f>TEXT(MC[[#This Row],[Date]],"mmm-yy")</f>
        <v>Jul-25</v>
      </c>
      <c r="H177" s="129">
        <f>DAY(EOMONTH(MC[[#This Row],[Month Year]],0))</f>
        <v>31</v>
      </c>
      <c r="I177" s="132"/>
      <c r="J177" s="132"/>
      <c r="K177" s="132"/>
      <c r="L177" s="132"/>
      <c r="M177" s="132"/>
      <c r="N177" s="132"/>
      <c r="O177" s="132"/>
      <c r="P177" s="125"/>
      <c r="Q177" s="125"/>
      <c r="R177" s="4">
        <f>SUM(MC[[#This Row],[ICR1]:[ICR12]])</f>
        <v>0</v>
      </c>
      <c r="S177" s="132"/>
      <c r="T177" s="132"/>
      <c r="U177" s="132"/>
      <c r="V177" s="132"/>
      <c r="W177" s="132"/>
      <c r="X177" s="132"/>
      <c r="Y177" s="134"/>
    </row>
    <row r="178" spans="1:25">
      <c r="A178" s="132">
        <v>176</v>
      </c>
      <c r="B178" s="126">
        <f t="shared" si="2"/>
        <v>45864</v>
      </c>
      <c r="C178" s="127">
        <f>YEAR(MC[[#This Row],[Date]])+IF(MONTH(MC[[#This Row],[Date]])&gt;=4,1,0)</f>
        <v>2026</v>
      </c>
      <c r="D178" s="128">
        <f>YEAR(MC[[#This Row],[Date]])</f>
        <v>2025</v>
      </c>
      <c r="E178" s="287" t="s">
        <v>156</v>
      </c>
      <c r="F178" s="287" t="s">
        <v>156</v>
      </c>
      <c r="G178" s="129" t="str">
        <f>TEXT(MC[[#This Row],[Date]],"mmm-yy")</f>
        <v>Jul-25</v>
      </c>
      <c r="H178" s="129">
        <f>DAY(EOMONTH(MC[[#This Row],[Month Year]],0))</f>
        <v>31</v>
      </c>
      <c r="I178" s="132"/>
      <c r="J178" s="132"/>
      <c r="K178" s="132"/>
      <c r="L178" s="132"/>
      <c r="M178" s="132"/>
      <c r="N178" s="132"/>
      <c r="O178" s="132"/>
      <c r="P178" s="125"/>
      <c r="Q178" s="125"/>
      <c r="R178" s="4">
        <f>SUM(MC[[#This Row],[ICR1]:[ICR12]])</f>
        <v>0</v>
      </c>
      <c r="S178" s="132"/>
      <c r="T178" s="132"/>
      <c r="U178" s="132"/>
      <c r="V178" s="132"/>
      <c r="W178" s="132"/>
      <c r="X178" s="132"/>
      <c r="Y178" s="134"/>
    </row>
    <row r="179" spans="1:25">
      <c r="A179" s="132">
        <v>177</v>
      </c>
      <c r="B179" s="126">
        <f t="shared" si="2"/>
        <v>45865</v>
      </c>
      <c r="C179" s="127">
        <f>YEAR(MC[[#This Row],[Date]])+IF(MONTH(MC[[#This Row],[Date]])&gt;=4,1,0)</f>
        <v>2026</v>
      </c>
      <c r="D179" s="128">
        <f>YEAR(MC[[#This Row],[Date]])</f>
        <v>2025</v>
      </c>
      <c r="E179" s="287" t="s">
        <v>156</v>
      </c>
      <c r="F179" s="287" t="s">
        <v>156</v>
      </c>
      <c r="G179" s="129" t="str">
        <f>TEXT(MC[[#This Row],[Date]],"mmm-yy")</f>
        <v>Jul-25</v>
      </c>
      <c r="H179" s="129">
        <f>DAY(EOMONTH(MC[[#This Row],[Month Year]],0))</f>
        <v>31</v>
      </c>
      <c r="I179" s="132"/>
      <c r="J179" s="132"/>
      <c r="K179" s="132"/>
      <c r="L179" s="132"/>
      <c r="M179" s="132"/>
      <c r="N179" s="132"/>
      <c r="O179" s="132"/>
      <c r="P179" s="125"/>
      <c r="Q179" s="125"/>
      <c r="R179" s="4">
        <f>SUM(MC[[#This Row],[ICR1]:[ICR12]])</f>
        <v>0</v>
      </c>
      <c r="S179" s="132"/>
      <c r="T179" s="132"/>
      <c r="U179" s="132"/>
      <c r="V179" s="132"/>
      <c r="W179" s="132"/>
      <c r="X179" s="132"/>
      <c r="Y179" s="134"/>
    </row>
    <row r="180" spans="1:25">
      <c r="A180" s="132">
        <v>177</v>
      </c>
      <c r="B180" s="126">
        <f t="shared" si="2"/>
        <v>45866</v>
      </c>
      <c r="C180" s="127">
        <f>YEAR(MC[[#This Row],[Date]])+IF(MONTH(MC[[#This Row],[Date]])&gt;=4,1,0)</f>
        <v>2026</v>
      </c>
      <c r="D180" s="128">
        <f>YEAR(MC[[#This Row],[Date]])</f>
        <v>2025</v>
      </c>
      <c r="E180" s="287" t="s">
        <v>156</v>
      </c>
      <c r="F180" s="287" t="s">
        <v>156</v>
      </c>
      <c r="G180" s="129" t="str">
        <f>TEXT(MC[[#This Row],[Date]],"mmm-yy")</f>
        <v>Jul-25</v>
      </c>
      <c r="H180" s="129">
        <f>DAY(EOMONTH(MC[[#This Row],[Month Year]],0))</f>
        <v>31</v>
      </c>
      <c r="I180" s="132"/>
      <c r="J180" s="132"/>
      <c r="K180" s="132"/>
      <c r="L180" s="132"/>
      <c r="M180" s="132"/>
      <c r="N180" s="132"/>
      <c r="O180" s="132"/>
      <c r="P180" s="125"/>
      <c r="Q180" s="125"/>
      <c r="R180" s="4">
        <f>SUM(MC[[#This Row],[ICR1]:[ICR12]])</f>
        <v>0</v>
      </c>
      <c r="S180" s="132"/>
      <c r="T180" s="132"/>
      <c r="U180" s="132"/>
      <c r="V180" s="132"/>
      <c r="W180" s="132"/>
      <c r="X180" s="132"/>
      <c r="Y180" s="134"/>
    </row>
    <row r="181" spans="1:25">
      <c r="A181" s="132">
        <v>179</v>
      </c>
      <c r="B181" s="126">
        <f t="shared" si="2"/>
        <v>45867</v>
      </c>
      <c r="C181" s="127">
        <f>YEAR(MC[[#This Row],[Date]])+IF(MONTH(MC[[#This Row],[Date]])&gt;=4,1,0)</f>
        <v>2026</v>
      </c>
      <c r="D181" s="128">
        <f>YEAR(MC[[#This Row],[Date]])</f>
        <v>2025</v>
      </c>
      <c r="E181" s="287" t="s">
        <v>156</v>
      </c>
      <c r="F181" s="287" t="s">
        <v>156</v>
      </c>
      <c r="G181" s="129" t="str">
        <f>TEXT(MC[[#This Row],[Date]],"mmm-yy")</f>
        <v>Jul-25</v>
      </c>
      <c r="H181" s="129">
        <f>DAY(EOMONTH(MC[[#This Row],[Month Year]],0))</f>
        <v>31</v>
      </c>
      <c r="I181" s="132"/>
      <c r="J181" s="132"/>
      <c r="K181" s="132"/>
      <c r="L181" s="132"/>
      <c r="M181" s="132"/>
      <c r="N181" s="132"/>
      <c r="O181" s="132"/>
      <c r="P181" s="125"/>
      <c r="Q181" s="125"/>
      <c r="R181" s="4">
        <f>SUM(MC[[#This Row],[ICR1]:[ICR12]])</f>
        <v>0</v>
      </c>
      <c r="S181" s="132"/>
      <c r="T181" s="132"/>
      <c r="U181" s="132"/>
      <c r="V181" s="132"/>
      <c r="W181" s="132"/>
      <c r="X181" s="132"/>
      <c r="Y181" s="134"/>
    </row>
    <row r="182" spans="1:25">
      <c r="A182" s="132">
        <v>180</v>
      </c>
      <c r="B182" s="126">
        <f t="shared" si="2"/>
        <v>45868</v>
      </c>
      <c r="C182" s="127">
        <f>YEAR(MC[[#This Row],[Date]])+IF(MONTH(MC[[#This Row],[Date]])&gt;=4,1,0)</f>
        <v>2026</v>
      </c>
      <c r="D182" s="128">
        <f>YEAR(MC[[#This Row],[Date]])</f>
        <v>2025</v>
      </c>
      <c r="E182" s="287" t="s">
        <v>156</v>
      </c>
      <c r="F182" s="287" t="s">
        <v>156</v>
      </c>
      <c r="G182" s="129" t="str">
        <f>TEXT(MC[[#This Row],[Date]],"mmm-yy")</f>
        <v>Jul-25</v>
      </c>
      <c r="H182" s="129">
        <f>DAY(EOMONTH(MC[[#This Row],[Month Year]],0))</f>
        <v>31</v>
      </c>
      <c r="I182" s="132"/>
      <c r="J182" s="132"/>
      <c r="K182" s="132"/>
      <c r="L182" s="132"/>
      <c r="M182" s="132"/>
      <c r="N182" s="132"/>
      <c r="O182" s="132"/>
      <c r="P182" s="125"/>
      <c r="Q182" s="125"/>
      <c r="R182" s="4">
        <f>SUM(MC[[#This Row],[ICR1]:[ICR12]])</f>
        <v>0</v>
      </c>
      <c r="S182" s="132"/>
      <c r="T182" s="132"/>
      <c r="U182" s="132"/>
      <c r="V182" s="132"/>
      <c r="W182" s="132"/>
      <c r="X182" s="132"/>
      <c r="Y182" s="134"/>
    </row>
    <row r="183" spans="1:25">
      <c r="A183" s="132">
        <v>181</v>
      </c>
      <c r="B183" s="126">
        <f t="shared" si="2"/>
        <v>45869</v>
      </c>
      <c r="C183" s="127">
        <f>YEAR(MC[[#This Row],[Date]])+IF(MONTH(MC[[#This Row],[Date]])&gt;=4,1,0)</f>
        <v>2026</v>
      </c>
      <c r="D183" s="128">
        <f>YEAR(MC[[#This Row],[Date]])</f>
        <v>2025</v>
      </c>
      <c r="E183" s="287" t="s">
        <v>156</v>
      </c>
      <c r="F183" s="287" t="s">
        <v>156</v>
      </c>
      <c r="G183" s="129" t="str">
        <f>TEXT(MC[[#This Row],[Date]],"mmm-yy")</f>
        <v>Jul-25</v>
      </c>
      <c r="H183" s="129">
        <f>DAY(EOMONTH(MC[[#This Row],[Month Year]],0))</f>
        <v>31</v>
      </c>
      <c r="I183" s="132"/>
      <c r="J183" s="132"/>
      <c r="K183" s="132"/>
      <c r="L183" s="132"/>
      <c r="M183" s="132"/>
      <c r="N183" s="132"/>
      <c r="O183" s="132"/>
      <c r="P183" s="125"/>
      <c r="Q183" s="125"/>
      <c r="R183" s="4">
        <f>SUM(MC[[#This Row],[ICR1]:[ICR12]])</f>
        <v>0</v>
      </c>
      <c r="S183" s="132"/>
      <c r="T183" s="132"/>
      <c r="U183" s="132"/>
      <c r="V183" s="132"/>
      <c r="W183" s="132"/>
      <c r="X183" s="132"/>
      <c r="Y183" s="134"/>
    </row>
    <row r="184" spans="1:25">
      <c r="A184" s="132">
        <v>182</v>
      </c>
      <c r="B184" s="126">
        <f t="shared" si="2"/>
        <v>45870</v>
      </c>
      <c r="C184" s="127">
        <f>YEAR(MC[[#This Row],[Date]])+IF(MONTH(MC[[#This Row],[Date]])&gt;=4,1,0)</f>
        <v>2026</v>
      </c>
      <c r="D184" s="128">
        <f>YEAR(MC[[#This Row],[Date]])</f>
        <v>2025</v>
      </c>
      <c r="E184" s="287" t="s">
        <v>156</v>
      </c>
      <c r="F184" s="287" t="s">
        <v>156</v>
      </c>
      <c r="G184" s="129" t="str">
        <f>TEXT(MC[[#This Row],[Date]],"mmm-yy")</f>
        <v>Aug-25</v>
      </c>
      <c r="H184" s="129">
        <f>DAY(EOMONTH(MC[[#This Row],[Month Year]],0))</f>
        <v>31</v>
      </c>
      <c r="I184" s="132"/>
      <c r="J184" s="132"/>
      <c r="K184" s="132"/>
      <c r="L184" s="132"/>
      <c r="M184" s="132"/>
      <c r="N184" s="132"/>
      <c r="O184" s="132"/>
      <c r="P184" s="125"/>
      <c r="Q184" s="125"/>
      <c r="R184" s="4">
        <f>SUM(MC[[#This Row],[ICR1]:[ICR12]])</f>
        <v>0</v>
      </c>
      <c r="S184" s="132"/>
      <c r="T184" s="132"/>
      <c r="U184" s="132"/>
      <c r="V184" s="132"/>
      <c r="W184" s="132"/>
      <c r="X184" s="132"/>
      <c r="Y184" s="134"/>
    </row>
    <row r="185" spans="1:25">
      <c r="A185" s="132">
        <v>183</v>
      </c>
      <c r="B185" s="126">
        <f t="shared" si="2"/>
        <v>45871</v>
      </c>
      <c r="C185" s="127">
        <f>YEAR(MC[[#This Row],[Date]])+IF(MONTH(MC[[#This Row],[Date]])&gt;=4,1,0)</f>
        <v>2026</v>
      </c>
      <c r="D185" s="128">
        <f>YEAR(MC[[#This Row],[Date]])</f>
        <v>2025</v>
      </c>
      <c r="E185" s="287" t="s">
        <v>156</v>
      </c>
      <c r="F185" s="287" t="s">
        <v>156</v>
      </c>
      <c r="G185" s="129" t="str">
        <f>TEXT(MC[[#This Row],[Date]],"mmm-yy")</f>
        <v>Aug-25</v>
      </c>
      <c r="H185" s="129">
        <f>DAY(EOMONTH(MC[[#This Row],[Month Year]],0))</f>
        <v>31</v>
      </c>
      <c r="I185" s="132"/>
      <c r="J185" s="132"/>
      <c r="K185" s="132"/>
      <c r="L185" s="132"/>
      <c r="M185" s="132"/>
      <c r="N185" s="132"/>
      <c r="O185" s="132"/>
      <c r="P185" s="125"/>
      <c r="Q185" s="125"/>
      <c r="R185" s="4">
        <f>SUM(MC[[#This Row],[ICR1]:[ICR12]])</f>
        <v>0</v>
      </c>
      <c r="S185" s="132"/>
      <c r="T185" s="132"/>
      <c r="U185" s="132"/>
      <c r="V185" s="132"/>
      <c r="W185" s="132"/>
      <c r="X185" s="132"/>
      <c r="Y185" s="134"/>
    </row>
    <row r="186" spans="1:25">
      <c r="A186" s="132">
        <v>184</v>
      </c>
      <c r="B186" s="126">
        <f t="shared" si="2"/>
        <v>45872</v>
      </c>
      <c r="C186" s="209">
        <f>YEAR(MC[[#This Row],[Date]])+IF(MONTH(MC[[#This Row],[Date]])&gt;=4,1,0)</f>
        <v>2026</v>
      </c>
      <c r="D186" s="129">
        <f>YEAR(MC[[#This Row],[Date]])</f>
        <v>2025</v>
      </c>
      <c r="E186" s="287" t="s">
        <v>156</v>
      </c>
      <c r="F186" s="287" t="s">
        <v>156</v>
      </c>
      <c r="G186" s="4" t="str">
        <f>TEXT(MC[[#This Row],[Date]],"mmm-yy")</f>
        <v>Aug-25</v>
      </c>
      <c r="H186" s="4">
        <f>DAY(EOMONTH(MC[[#This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25"/>
      <c r="Q186" s="125"/>
      <c r="R186" s="4">
        <f>SUM(MC[[#This Row],[ICR1]:[ICR12]])</f>
        <v>0</v>
      </c>
      <c r="S186" s="132"/>
      <c r="T186" s="132"/>
      <c r="U186" s="132"/>
      <c r="V186" s="132"/>
      <c r="W186" s="132"/>
      <c r="X186" s="132"/>
      <c r="Y186" s="132"/>
    </row>
    <row r="187" spans="1:25">
      <c r="A187" s="132">
        <v>185</v>
      </c>
      <c r="B187" s="126">
        <f t="shared" si="2"/>
        <v>45873</v>
      </c>
      <c r="C187" s="209">
        <f>YEAR(MC[[#This Row],[Date]])+IF(MONTH(MC[[#This Row],[Date]])&gt;=4,1,0)</f>
        <v>2026</v>
      </c>
      <c r="D187" s="129">
        <f>YEAR(MC[[#This Row],[Date]])</f>
        <v>2025</v>
      </c>
      <c r="E187" s="287" t="s">
        <v>156</v>
      </c>
      <c r="F187" s="287" t="s">
        <v>156</v>
      </c>
      <c r="G187" s="4" t="str">
        <f>TEXT(MC[[#This Row],[Date]],"mmm-yy")</f>
        <v>Aug-25</v>
      </c>
      <c r="H187" s="4">
        <f>DAY(EOMONTH(MC[[#This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25"/>
      <c r="Q187" s="125"/>
      <c r="R187" s="4">
        <f>SUM(MC[[#This Row],[ICR1]:[ICR12]])</f>
        <v>0</v>
      </c>
      <c r="S187" s="132"/>
      <c r="T187" s="132"/>
      <c r="U187" s="132"/>
      <c r="V187" s="132"/>
      <c r="W187" s="132"/>
      <c r="X187" s="132"/>
      <c r="Y187" s="132"/>
    </row>
    <row r="188" spans="1:25">
      <c r="A188" s="132">
        <v>186</v>
      </c>
      <c r="B188" s="126">
        <f t="shared" si="2"/>
        <v>45874</v>
      </c>
      <c r="C188" s="209">
        <f>YEAR(MC[[#This Row],[Date]])+IF(MONTH(MC[[#This Row],[Date]])&gt;=4,1,0)</f>
        <v>2026</v>
      </c>
      <c r="D188" s="129">
        <f>YEAR(MC[[#This Row],[Date]])</f>
        <v>2025</v>
      </c>
      <c r="E188" s="287" t="s">
        <v>156</v>
      </c>
      <c r="F188" s="287" t="s">
        <v>156</v>
      </c>
      <c r="G188" s="4" t="str">
        <f>TEXT(MC[[#This Row],[Date]],"mmm-yy")</f>
        <v>Aug-25</v>
      </c>
      <c r="H188" s="4">
        <f>DAY(EOMONTH(MC[[#This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25"/>
      <c r="Q188" s="125"/>
      <c r="R188" s="4">
        <f>SUM(MC[[#This Row],[ICR1]:[ICR12]])</f>
        <v>0</v>
      </c>
      <c r="S188" s="132"/>
      <c r="T188" s="132"/>
      <c r="U188" s="132"/>
      <c r="V188" s="132"/>
      <c r="W188" s="132"/>
      <c r="X188" s="132"/>
      <c r="Y188" s="132"/>
    </row>
    <row r="189" spans="1:25">
      <c r="A189" s="132">
        <v>187</v>
      </c>
      <c r="B189" s="126">
        <f t="shared" si="2"/>
        <v>45875</v>
      </c>
      <c r="C189" s="209">
        <f>YEAR(MC[[#This Row],[Date]])+IF(MONTH(MC[[#This Row],[Date]])&gt;=4,1,0)</f>
        <v>2026</v>
      </c>
      <c r="D189" s="129">
        <f>YEAR(MC[[#This Row],[Date]])</f>
        <v>2025</v>
      </c>
      <c r="E189" s="287" t="s">
        <v>156</v>
      </c>
      <c r="F189" s="287" t="s">
        <v>156</v>
      </c>
      <c r="G189" s="4" t="str">
        <f>TEXT(MC[[#This Row],[Date]],"mmm-yy")</f>
        <v>Aug-25</v>
      </c>
      <c r="H189" s="4">
        <f>DAY(EOMONTH(MC[[#This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25"/>
      <c r="Q189" s="125"/>
      <c r="R189" s="4">
        <f>SUM(MC[[#This Row],[ICR1]:[ICR12]])</f>
        <v>0</v>
      </c>
      <c r="S189" s="132"/>
      <c r="T189" s="132"/>
      <c r="U189" s="132"/>
      <c r="V189" s="132"/>
      <c r="W189" s="132"/>
      <c r="X189" s="132"/>
      <c r="Y189" s="132"/>
    </row>
    <row r="190" spans="1:25">
      <c r="A190" s="132">
        <v>188</v>
      </c>
      <c r="B190" s="126">
        <f t="shared" si="2"/>
        <v>45876</v>
      </c>
      <c r="C190" s="209">
        <f>YEAR(MC[[#This Row],[Date]])+IF(MONTH(MC[[#This Row],[Date]])&gt;=4,1,0)</f>
        <v>2026</v>
      </c>
      <c r="D190" s="129">
        <f>YEAR(MC[[#This Row],[Date]])</f>
        <v>2025</v>
      </c>
      <c r="E190" s="287" t="s">
        <v>156</v>
      </c>
      <c r="F190" s="287" t="s">
        <v>156</v>
      </c>
      <c r="G190" s="4" t="str">
        <f>TEXT(MC[[#This Row],[Date]],"mmm-yy")</f>
        <v>Aug-25</v>
      </c>
      <c r="H190" s="4">
        <f>DAY(EOMONTH(MC[[#This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25"/>
      <c r="Q190" s="125"/>
      <c r="R190" s="4">
        <f>SUM(MC[[#This Row],[ICR1]:[ICR12]])</f>
        <v>0</v>
      </c>
      <c r="S190" s="132"/>
      <c r="T190" s="132"/>
      <c r="U190" s="132"/>
      <c r="V190" s="132"/>
      <c r="W190" s="132"/>
      <c r="X190" s="132"/>
      <c r="Y190" s="132"/>
    </row>
    <row r="191" spans="1:25">
      <c r="A191" s="132">
        <v>189</v>
      </c>
      <c r="B191" s="126">
        <f t="shared" si="2"/>
        <v>45877</v>
      </c>
      <c r="C191" s="209">
        <f>YEAR(MC[[#This Row],[Date]])+IF(MONTH(MC[[#This Row],[Date]])&gt;=4,1,0)</f>
        <v>2026</v>
      </c>
      <c r="D191" s="129">
        <f>YEAR(MC[[#This Row],[Date]])</f>
        <v>2025</v>
      </c>
      <c r="E191" s="287" t="s">
        <v>156</v>
      </c>
      <c r="F191" s="287" t="s">
        <v>156</v>
      </c>
      <c r="G191" s="4" t="str">
        <f>TEXT(MC[[#This Row],[Date]],"mmm-yy")</f>
        <v>Aug-25</v>
      </c>
      <c r="H191" s="4">
        <f>DAY(EOMONTH(MC[[#This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25"/>
      <c r="Q191" s="125"/>
      <c r="R191" s="4">
        <f>SUM(MC[[#This Row],[ICR1]:[ICR12]])</f>
        <v>0</v>
      </c>
      <c r="S191" s="132"/>
      <c r="T191" s="132"/>
      <c r="U191" s="132"/>
      <c r="V191" s="132"/>
      <c r="W191" s="132"/>
      <c r="X191" s="132"/>
      <c r="Y191" s="132"/>
    </row>
    <row r="192" spans="1:25">
      <c r="A192" s="132">
        <v>190</v>
      </c>
      <c r="B192" s="126">
        <f t="shared" si="2"/>
        <v>45878</v>
      </c>
      <c r="C192" s="209">
        <f>YEAR(MC[[#This Row],[Date]])+IF(MONTH(MC[[#This Row],[Date]])&gt;=4,1,0)</f>
        <v>2026</v>
      </c>
      <c r="D192" s="129">
        <f>YEAR(MC[[#This Row],[Date]])</f>
        <v>2025</v>
      </c>
      <c r="E192" s="287" t="s">
        <v>156</v>
      </c>
      <c r="F192" s="287" t="s">
        <v>156</v>
      </c>
      <c r="G192" s="4" t="str">
        <f>TEXT(MC[[#This Row],[Date]],"mmm-yy")</f>
        <v>Aug-25</v>
      </c>
      <c r="H192" s="4">
        <f>DAY(EOMONTH(MC[[#This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25"/>
      <c r="Q192" s="125"/>
      <c r="R192" s="4">
        <f>SUM(MC[[#This Row],[ICR1]:[ICR12]])</f>
        <v>0</v>
      </c>
      <c r="S192" s="132"/>
      <c r="T192" s="132"/>
      <c r="U192" s="132"/>
      <c r="V192" s="132"/>
      <c r="W192" s="132"/>
      <c r="X192" s="132"/>
      <c r="Y192" s="132"/>
    </row>
    <row r="193" spans="1:25">
      <c r="A193" s="132">
        <v>191</v>
      </c>
      <c r="B193" s="126">
        <f t="shared" si="2"/>
        <v>45879</v>
      </c>
      <c r="C193" s="209">
        <f>YEAR(MC[[#This Row],[Date]])+IF(MONTH(MC[[#This Row],[Date]])&gt;=4,1,0)</f>
        <v>2026</v>
      </c>
      <c r="D193" s="129">
        <f>YEAR(MC[[#This Row],[Date]])</f>
        <v>2025</v>
      </c>
      <c r="E193" s="287" t="s">
        <v>156</v>
      </c>
      <c r="F193" s="287" t="s">
        <v>156</v>
      </c>
      <c r="G193" s="4" t="str">
        <f>TEXT(MC[[#This Row],[Date]],"mmm-yy")</f>
        <v>Aug-25</v>
      </c>
      <c r="H193" s="4">
        <f>DAY(EOMONTH(MC[[#This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25"/>
      <c r="Q193" s="125"/>
      <c r="R193" s="4">
        <f>SUM(MC[[#This Row],[ICR1]:[ICR12]])</f>
        <v>0</v>
      </c>
      <c r="S193" s="132"/>
      <c r="T193" s="132"/>
      <c r="U193" s="132"/>
      <c r="V193" s="132"/>
      <c r="W193" s="132"/>
      <c r="X193" s="132"/>
      <c r="Y193" s="132"/>
    </row>
    <row r="194" spans="1:25">
      <c r="A194" s="132">
        <v>192</v>
      </c>
      <c r="B194" s="126">
        <f t="shared" si="2"/>
        <v>45880</v>
      </c>
      <c r="C194" s="209">
        <f>YEAR(MC[[#This Row],[Date]])+IF(MONTH(MC[[#This Row],[Date]])&gt;=4,1,0)</f>
        <v>2026</v>
      </c>
      <c r="D194" s="129">
        <f>YEAR(MC[[#This Row],[Date]])</f>
        <v>2025</v>
      </c>
      <c r="E194" s="287" t="s">
        <v>156</v>
      </c>
      <c r="F194" s="287" t="s">
        <v>156</v>
      </c>
      <c r="G194" s="4" t="str">
        <f>TEXT(MC[[#This Row],[Date]],"mmm-yy")</f>
        <v>Aug-25</v>
      </c>
      <c r="H194" s="4">
        <f>DAY(EOMONTH(MC[[#This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25"/>
      <c r="Q194" s="125"/>
      <c r="R194" s="4">
        <f>SUM(MC[[#This Row],[ICR1]:[ICR12]])</f>
        <v>0</v>
      </c>
      <c r="S194" s="132"/>
      <c r="T194" s="132"/>
      <c r="U194" s="132"/>
      <c r="V194" s="132"/>
      <c r="W194" s="132"/>
      <c r="X194" s="132"/>
      <c r="Y194" s="132"/>
    </row>
    <row r="195" spans="1:25">
      <c r="A195" s="132">
        <v>193</v>
      </c>
      <c r="B195" s="126">
        <f t="shared" si="2"/>
        <v>45881</v>
      </c>
      <c r="C195" s="209">
        <f>YEAR(MC[[#This Row],[Date]])+IF(MONTH(MC[[#This Row],[Date]])&gt;=4,1,0)</f>
        <v>2026</v>
      </c>
      <c r="D195" s="129">
        <f>YEAR(MC[[#This Row],[Date]])</f>
        <v>2025</v>
      </c>
      <c r="E195" s="287" t="s">
        <v>156</v>
      </c>
      <c r="F195" s="287" t="s">
        <v>156</v>
      </c>
      <c r="G195" s="4" t="str">
        <f>TEXT(MC[[#This Row],[Date]],"mmm-yy")</f>
        <v>Aug-25</v>
      </c>
      <c r="H195" s="4">
        <f>DAY(EOMONTH(MC[[#This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25"/>
      <c r="Q195" s="125"/>
      <c r="R195" s="4">
        <f>SUM(MC[[#This Row],[ICR1]:[ICR12]])</f>
        <v>0</v>
      </c>
      <c r="S195" s="132"/>
      <c r="T195" s="132"/>
      <c r="U195" s="132"/>
      <c r="V195" s="132"/>
      <c r="W195" s="132"/>
      <c r="X195" s="132"/>
      <c r="Y195" s="132"/>
    </row>
    <row r="196" spans="1:25">
      <c r="A196" s="132">
        <v>194</v>
      </c>
      <c r="B196" s="126">
        <f t="shared" si="2"/>
        <v>45882</v>
      </c>
      <c r="C196" s="209">
        <f>YEAR(MC[[#This Row],[Date]])+IF(MONTH(MC[[#This Row],[Date]])&gt;=4,1,0)</f>
        <v>2026</v>
      </c>
      <c r="D196" s="129">
        <f>YEAR(MC[[#This Row],[Date]])</f>
        <v>2025</v>
      </c>
      <c r="E196" s="287" t="s">
        <v>156</v>
      </c>
      <c r="F196" s="287" t="s">
        <v>156</v>
      </c>
      <c r="G196" s="4" t="str">
        <f>TEXT(MC[[#This Row],[Date]],"mmm-yy")</f>
        <v>Aug-25</v>
      </c>
      <c r="H196" s="4">
        <f>DAY(EOMONTH(MC[[#This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25"/>
      <c r="Q196" s="125"/>
      <c r="R196" s="4">
        <f>SUM(MC[[#This Row],[ICR1]:[ICR12]])</f>
        <v>0</v>
      </c>
      <c r="S196" s="132"/>
      <c r="T196" s="132"/>
      <c r="U196" s="132"/>
      <c r="V196" s="132"/>
      <c r="W196" s="132"/>
      <c r="X196" s="132"/>
      <c r="Y196" s="132"/>
    </row>
    <row r="197" spans="1:25">
      <c r="A197" s="132">
        <v>195</v>
      </c>
      <c r="B197" s="126">
        <f t="shared" ref="B197:B260" si="3">B196+1</f>
        <v>45883</v>
      </c>
      <c r="C197" s="209">
        <f>YEAR(MC[[#This Row],[Date]])+IF(MONTH(MC[[#This Row],[Date]])&gt;=4,1,0)</f>
        <v>2026</v>
      </c>
      <c r="D197" s="129">
        <f>YEAR(MC[[#This Row],[Date]])</f>
        <v>2025</v>
      </c>
      <c r="E197" s="287" t="s">
        <v>156</v>
      </c>
      <c r="F197" s="287" t="s">
        <v>156</v>
      </c>
      <c r="G197" s="4" t="str">
        <f>TEXT(MC[[#This Row],[Date]],"mmm-yy")</f>
        <v>Aug-25</v>
      </c>
      <c r="H197" s="4">
        <f>DAY(EOMONTH(MC[[#This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25"/>
      <c r="Q197" s="125"/>
      <c r="R197" s="4">
        <f>SUM(MC[[#This Row],[ICR1]:[ICR12]])</f>
        <v>0</v>
      </c>
      <c r="S197" s="132"/>
      <c r="T197" s="132"/>
      <c r="U197" s="132"/>
      <c r="V197" s="132"/>
      <c r="W197" s="132"/>
      <c r="X197" s="132"/>
      <c r="Y197" s="132"/>
    </row>
    <row r="198" spans="1:25">
      <c r="A198" s="132">
        <v>196</v>
      </c>
      <c r="B198" s="126">
        <f t="shared" si="3"/>
        <v>45884</v>
      </c>
      <c r="C198" s="209">
        <f>YEAR(MC[[#This Row],[Date]])+IF(MONTH(MC[[#This Row],[Date]])&gt;=4,1,0)</f>
        <v>2026</v>
      </c>
      <c r="D198" s="129">
        <f>YEAR(MC[[#This Row],[Date]])</f>
        <v>2025</v>
      </c>
      <c r="E198" s="287" t="s">
        <v>156</v>
      </c>
      <c r="F198" s="287" t="s">
        <v>156</v>
      </c>
      <c r="G198" s="4" t="str">
        <f>TEXT(MC[[#This Row],[Date]],"mmm-yy")</f>
        <v>Aug-25</v>
      </c>
      <c r="H198" s="4">
        <f>DAY(EOMONTH(MC[[#This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25"/>
      <c r="Q198" s="125"/>
      <c r="R198" s="4">
        <f>SUM(MC[[#This Row],[ICR1]:[ICR12]])</f>
        <v>0</v>
      </c>
      <c r="S198" s="132"/>
      <c r="T198" s="132"/>
      <c r="U198" s="132"/>
      <c r="V198" s="132"/>
      <c r="W198" s="132"/>
      <c r="X198" s="132"/>
      <c r="Y198" s="132"/>
    </row>
    <row r="199" spans="1:25">
      <c r="A199" s="132">
        <v>197</v>
      </c>
      <c r="B199" s="126">
        <f t="shared" si="3"/>
        <v>45885</v>
      </c>
      <c r="C199" s="209">
        <f>YEAR(MC[[#This Row],[Date]])+IF(MONTH(MC[[#This Row],[Date]])&gt;=4,1,0)</f>
        <v>2026</v>
      </c>
      <c r="D199" s="129">
        <f>YEAR(MC[[#This Row],[Date]])</f>
        <v>2025</v>
      </c>
      <c r="E199" s="287" t="s">
        <v>156</v>
      </c>
      <c r="F199" s="287" t="s">
        <v>156</v>
      </c>
      <c r="G199" s="4" t="str">
        <f>TEXT(MC[[#This Row],[Date]],"mmm-yy")</f>
        <v>Aug-25</v>
      </c>
      <c r="H199" s="4">
        <f>DAY(EOMONTH(MC[[#This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25"/>
      <c r="Q199" s="125"/>
      <c r="R199" s="4">
        <f>SUM(MC[[#This Row],[ICR1]:[ICR12]])</f>
        <v>0</v>
      </c>
      <c r="S199" s="132"/>
      <c r="T199" s="132"/>
      <c r="U199" s="132"/>
      <c r="V199" s="132"/>
      <c r="W199" s="132"/>
      <c r="X199" s="132"/>
      <c r="Y199" s="132"/>
    </row>
    <row r="200" spans="1:25">
      <c r="A200" s="132">
        <v>198</v>
      </c>
      <c r="B200" s="126">
        <f t="shared" si="3"/>
        <v>45886</v>
      </c>
      <c r="C200" s="209">
        <f>YEAR(MC[[#This Row],[Date]])+IF(MONTH(MC[[#This Row],[Date]])&gt;=4,1,0)</f>
        <v>2026</v>
      </c>
      <c r="D200" s="129">
        <f>YEAR(MC[[#This Row],[Date]])</f>
        <v>2025</v>
      </c>
      <c r="E200" s="287" t="s">
        <v>156</v>
      </c>
      <c r="F200" s="287" t="s">
        <v>156</v>
      </c>
      <c r="G200" s="4" t="str">
        <f>TEXT(MC[[#This Row],[Date]],"mmm-yy")</f>
        <v>Aug-25</v>
      </c>
      <c r="H200" s="4">
        <f>DAY(EOMONTH(MC[[#This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25"/>
      <c r="Q200" s="125"/>
      <c r="R200" s="4">
        <f>SUM(MC[[#This Row],[ICR1]:[ICR12]])</f>
        <v>0</v>
      </c>
      <c r="S200" s="132"/>
      <c r="T200" s="132"/>
      <c r="U200" s="132"/>
      <c r="V200" s="132"/>
      <c r="W200" s="132"/>
      <c r="X200" s="132"/>
      <c r="Y200" s="132"/>
    </row>
    <row r="201" spans="1:25">
      <c r="A201" s="132">
        <v>199</v>
      </c>
      <c r="B201" s="126">
        <f t="shared" si="3"/>
        <v>45887</v>
      </c>
      <c r="C201" s="209">
        <f>YEAR(MC[[#This Row],[Date]])+IF(MONTH(MC[[#This Row],[Date]])&gt;=4,1,0)</f>
        <v>2026</v>
      </c>
      <c r="D201" s="129">
        <f>YEAR(MC[[#This Row],[Date]])</f>
        <v>2025</v>
      </c>
      <c r="E201" s="287" t="s">
        <v>156</v>
      </c>
      <c r="F201" s="287" t="s">
        <v>156</v>
      </c>
      <c r="G201" s="4" t="str">
        <f>TEXT(MC[[#This Row],[Date]],"mmm-yy")</f>
        <v>Aug-25</v>
      </c>
      <c r="H201" s="4">
        <f>DAY(EOMONTH(MC[[#This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25"/>
      <c r="Q201" s="125"/>
      <c r="R201" s="4">
        <f>SUM(MC[[#This Row],[ICR1]:[ICR12]])</f>
        <v>0</v>
      </c>
      <c r="S201" s="132"/>
      <c r="T201" s="132"/>
      <c r="U201" s="132"/>
      <c r="V201" s="132"/>
      <c r="W201" s="132"/>
      <c r="X201" s="132"/>
      <c r="Y201" s="132"/>
    </row>
    <row r="202" spans="1:25">
      <c r="A202" s="132">
        <v>200</v>
      </c>
      <c r="B202" s="126">
        <f t="shared" si="3"/>
        <v>45888</v>
      </c>
      <c r="C202" s="209">
        <f>YEAR(MC[[#This Row],[Date]])+IF(MONTH(MC[[#This Row],[Date]])&gt;=4,1,0)</f>
        <v>2026</v>
      </c>
      <c r="D202" s="129">
        <f>YEAR(MC[[#This Row],[Date]])</f>
        <v>2025</v>
      </c>
      <c r="E202" s="287" t="s">
        <v>156</v>
      </c>
      <c r="F202" s="287" t="s">
        <v>156</v>
      </c>
      <c r="G202" s="4" t="str">
        <f>TEXT(MC[[#This Row],[Date]],"mmm-yy")</f>
        <v>Aug-25</v>
      </c>
      <c r="H202" s="4">
        <f>DAY(EOMONTH(MC[[#This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25"/>
      <c r="Q202" s="125"/>
      <c r="R202" s="4">
        <f>SUM(MC[[#This Row],[ICR1]:[ICR12]])</f>
        <v>0</v>
      </c>
      <c r="S202" s="132"/>
      <c r="T202" s="132"/>
      <c r="U202" s="132"/>
      <c r="V202" s="132"/>
      <c r="W202" s="132"/>
      <c r="X202" s="132"/>
      <c r="Y202" s="132"/>
    </row>
    <row r="203" spans="1:25">
      <c r="A203" s="132">
        <v>201</v>
      </c>
      <c r="B203" s="126">
        <f t="shared" si="3"/>
        <v>45889</v>
      </c>
      <c r="C203" s="209">
        <f>YEAR(MC[[#This Row],[Date]])+IF(MONTH(MC[[#This Row],[Date]])&gt;=4,1,0)</f>
        <v>2026</v>
      </c>
      <c r="D203" s="129">
        <f>YEAR(MC[[#This Row],[Date]])</f>
        <v>2025</v>
      </c>
      <c r="E203" s="287" t="s">
        <v>156</v>
      </c>
      <c r="F203" s="287" t="s">
        <v>156</v>
      </c>
      <c r="G203" s="4" t="str">
        <f>TEXT(MC[[#This Row],[Date]],"mmm-yy")</f>
        <v>Aug-25</v>
      </c>
      <c r="H203" s="4">
        <f>DAY(EOMONTH(MC[[#This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25"/>
      <c r="Q203" s="125"/>
      <c r="R203" s="4">
        <f>SUM(MC[[#This Row],[ICR1]:[ICR12]])</f>
        <v>0</v>
      </c>
      <c r="S203" s="132"/>
      <c r="T203" s="132"/>
      <c r="U203" s="132"/>
      <c r="V203" s="132"/>
      <c r="W203" s="132"/>
      <c r="X203" s="132"/>
      <c r="Y203" s="132"/>
    </row>
    <row r="204" spans="1:25">
      <c r="A204" s="132">
        <v>202</v>
      </c>
      <c r="B204" s="126">
        <f t="shared" si="3"/>
        <v>45890</v>
      </c>
      <c r="C204" s="209">
        <f>YEAR(MC[[#This Row],[Date]])+IF(MONTH(MC[[#This Row],[Date]])&gt;=4,1,0)</f>
        <v>2026</v>
      </c>
      <c r="D204" s="129">
        <f>YEAR(MC[[#This Row],[Date]])</f>
        <v>2025</v>
      </c>
      <c r="E204" s="287" t="s">
        <v>156</v>
      </c>
      <c r="F204" s="287" t="s">
        <v>156</v>
      </c>
      <c r="G204" s="4" t="str">
        <f>TEXT(MC[[#This Row],[Date]],"mmm-yy")</f>
        <v>Aug-25</v>
      </c>
      <c r="H204" s="4">
        <f>DAY(EOMONTH(MC[[#This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25"/>
      <c r="Q204" s="125"/>
      <c r="R204" s="4">
        <f>SUM(MC[[#This Row],[ICR1]:[ICR12]])</f>
        <v>0</v>
      </c>
      <c r="S204" s="132"/>
      <c r="T204" s="132"/>
      <c r="U204" s="132"/>
      <c r="V204" s="132"/>
      <c r="W204" s="132"/>
      <c r="X204" s="132"/>
      <c r="Y204" s="132"/>
    </row>
    <row r="205" spans="1:25">
      <c r="A205" s="132">
        <v>203</v>
      </c>
      <c r="B205" s="126">
        <f t="shared" si="3"/>
        <v>45891</v>
      </c>
      <c r="C205" s="209">
        <f>YEAR(MC[[#This Row],[Date]])+IF(MONTH(MC[[#This Row],[Date]])&gt;=4,1,0)</f>
        <v>2026</v>
      </c>
      <c r="D205" s="129">
        <f>YEAR(MC[[#This Row],[Date]])</f>
        <v>2025</v>
      </c>
      <c r="E205" s="287" t="s">
        <v>156</v>
      </c>
      <c r="F205" s="287" t="s">
        <v>156</v>
      </c>
      <c r="G205" s="4" t="str">
        <f>TEXT(MC[[#This Row],[Date]],"mmm-yy")</f>
        <v>Aug-25</v>
      </c>
      <c r="H205" s="4">
        <f>DAY(EOMONTH(MC[[#This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25"/>
      <c r="Q205" s="125"/>
      <c r="R205" s="4">
        <f>SUM(MC[[#This Row],[ICR1]:[ICR12]])</f>
        <v>0</v>
      </c>
      <c r="S205" s="132"/>
      <c r="T205" s="132"/>
      <c r="U205" s="132"/>
      <c r="V205" s="132"/>
      <c r="W205" s="132"/>
      <c r="X205" s="132"/>
      <c r="Y205" s="132"/>
    </row>
    <row r="206" spans="1:25">
      <c r="A206" s="132">
        <v>204</v>
      </c>
      <c r="B206" s="126">
        <f t="shared" si="3"/>
        <v>45892</v>
      </c>
      <c r="C206" s="209">
        <f>YEAR(MC[[#This Row],[Date]])+IF(MONTH(MC[[#This Row],[Date]])&gt;=4,1,0)</f>
        <v>2026</v>
      </c>
      <c r="D206" s="129">
        <f>YEAR(MC[[#This Row],[Date]])</f>
        <v>2025</v>
      </c>
      <c r="E206" s="287" t="s">
        <v>156</v>
      </c>
      <c r="F206" s="287" t="s">
        <v>156</v>
      </c>
      <c r="G206" s="4" t="str">
        <f>TEXT(MC[[#This Row],[Date]],"mmm-yy")</f>
        <v>Aug-25</v>
      </c>
      <c r="H206" s="4">
        <f>DAY(EOMONTH(MC[[#This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25"/>
      <c r="Q206" s="125"/>
      <c r="R206" s="4">
        <f>SUM(MC[[#This Row],[ICR1]:[ICR12]])</f>
        <v>0</v>
      </c>
      <c r="S206" s="132"/>
      <c r="T206" s="132"/>
      <c r="U206" s="132"/>
      <c r="V206" s="132"/>
      <c r="W206" s="132"/>
      <c r="X206" s="132"/>
      <c r="Y206" s="132"/>
    </row>
    <row r="207" spans="1:25">
      <c r="A207" s="132">
        <v>205</v>
      </c>
      <c r="B207" s="126">
        <f t="shared" si="3"/>
        <v>45893</v>
      </c>
      <c r="C207" s="209">
        <f>YEAR(MC[[#This Row],[Date]])+IF(MONTH(MC[[#This Row],[Date]])&gt;=4,1,0)</f>
        <v>2026</v>
      </c>
      <c r="D207" s="129">
        <f>YEAR(MC[[#This Row],[Date]])</f>
        <v>2025</v>
      </c>
      <c r="E207" s="287" t="s">
        <v>156</v>
      </c>
      <c r="F207" s="287" t="s">
        <v>156</v>
      </c>
      <c r="G207" s="4" t="str">
        <f>TEXT(MC[[#This Row],[Date]],"mmm-yy")</f>
        <v>Aug-25</v>
      </c>
      <c r="H207" s="4">
        <f>DAY(EOMONTH(MC[[#This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25"/>
      <c r="Q207" s="125"/>
      <c r="R207" s="4">
        <f>SUM(MC[[#This Row],[ICR1]:[ICR12]])</f>
        <v>0</v>
      </c>
      <c r="S207" s="132"/>
      <c r="T207" s="132"/>
      <c r="U207" s="132"/>
      <c r="V207" s="132"/>
      <c r="W207" s="132"/>
      <c r="X207" s="132"/>
      <c r="Y207" s="132"/>
    </row>
    <row r="208" spans="1:25">
      <c r="A208" s="132">
        <v>206</v>
      </c>
      <c r="B208" s="126">
        <f t="shared" si="3"/>
        <v>45894</v>
      </c>
      <c r="C208" s="209">
        <f>YEAR(MC[[#This Row],[Date]])+IF(MONTH(MC[[#This Row],[Date]])&gt;=4,1,0)</f>
        <v>2026</v>
      </c>
      <c r="D208" s="129">
        <f>YEAR(MC[[#This Row],[Date]])</f>
        <v>2025</v>
      </c>
      <c r="E208" s="287" t="s">
        <v>156</v>
      </c>
      <c r="F208" s="287" t="s">
        <v>156</v>
      </c>
      <c r="G208" s="4" t="str">
        <f>TEXT(MC[[#This Row],[Date]],"mmm-yy")</f>
        <v>Aug-25</v>
      </c>
      <c r="H208" s="4">
        <f>DAY(EOMONTH(MC[[#This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25"/>
      <c r="Q208" s="125"/>
      <c r="R208" s="4">
        <f>SUM(MC[[#This Row],[ICR1]:[ICR12]])</f>
        <v>0</v>
      </c>
      <c r="S208" s="132"/>
      <c r="T208" s="132"/>
      <c r="U208" s="132"/>
      <c r="V208" s="132"/>
      <c r="W208" s="132"/>
      <c r="X208" s="132"/>
      <c r="Y208" s="132"/>
    </row>
    <row r="209" spans="1:25">
      <c r="A209" s="132">
        <v>207</v>
      </c>
      <c r="B209" s="126">
        <f t="shared" si="3"/>
        <v>45895</v>
      </c>
      <c r="C209" s="209">
        <f>YEAR(MC[[#This Row],[Date]])+IF(MONTH(MC[[#This Row],[Date]])&gt;=4,1,0)</f>
        <v>2026</v>
      </c>
      <c r="D209" s="129">
        <f>YEAR(MC[[#This Row],[Date]])</f>
        <v>2025</v>
      </c>
      <c r="E209" s="287" t="s">
        <v>156</v>
      </c>
      <c r="F209" s="287" t="s">
        <v>156</v>
      </c>
      <c r="G209" s="4" t="str">
        <f>TEXT(MC[[#This Row],[Date]],"mmm-yy")</f>
        <v>Aug-25</v>
      </c>
      <c r="H209" s="4">
        <f>DAY(EOMONTH(MC[[#This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25"/>
      <c r="Q209" s="125"/>
      <c r="R209" s="4">
        <f>SUM(MC[[#This Row],[ICR1]:[ICR12]])</f>
        <v>0</v>
      </c>
      <c r="S209" s="132"/>
      <c r="T209" s="132"/>
      <c r="U209" s="132"/>
      <c r="V209" s="132"/>
      <c r="W209" s="132"/>
      <c r="X209" s="132"/>
      <c r="Y209" s="132"/>
    </row>
    <row r="210" spans="1:25">
      <c r="A210" s="132">
        <v>208</v>
      </c>
      <c r="B210" s="126">
        <f t="shared" si="3"/>
        <v>45896</v>
      </c>
      <c r="C210" s="209">
        <f>YEAR(MC[[#This Row],[Date]])+IF(MONTH(MC[[#This Row],[Date]])&gt;=4,1,0)</f>
        <v>2026</v>
      </c>
      <c r="D210" s="129">
        <f>YEAR(MC[[#This Row],[Date]])</f>
        <v>2025</v>
      </c>
      <c r="E210" s="287" t="s">
        <v>156</v>
      </c>
      <c r="F210" s="287" t="s">
        <v>156</v>
      </c>
      <c r="G210" s="4" t="str">
        <f>TEXT(MC[[#This Row],[Date]],"mmm-yy")</f>
        <v>Aug-25</v>
      </c>
      <c r="H210" s="4">
        <f>DAY(EOMONTH(MC[[#This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25"/>
      <c r="Q210" s="125"/>
      <c r="R210" s="4">
        <f>SUM(MC[[#This Row],[ICR1]:[ICR12]])</f>
        <v>0</v>
      </c>
      <c r="S210" s="132"/>
      <c r="T210" s="132"/>
      <c r="U210" s="132"/>
      <c r="V210" s="132"/>
      <c r="W210" s="132"/>
      <c r="X210" s="132"/>
      <c r="Y210" s="132"/>
    </row>
    <row r="211" spans="1:25">
      <c r="A211" s="132">
        <v>209</v>
      </c>
      <c r="B211" s="126">
        <f t="shared" si="3"/>
        <v>45897</v>
      </c>
      <c r="C211" s="209">
        <f>YEAR(MC[[#This Row],[Date]])+IF(MONTH(MC[[#This Row],[Date]])&gt;=4,1,0)</f>
        <v>2026</v>
      </c>
      <c r="D211" s="129">
        <f>YEAR(MC[[#This Row],[Date]])</f>
        <v>2025</v>
      </c>
      <c r="E211" s="287" t="s">
        <v>156</v>
      </c>
      <c r="F211" s="287" t="s">
        <v>156</v>
      </c>
      <c r="G211" s="4" t="str">
        <f>TEXT(MC[[#This Row],[Date]],"mmm-yy")</f>
        <v>Aug-25</v>
      </c>
      <c r="H211" s="4">
        <f>DAY(EOMONTH(MC[[#This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25"/>
      <c r="Q211" s="125"/>
      <c r="R211" s="4">
        <f>SUM(MC[[#This Row],[ICR1]:[ICR12]])</f>
        <v>0</v>
      </c>
      <c r="S211" s="132"/>
      <c r="T211" s="132"/>
      <c r="U211" s="132"/>
      <c r="V211" s="132"/>
      <c r="W211" s="132"/>
      <c r="X211" s="132"/>
      <c r="Y211" s="132"/>
    </row>
    <row r="212" spans="1:25">
      <c r="A212" s="132">
        <v>210</v>
      </c>
      <c r="B212" s="126">
        <f t="shared" si="3"/>
        <v>45898</v>
      </c>
      <c r="C212" s="209">
        <f>YEAR(MC[[#This Row],[Date]])+IF(MONTH(MC[[#This Row],[Date]])&gt;=4,1,0)</f>
        <v>2026</v>
      </c>
      <c r="D212" s="129">
        <f>YEAR(MC[[#This Row],[Date]])</f>
        <v>2025</v>
      </c>
      <c r="E212" s="287" t="s">
        <v>156</v>
      </c>
      <c r="F212" s="287" t="s">
        <v>156</v>
      </c>
      <c r="G212" s="4" t="str">
        <f>TEXT(MC[[#This Row],[Date]],"mmm-yy")</f>
        <v>Aug-25</v>
      </c>
      <c r="H212" s="4">
        <f>DAY(EOMONTH(MC[[#This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25"/>
      <c r="Q212" s="125"/>
      <c r="R212" s="4">
        <f>SUM(MC[[#This Row],[ICR1]:[ICR12]])</f>
        <v>0</v>
      </c>
      <c r="S212" s="132"/>
      <c r="T212" s="132"/>
      <c r="U212" s="132"/>
      <c r="V212" s="132"/>
      <c r="W212" s="132"/>
      <c r="X212" s="132"/>
      <c r="Y212" s="132"/>
    </row>
    <row r="213" spans="1:25">
      <c r="A213" s="132">
        <v>211</v>
      </c>
      <c r="B213" s="126">
        <f t="shared" si="3"/>
        <v>45899</v>
      </c>
      <c r="C213" s="209">
        <f>YEAR(MC[[#This Row],[Date]])+IF(MONTH(MC[[#This Row],[Date]])&gt;=4,1,0)</f>
        <v>2026</v>
      </c>
      <c r="D213" s="129">
        <f>YEAR(MC[[#This Row],[Date]])</f>
        <v>2025</v>
      </c>
      <c r="E213" s="287" t="s">
        <v>156</v>
      </c>
      <c r="F213" s="287" t="s">
        <v>156</v>
      </c>
      <c r="G213" s="4" t="str">
        <f>TEXT(MC[[#This Row],[Date]],"mmm-yy")</f>
        <v>Aug-25</v>
      </c>
      <c r="H213" s="4">
        <f>DAY(EOMONTH(MC[[#This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25"/>
      <c r="Q213" s="125"/>
      <c r="R213" s="4">
        <f>SUM(MC[[#This Row],[ICR1]:[ICR12]])</f>
        <v>0</v>
      </c>
      <c r="S213" s="132"/>
      <c r="T213" s="132"/>
      <c r="U213" s="132"/>
      <c r="V213" s="132"/>
      <c r="W213" s="132"/>
      <c r="X213" s="132"/>
      <c r="Y213" s="132"/>
    </row>
    <row r="214" spans="1:25">
      <c r="A214" s="132">
        <v>212</v>
      </c>
      <c r="B214" s="126">
        <f t="shared" si="3"/>
        <v>45900</v>
      </c>
      <c r="C214" s="209">
        <f>YEAR(MC[[#This Row],[Date]])+IF(MONTH(MC[[#This Row],[Date]])&gt;=4,1,0)</f>
        <v>2026</v>
      </c>
      <c r="D214" s="129">
        <f>YEAR(MC[[#This Row],[Date]])</f>
        <v>2025</v>
      </c>
      <c r="E214" s="287" t="s">
        <v>156</v>
      </c>
      <c r="F214" s="287" t="s">
        <v>156</v>
      </c>
      <c r="G214" s="4" t="str">
        <f>TEXT(MC[[#This Row],[Date]],"mmm-yy")</f>
        <v>Aug-25</v>
      </c>
      <c r="H214" s="4">
        <f>DAY(EOMONTH(MC[[#This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25"/>
      <c r="Q214" s="125"/>
      <c r="R214" s="4">
        <f>SUM(MC[[#This Row],[ICR1]:[ICR12]])</f>
        <v>0</v>
      </c>
      <c r="S214" s="132"/>
      <c r="T214" s="132"/>
      <c r="U214" s="132"/>
      <c r="V214" s="132"/>
      <c r="W214" s="132"/>
      <c r="X214" s="132"/>
      <c r="Y214" s="132"/>
    </row>
    <row r="215" spans="1:25">
      <c r="A215" s="132">
        <v>213</v>
      </c>
      <c r="B215" s="126">
        <f t="shared" si="3"/>
        <v>45901</v>
      </c>
      <c r="C215" s="209">
        <f>YEAR(MC[[#This Row],[Date]])+IF(MONTH(MC[[#This Row],[Date]])&gt;=4,1,0)</f>
        <v>2026</v>
      </c>
      <c r="D215" s="129">
        <f>YEAR(MC[[#This Row],[Date]])</f>
        <v>2025</v>
      </c>
      <c r="E215" s="287" t="s">
        <v>156</v>
      </c>
      <c r="F215" s="287" t="s">
        <v>156</v>
      </c>
      <c r="G215" s="4" t="str">
        <f>TEXT(MC[[#This Row],[Date]],"mmm-yy")</f>
        <v>Sep-25</v>
      </c>
      <c r="H215" s="4">
        <f>DAY(EOMONTH(MC[[#This Row],[Month Year]],0))</f>
        <v>30</v>
      </c>
      <c r="I215" s="132"/>
      <c r="J215" s="132"/>
      <c r="K215" s="132"/>
      <c r="L215" s="132"/>
      <c r="M215" s="132"/>
      <c r="N215" s="132"/>
      <c r="O215" s="132"/>
      <c r="P215" s="125"/>
      <c r="Q215" s="125"/>
      <c r="R215" s="4">
        <f>SUM(MC[[#This Row],[ICR1]:[ICR12]])</f>
        <v>0</v>
      </c>
      <c r="S215" s="132"/>
      <c r="T215" s="132"/>
      <c r="U215" s="132"/>
      <c r="V215" s="132"/>
      <c r="W215" s="132"/>
      <c r="X215" s="132"/>
      <c r="Y215" s="132"/>
    </row>
    <row r="216" spans="1:25">
      <c r="A216" s="132">
        <v>214</v>
      </c>
      <c r="B216" s="126">
        <f t="shared" si="3"/>
        <v>45902</v>
      </c>
      <c r="C216" s="209">
        <f>YEAR(MC[[#This Row],[Date]])+IF(MONTH(MC[[#This Row],[Date]])&gt;=4,1,0)</f>
        <v>2026</v>
      </c>
      <c r="D216" s="129">
        <f>YEAR(MC[[#This Row],[Date]])</f>
        <v>2025</v>
      </c>
      <c r="E216" s="287" t="s">
        <v>156</v>
      </c>
      <c r="F216" s="287" t="s">
        <v>156</v>
      </c>
      <c r="G216" s="4" t="str">
        <f>TEXT(MC[[#This Row],[Date]],"mmm-yy")</f>
        <v>Sep-25</v>
      </c>
      <c r="H216" s="4">
        <f>DAY(EOMONTH(MC[[#This Row],[Month Year]],0))</f>
        <v>30</v>
      </c>
      <c r="I216" s="132"/>
      <c r="J216" s="132"/>
      <c r="K216" s="132"/>
      <c r="L216" s="132"/>
      <c r="M216" s="132"/>
      <c r="N216" s="132"/>
      <c r="O216" s="132"/>
      <c r="P216" s="125"/>
      <c r="Q216" s="125"/>
      <c r="R216" s="4">
        <f>SUM(MC[[#This Row],[ICR1]:[ICR12]])</f>
        <v>0</v>
      </c>
      <c r="S216" s="132"/>
      <c r="T216" s="132"/>
      <c r="U216" s="132"/>
      <c r="V216" s="132"/>
      <c r="W216" s="132"/>
      <c r="X216" s="132"/>
      <c r="Y216" s="132"/>
    </row>
    <row r="217" spans="1:25">
      <c r="A217" s="132">
        <v>215</v>
      </c>
      <c r="B217" s="126">
        <f t="shared" si="3"/>
        <v>45903</v>
      </c>
      <c r="C217" s="209">
        <f>YEAR(MC[[#This Row],[Date]])+IF(MONTH(MC[[#This Row],[Date]])&gt;=4,1,0)</f>
        <v>2026</v>
      </c>
      <c r="D217" s="129">
        <f>YEAR(MC[[#This Row],[Date]])</f>
        <v>2025</v>
      </c>
      <c r="E217" s="287" t="s">
        <v>156</v>
      </c>
      <c r="F217" s="287" t="s">
        <v>156</v>
      </c>
      <c r="G217" s="4" t="str">
        <f>TEXT(MC[[#This Row],[Date]],"mmm-yy")</f>
        <v>Sep-25</v>
      </c>
      <c r="H217" s="4">
        <f>DAY(EOMONTH(MC[[#This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25"/>
      <c r="Q217" s="125"/>
      <c r="R217" s="4">
        <f>SUM(MC[[#This Row],[ICR1]:[ICR12]])</f>
        <v>0</v>
      </c>
      <c r="S217" s="132"/>
      <c r="T217" s="132"/>
      <c r="U217" s="132"/>
      <c r="V217" s="132"/>
      <c r="W217" s="132"/>
      <c r="X217" s="132"/>
      <c r="Y217" s="132"/>
    </row>
    <row r="218" spans="1:25">
      <c r="A218" s="132">
        <v>216</v>
      </c>
      <c r="B218" s="126">
        <f t="shared" si="3"/>
        <v>45904</v>
      </c>
      <c r="C218" s="209">
        <f>YEAR(MC[[#This Row],[Date]])+IF(MONTH(MC[[#This Row],[Date]])&gt;=4,1,0)</f>
        <v>2026</v>
      </c>
      <c r="D218" s="129">
        <f>YEAR(MC[[#This Row],[Date]])</f>
        <v>2025</v>
      </c>
      <c r="E218" s="287" t="s">
        <v>156</v>
      </c>
      <c r="F218" s="287" t="s">
        <v>156</v>
      </c>
      <c r="G218" s="4" t="str">
        <f>TEXT(MC[[#This Row],[Date]],"mmm-yy")</f>
        <v>Sep-25</v>
      </c>
      <c r="H218" s="4">
        <f>DAY(EOMONTH(MC[[#This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25"/>
      <c r="Q218" s="125"/>
      <c r="R218" s="4">
        <f>SUM(MC[[#This Row],[ICR1]:[ICR12]])</f>
        <v>0</v>
      </c>
      <c r="S218" s="132"/>
      <c r="T218" s="132"/>
      <c r="U218" s="132"/>
      <c r="V218" s="132"/>
      <c r="W218" s="132"/>
      <c r="X218" s="132"/>
      <c r="Y218" s="132"/>
    </row>
    <row r="219" spans="1:25">
      <c r="A219" s="132">
        <v>217</v>
      </c>
      <c r="B219" s="126">
        <f t="shared" si="3"/>
        <v>45905</v>
      </c>
      <c r="C219" s="209">
        <f>YEAR(MC[[#This Row],[Date]])+IF(MONTH(MC[[#This Row],[Date]])&gt;=4,1,0)</f>
        <v>2026</v>
      </c>
      <c r="D219" s="129">
        <f>YEAR(MC[[#This Row],[Date]])</f>
        <v>2025</v>
      </c>
      <c r="E219" s="287" t="s">
        <v>156</v>
      </c>
      <c r="F219" s="287" t="s">
        <v>156</v>
      </c>
      <c r="G219" s="4" t="str">
        <f>TEXT(MC[[#This Row],[Date]],"mmm-yy")</f>
        <v>Sep-25</v>
      </c>
      <c r="H219" s="4">
        <f>DAY(EOMONTH(MC[[#This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25"/>
      <c r="Q219" s="125"/>
      <c r="R219" s="4">
        <f>SUM(MC[[#This Row],[ICR1]:[ICR12]])</f>
        <v>0</v>
      </c>
      <c r="S219" s="132"/>
      <c r="T219" s="132"/>
      <c r="U219" s="132"/>
      <c r="V219" s="132"/>
      <c r="W219" s="132"/>
      <c r="X219" s="132"/>
      <c r="Y219" s="132"/>
    </row>
    <row r="220" spans="1:25">
      <c r="A220" s="132">
        <v>218</v>
      </c>
      <c r="B220" s="126">
        <f t="shared" si="3"/>
        <v>45906</v>
      </c>
      <c r="C220" s="209">
        <f>YEAR(MC[[#This Row],[Date]])+IF(MONTH(MC[[#This Row],[Date]])&gt;=4,1,0)</f>
        <v>2026</v>
      </c>
      <c r="D220" s="129">
        <f>YEAR(MC[[#This Row],[Date]])</f>
        <v>2025</v>
      </c>
      <c r="E220" s="287" t="s">
        <v>156</v>
      </c>
      <c r="F220" s="287" t="s">
        <v>156</v>
      </c>
      <c r="G220" s="4" t="str">
        <f>TEXT(MC[[#This Row],[Date]],"mmm-yy")</f>
        <v>Sep-25</v>
      </c>
      <c r="H220" s="4">
        <f>DAY(EOMONTH(MC[[#This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25"/>
      <c r="Q220" s="125"/>
      <c r="R220" s="4">
        <f>SUM(MC[[#This Row],[ICR1]:[ICR12]])</f>
        <v>0</v>
      </c>
      <c r="S220" s="132"/>
      <c r="T220" s="132"/>
      <c r="U220" s="132"/>
      <c r="V220" s="132"/>
      <c r="W220" s="132"/>
      <c r="X220" s="132"/>
      <c r="Y220" s="132"/>
    </row>
    <row r="221" spans="1:25">
      <c r="A221" s="132">
        <v>219</v>
      </c>
      <c r="B221" s="126">
        <f t="shared" si="3"/>
        <v>45907</v>
      </c>
      <c r="C221" s="209">
        <f>YEAR(MC[[#This Row],[Date]])+IF(MONTH(MC[[#This Row],[Date]])&gt;=4,1,0)</f>
        <v>2026</v>
      </c>
      <c r="D221" s="129">
        <f>YEAR(MC[[#This Row],[Date]])</f>
        <v>2025</v>
      </c>
      <c r="E221" s="287" t="s">
        <v>156</v>
      </c>
      <c r="F221" s="287" t="s">
        <v>156</v>
      </c>
      <c r="G221" s="4" t="str">
        <f>TEXT(MC[[#This Row],[Date]],"mmm-yy")</f>
        <v>Sep-25</v>
      </c>
      <c r="H221" s="4">
        <f>DAY(EOMONTH(MC[[#This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25"/>
      <c r="Q221" s="125"/>
      <c r="R221" s="4">
        <f>SUM(MC[[#This Row],[ICR1]:[ICR12]])</f>
        <v>0</v>
      </c>
      <c r="S221" s="132"/>
      <c r="T221" s="132"/>
      <c r="U221" s="132"/>
      <c r="V221" s="132"/>
      <c r="W221" s="132"/>
      <c r="X221" s="132"/>
      <c r="Y221" s="132"/>
    </row>
    <row r="222" spans="1:25">
      <c r="A222" s="132">
        <v>220</v>
      </c>
      <c r="B222" s="126">
        <f t="shared" si="3"/>
        <v>45908</v>
      </c>
      <c r="C222" s="209">
        <f>YEAR(MC[[#This Row],[Date]])+IF(MONTH(MC[[#This Row],[Date]])&gt;=4,1,0)</f>
        <v>2026</v>
      </c>
      <c r="D222" s="129">
        <f>YEAR(MC[[#This Row],[Date]])</f>
        <v>2025</v>
      </c>
      <c r="E222" s="287" t="s">
        <v>156</v>
      </c>
      <c r="F222" s="287" t="s">
        <v>156</v>
      </c>
      <c r="G222" s="4" t="str">
        <f>TEXT(MC[[#This Row],[Date]],"mmm-yy")</f>
        <v>Sep-25</v>
      </c>
      <c r="H222" s="4">
        <f>DAY(EOMONTH(MC[[#This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25"/>
      <c r="Q222" s="125"/>
      <c r="R222" s="4">
        <f>SUM(MC[[#This Row],[ICR1]:[ICR12]])</f>
        <v>0</v>
      </c>
      <c r="S222" s="132"/>
      <c r="T222" s="132"/>
      <c r="U222" s="132"/>
      <c r="V222" s="132"/>
      <c r="W222" s="132"/>
      <c r="X222" s="132"/>
      <c r="Y222" s="132"/>
    </row>
    <row r="223" spans="1:25">
      <c r="A223" s="132">
        <v>221</v>
      </c>
      <c r="B223" s="126">
        <f t="shared" si="3"/>
        <v>45909</v>
      </c>
      <c r="C223" s="209">
        <f>YEAR(MC[[#This Row],[Date]])+IF(MONTH(MC[[#This Row],[Date]])&gt;=4,1,0)</f>
        <v>2026</v>
      </c>
      <c r="D223" s="129">
        <f>YEAR(MC[[#This Row],[Date]])</f>
        <v>2025</v>
      </c>
      <c r="E223" s="287" t="s">
        <v>156</v>
      </c>
      <c r="F223" s="287" t="s">
        <v>156</v>
      </c>
      <c r="G223" s="4" t="str">
        <f>TEXT(MC[[#This Row],[Date]],"mmm-yy")</f>
        <v>Sep-25</v>
      </c>
      <c r="H223" s="4">
        <f>DAY(EOMONTH(MC[[#This Row],[Month Year]],0))</f>
        <v>30</v>
      </c>
      <c r="I223" s="132"/>
      <c r="J223" s="132"/>
      <c r="K223" s="132"/>
      <c r="L223" s="132"/>
      <c r="M223" s="132"/>
      <c r="N223" s="132"/>
      <c r="O223" s="132"/>
      <c r="P223" s="125"/>
      <c r="Q223" s="125"/>
      <c r="R223" s="4">
        <f>SUM(MC[[#This Row],[ICR1]:[ICR12]])</f>
        <v>0</v>
      </c>
      <c r="S223" s="132"/>
      <c r="T223" s="132"/>
      <c r="U223" s="132"/>
      <c r="V223" s="132"/>
      <c r="W223" s="132"/>
      <c r="X223" s="132"/>
      <c r="Y223" s="132"/>
    </row>
    <row r="224" spans="1:25">
      <c r="A224" s="132">
        <v>222</v>
      </c>
      <c r="B224" s="126">
        <f t="shared" si="3"/>
        <v>45910</v>
      </c>
      <c r="C224" s="209">
        <f>YEAR(MC[[#This Row],[Date]])+IF(MONTH(MC[[#This Row],[Date]])&gt;=4,1,0)</f>
        <v>2026</v>
      </c>
      <c r="D224" s="129">
        <f>YEAR(MC[[#This Row],[Date]])</f>
        <v>2025</v>
      </c>
      <c r="E224" s="287" t="s">
        <v>156</v>
      </c>
      <c r="F224" s="287" t="s">
        <v>156</v>
      </c>
      <c r="G224" s="4" t="str">
        <f>TEXT(MC[[#This Row],[Date]],"mmm-yy")</f>
        <v>Sep-25</v>
      </c>
      <c r="H224" s="4">
        <f>DAY(EOMONTH(MC[[#This Row],[Month Year]],0))</f>
        <v>30</v>
      </c>
      <c r="I224" s="132"/>
      <c r="J224" s="132"/>
      <c r="K224" s="132"/>
      <c r="L224" s="132"/>
      <c r="M224" s="132"/>
      <c r="N224" s="132"/>
      <c r="O224" s="132"/>
      <c r="P224" s="125"/>
      <c r="Q224" s="125"/>
      <c r="R224" s="4">
        <f>SUM(MC[[#This Row],[ICR1]:[ICR12]])</f>
        <v>0</v>
      </c>
      <c r="S224" s="132"/>
      <c r="T224" s="132"/>
      <c r="U224" s="132"/>
      <c r="V224" s="132"/>
      <c r="W224" s="132"/>
      <c r="X224" s="132"/>
      <c r="Y224" s="132"/>
    </row>
    <row r="225" spans="1:25">
      <c r="A225" s="132">
        <v>223</v>
      </c>
      <c r="B225" s="126">
        <f t="shared" si="3"/>
        <v>45911</v>
      </c>
      <c r="C225" s="209">
        <f>YEAR(MC[[#This Row],[Date]])+IF(MONTH(MC[[#This Row],[Date]])&gt;=4,1,0)</f>
        <v>2026</v>
      </c>
      <c r="D225" s="129">
        <f>YEAR(MC[[#This Row],[Date]])</f>
        <v>2025</v>
      </c>
      <c r="E225" s="287" t="s">
        <v>156</v>
      </c>
      <c r="F225" s="287" t="s">
        <v>156</v>
      </c>
      <c r="G225" s="4" t="str">
        <f>TEXT(MC[[#This Row],[Date]],"mmm-yy")</f>
        <v>Sep-25</v>
      </c>
      <c r="H225" s="4">
        <f>DAY(EOMONTH(MC[[#This Row],[Month Year]],0))</f>
        <v>30</v>
      </c>
      <c r="I225" s="132"/>
      <c r="J225" s="132"/>
      <c r="K225" s="132"/>
      <c r="L225" s="132"/>
      <c r="M225" s="132"/>
      <c r="N225" s="132"/>
      <c r="O225" s="132"/>
      <c r="P225" s="125"/>
      <c r="Q225" s="125"/>
      <c r="R225" s="4">
        <f>SUM(MC[[#This Row],[ICR1]:[ICR12]])</f>
        <v>0</v>
      </c>
      <c r="S225" s="132"/>
      <c r="T225" s="132"/>
      <c r="U225" s="132"/>
      <c r="V225" s="132"/>
      <c r="W225" s="132"/>
      <c r="X225" s="132"/>
      <c r="Y225" s="132"/>
    </row>
    <row r="226" spans="1:25">
      <c r="A226" s="132">
        <v>224</v>
      </c>
      <c r="B226" s="126">
        <f t="shared" si="3"/>
        <v>45912</v>
      </c>
      <c r="C226" s="209">
        <f>YEAR(MC[[#This Row],[Date]])+IF(MONTH(MC[[#This Row],[Date]])&gt;=4,1,0)</f>
        <v>2026</v>
      </c>
      <c r="D226" s="129">
        <f>YEAR(MC[[#This Row],[Date]])</f>
        <v>2025</v>
      </c>
      <c r="E226" s="287" t="s">
        <v>156</v>
      </c>
      <c r="F226" s="287" t="s">
        <v>156</v>
      </c>
      <c r="G226" s="4" t="str">
        <f>TEXT(MC[[#This Row],[Date]],"mmm-yy")</f>
        <v>Sep-25</v>
      </c>
      <c r="H226" s="4">
        <f>DAY(EOMONTH(MC[[#This Row],[Month Year]],0))</f>
        <v>30</v>
      </c>
      <c r="I226" s="132"/>
      <c r="J226" s="132"/>
      <c r="K226" s="132"/>
      <c r="L226" s="132"/>
      <c r="M226" s="132"/>
      <c r="N226" s="132"/>
      <c r="O226" s="132"/>
      <c r="P226" s="125"/>
      <c r="Q226" s="125"/>
      <c r="R226" s="4">
        <f>SUM(MC[[#This Row],[ICR1]:[ICR12]])</f>
        <v>0</v>
      </c>
      <c r="S226" s="132"/>
      <c r="T226" s="132"/>
      <c r="U226" s="132"/>
      <c r="V226" s="132"/>
      <c r="W226" s="132"/>
      <c r="X226" s="132"/>
      <c r="Y226" s="132"/>
    </row>
    <row r="227" spans="1:25">
      <c r="A227" s="132">
        <v>225</v>
      </c>
      <c r="B227" s="126">
        <f t="shared" si="3"/>
        <v>45913</v>
      </c>
      <c r="C227" s="209">
        <f>YEAR(MC[[#This Row],[Date]])+IF(MONTH(MC[[#This Row],[Date]])&gt;=4,1,0)</f>
        <v>2026</v>
      </c>
      <c r="D227" s="129">
        <f>YEAR(MC[[#This Row],[Date]])</f>
        <v>2025</v>
      </c>
      <c r="E227" s="287" t="s">
        <v>156</v>
      </c>
      <c r="F227" s="287" t="s">
        <v>156</v>
      </c>
      <c r="G227" s="4" t="str">
        <f>TEXT(MC[[#This Row],[Date]],"mmm-yy")</f>
        <v>Sep-25</v>
      </c>
      <c r="H227" s="4">
        <f>DAY(EOMONTH(MC[[#This Row],[Month Year]],0))</f>
        <v>30</v>
      </c>
      <c r="I227" s="132"/>
      <c r="J227" s="132"/>
      <c r="K227" s="132"/>
      <c r="L227" s="132"/>
      <c r="M227" s="132"/>
      <c r="N227" s="132"/>
      <c r="O227" s="132"/>
      <c r="P227" s="125"/>
      <c r="Q227" s="125"/>
      <c r="R227" s="4">
        <f>SUM(MC[[#This Row],[ICR1]:[ICR12]])</f>
        <v>0</v>
      </c>
      <c r="S227" s="132"/>
      <c r="T227" s="132"/>
      <c r="U227" s="132"/>
      <c r="V227" s="132"/>
      <c r="W227" s="132"/>
      <c r="X227" s="132"/>
      <c r="Y227" s="132"/>
    </row>
    <row r="228" spans="1:25">
      <c r="A228" s="132">
        <v>226</v>
      </c>
      <c r="B228" s="126">
        <f t="shared" si="3"/>
        <v>45914</v>
      </c>
      <c r="C228" s="209">
        <f>YEAR(MC[[#This Row],[Date]])+IF(MONTH(MC[[#This Row],[Date]])&gt;=4,1,0)</f>
        <v>2026</v>
      </c>
      <c r="D228" s="129">
        <f>YEAR(MC[[#This Row],[Date]])</f>
        <v>2025</v>
      </c>
      <c r="E228" s="287" t="s">
        <v>156</v>
      </c>
      <c r="F228" s="287" t="s">
        <v>156</v>
      </c>
      <c r="G228" s="4" t="str">
        <f>TEXT(MC[[#This Row],[Date]],"mmm-yy")</f>
        <v>Sep-25</v>
      </c>
      <c r="H228" s="4">
        <f>DAY(EOMONTH(MC[[#This Row],[Month Year]],0))</f>
        <v>30</v>
      </c>
      <c r="I228" s="132"/>
      <c r="J228" s="132"/>
      <c r="K228" s="132"/>
      <c r="L228" s="132"/>
      <c r="M228" s="132"/>
      <c r="N228" s="132"/>
      <c r="O228" s="132"/>
      <c r="P228" s="125"/>
      <c r="Q228" s="125"/>
      <c r="R228" s="4">
        <f>SUM(MC[[#This Row],[ICR1]:[ICR12]])</f>
        <v>0</v>
      </c>
      <c r="S228" s="132"/>
      <c r="T228" s="132"/>
      <c r="U228" s="132"/>
      <c r="V228" s="132"/>
      <c r="W228" s="132"/>
      <c r="X228" s="132"/>
      <c r="Y228" s="132"/>
    </row>
    <row r="229" spans="1:25">
      <c r="A229" s="132">
        <v>227</v>
      </c>
      <c r="B229" s="126">
        <f t="shared" si="3"/>
        <v>45915</v>
      </c>
      <c r="C229" s="209">
        <f>YEAR(MC[[#This Row],[Date]])+IF(MONTH(MC[[#This Row],[Date]])&gt;=4,1,0)</f>
        <v>2026</v>
      </c>
      <c r="D229" s="129">
        <f>YEAR(MC[[#This Row],[Date]])</f>
        <v>2025</v>
      </c>
      <c r="E229" s="287" t="s">
        <v>156</v>
      </c>
      <c r="F229" s="287" t="s">
        <v>156</v>
      </c>
      <c r="G229" s="4" t="str">
        <f>TEXT(MC[[#This Row],[Date]],"mmm-yy")</f>
        <v>Sep-25</v>
      </c>
      <c r="H229" s="4">
        <f>DAY(EOMONTH(MC[[#This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25"/>
      <c r="Q229" s="125"/>
      <c r="R229" s="4">
        <f>SUM(MC[[#This Row],[ICR1]:[ICR12]])</f>
        <v>0</v>
      </c>
      <c r="S229" s="132"/>
      <c r="T229" s="132"/>
      <c r="U229" s="132"/>
      <c r="V229" s="132"/>
      <c r="W229" s="132"/>
      <c r="X229" s="132"/>
      <c r="Y229" s="132"/>
    </row>
    <row r="230" spans="1:25">
      <c r="A230" s="132">
        <v>228</v>
      </c>
      <c r="B230" s="126">
        <f t="shared" si="3"/>
        <v>45916</v>
      </c>
      <c r="C230" s="209">
        <f>YEAR(MC[[#This Row],[Date]])+IF(MONTH(MC[[#This Row],[Date]])&gt;=4,1,0)</f>
        <v>2026</v>
      </c>
      <c r="D230" s="129">
        <f>YEAR(MC[[#This Row],[Date]])</f>
        <v>2025</v>
      </c>
      <c r="E230" s="287" t="s">
        <v>156</v>
      </c>
      <c r="F230" s="287" t="s">
        <v>156</v>
      </c>
      <c r="G230" s="4" t="str">
        <f>TEXT(MC[[#This Row],[Date]],"mmm-yy")</f>
        <v>Sep-25</v>
      </c>
      <c r="H230" s="4">
        <f>DAY(EOMONTH(MC[[#This Row],[Month Year]],0))</f>
        <v>30</v>
      </c>
      <c r="I230" s="132"/>
      <c r="J230" s="132"/>
      <c r="K230" s="132"/>
      <c r="L230" s="132"/>
      <c r="M230" s="132"/>
      <c r="N230" s="132"/>
      <c r="O230" s="132"/>
      <c r="P230" s="125"/>
      <c r="Q230" s="125"/>
      <c r="R230" s="4">
        <f>SUM(MC[[#This Row],[ICR1]:[ICR12]])</f>
        <v>0</v>
      </c>
      <c r="S230" s="132"/>
      <c r="T230" s="132"/>
      <c r="U230" s="132"/>
      <c r="V230" s="132"/>
      <c r="W230" s="132"/>
      <c r="X230" s="132"/>
      <c r="Y230" s="132"/>
    </row>
    <row r="231" spans="1:25">
      <c r="A231" s="132">
        <v>229</v>
      </c>
      <c r="B231" s="126">
        <f t="shared" si="3"/>
        <v>45917</v>
      </c>
      <c r="C231" s="209">
        <f>YEAR(MC[[#This Row],[Date]])+IF(MONTH(MC[[#This Row],[Date]])&gt;=4,1,0)</f>
        <v>2026</v>
      </c>
      <c r="D231" s="129">
        <f>YEAR(MC[[#This Row],[Date]])</f>
        <v>2025</v>
      </c>
      <c r="E231" s="287" t="s">
        <v>156</v>
      </c>
      <c r="F231" s="287" t="s">
        <v>156</v>
      </c>
      <c r="G231" s="4" t="str">
        <f>TEXT(MC[[#This Row],[Date]],"mmm-yy")</f>
        <v>Sep-25</v>
      </c>
      <c r="H231" s="4">
        <f>DAY(EOMONTH(MC[[#This Row],[Month Year]],0))</f>
        <v>30</v>
      </c>
      <c r="I231" s="132"/>
      <c r="J231" s="132"/>
      <c r="K231" s="132"/>
      <c r="L231" s="132"/>
      <c r="M231" s="132"/>
      <c r="N231" s="132"/>
      <c r="O231" s="132"/>
      <c r="P231" s="125"/>
      <c r="Q231" s="125"/>
      <c r="R231" s="4">
        <f>SUM(MC[[#This Row],[ICR1]:[ICR12]])</f>
        <v>0</v>
      </c>
      <c r="S231" s="132"/>
      <c r="T231" s="132"/>
      <c r="U231" s="132"/>
      <c r="V231" s="132"/>
      <c r="W231" s="132"/>
      <c r="X231" s="132"/>
      <c r="Y231" s="132"/>
    </row>
    <row r="232" spans="1:25">
      <c r="A232" s="132">
        <v>230</v>
      </c>
      <c r="B232" s="126">
        <f t="shared" si="3"/>
        <v>45918</v>
      </c>
      <c r="C232" s="209">
        <f>YEAR(MC[[#This Row],[Date]])+IF(MONTH(MC[[#This Row],[Date]])&gt;=4,1,0)</f>
        <v>2026</v>
      </c>
      <c r="D232" s="129">
        <f>YEAR(MC[[#This Row],[Date]])</f>
        <v>2025</v>
      </c>
      <c r="E232" s="287" t="s">
        <v>156</v>
      </c>
      <c r="F232" s="287" t="s">
        <v>156</v>
      </c>
      <c r="G232" s="4" t="str">
        <f>TEXT(MC[[#This Row],[Date]],"mmm-yy")</f>
        <v>Sep-25</v>
      </c>
      <c r="H232" s="4">
        <f>DAY(EOMONTH(MC[[#This Row],[Month Year]],0))</f>
        <v>30</v>
      </c>
      <c r="I232" s="132"/>
      <c r="J232" s="132"/>
      <c r="K232" s="132"/>
      <c r="L232" s="132"/>
      <c r="M232" s="132"/>
      <c r="N232" s="132"/>
      <c r="O232" s="132"/>
      <c r="P232" s="125"/>
      <c r="Q232" s="125"/>
      <c r="R232" s="4">
        <f>SUM(MC[[#This Row],[ICR1]:[ICR12]])</f>
        <v>0</v>
      </c>
      <c r="S232" s="132"/>
      <c r="T232" s="132"/>
      <c r="U232" s="132"/>
      <c r="V232" s="132"/>
      <c r="W232" s="132"/>
      <c r="X232" s="132"/>
      <c r="Y232" s="132"/>
    </row>
    <row r="233" spans="1:25">
      <c r="A233" s="132">
        <v>231</v>
      </c>
      <c r="B233" s="126">
        <f t="shared" si="3"/>
        <v>45919</v>
      </c>
      <c r="C233" s="209">
        <f>YEAR(MC[[#This Row],[Date]])+IF(MONTH(MC[[#This Row],[Date]])&gt;=4,1,0)</f>
        <v>2026</v>
      </c>
      <c r="D233" s="129">
        <f>YEAR(MC[[#This Row],[Date]])</f>
        <v>2025</v>
      </c>
      <c r="E233" s="287" t="s">
        <v>156</v>
      </c>
      <c r="F233" s="287" t="s">
        <v>156</v>
      </c>
      <c r="G233" s="4" t="str">
        <f>TEXT(MC[[#This Row],[Date]],"mmm-yy")</f>
        <v>Sep-25</v>
      </c>
      <c r="H233" s="4">
        <f>DAY(EOMONTH(MC[[#This Row],[Month Year]],0))</f>
        <v>30</v>
      </c>
      <c r="I233" s="132"/>
      <c r="J233" s="132"/>
      <c r="K233" s="132"/>
      <c r="L233" s="132"/>
      <c r="M233" s="132"/>
      <c r="N233" s="132"/>
      <c r="O233" s="132"/>
      <c r="P233" s="125"/>
      <c r="Q233" s="125"/>
      <c r="R233" s="4">
        <f>SUM(MC[[#This Row],[ICR1]:[ICR12]])</f>
        <v>0</v>
      </c>
      <c r="S233" s="132"/>
      <c r="T233" s="132"/>
      <c r="U233" s="132"/>
      <c r="V233" s="132"/>
      <c r="W233" s="132"/>
      <c r="X233" s="132"/>
      <c r="Y233" s="132"/>
    </row>
    <row r="234" spans="1:25">
      <c r="A234" s="132">
        <v>232</v>
      </c>
      <c r="B234" s="126">
        <f t="shared" si="3"/>
        <v>45920</v>
      </c>
      <c r="C234" s="209">
        <f>YEAR(MC[[#This Row],[Date]])+IF(MONTH(MC[[#This Row],[Date]])&gt;=4,1,0)</f>
        <v>2026</v>
      </c>
      <c r="D234" s="129">
        <f>YEAR(MC[[#This Row],[Date]])</f>
        <v>2025</v>
      </c>
      <c r="E234" s="287" t="s">
        <v>156</v>
      </c>
      <c r="F234" s="287" t="s">
        <v>156</v>
      </c>
      <c r="G234" s="4" t="str">
        <f>TEXT(MC[[#This Row],[Date]],"mmm-yy")</f>
        <v>Sep-25</v>
      </c>
      <c r="H234" s="4">
        <f>DAY(EOMONTH(MC[[#This Row],[Month Year]],0))</f>
        <v>30</v>
      </c>
      <c r="I234" s="132"/>
      <c r="J234" s="132"/>
      <c r="K234" s="132"/>
      <c r="L234" s="132"/>
      <c r="M234" s="132"/>
      <c r="N234" s="132"/>
      <c r="O234" s="132"/>
      <c r="P234" s="125"/>
      <c r="Q234" s="125"/>
      <c r="R234" s="4">
        <f>SUM(MC[[#This Row],[ICR1]:[ICR12]])</f>
        <v>0</v>
      </c>
      <c r="S234" s="132"/>
      <c r="T234" s="132"/>
      <c r="U234" s="132"/>
      <c r="V234" s="132"/>
      <c r="W234" s="132"/>
      <c r="X234" s="132"/>
      <c r="Y234" s="132"/>
    </row>
    <row r="235" spans="1:25">
      <c r="A235" s="132">
        <v>233</v>
      </c>
      <c r="B235" s="126">
        <f t="shared" si="3"/>
        <v>45921</v>
      </c>
      <c r="C235" s="209">
        <f>YEAR(MC[[#This Row],[Date]])+IF(MONTH(MC[[#This Row],[Date]])&gt;=4,1,0)</f>
        <v>2026</v>
      </c>
      <c r="D235" s="129">
        <f>YEAR(MC[[#This Row],[Date]])</f>
        <v>2025</v>
      </c>
      <c r="E235" s="287" t="s">
        <v>156</v>
      </c>
      <c r="F235" s="287" t="s">
        <v>156</v>
      </c>
      <c r="G235" s="4" t="str">
        <f>TEXT(MC[[#This Row],[Date]],"mmm-yy")</f>
        <v>Sep-25</v>
      </c>
      <c r="H235" s="4">
        <f>DAY(EOMONTH(MC[[#This Row],[Month Year]],0))</f>
        <v>30</v>
      </c>
      <c r="I235" s="132"/>
      <c r="J235" s="132"/>
      <c r="K235" s="132"/>
      <c r="L235" s="132"/>
      <c r="M235" s="132"/>
      <c r="N235" s="132"/>
      <c r="O235" s="132"/>
      <c r="P235" s="125"/>
      <c r="Q235" s="125"/>
      <c r="R235" s="4">
        <f>SUM(MC[[#This Row],[ICR1]:[ICR12]])</f>
        <v>0</v>
      </c>
      <c r="S235" s="132"/>
      <c r="T235" s="132"/>
      <c r="U235" s="132"/>
      <c r="V235" s="132"/>
      <c r="W235" s="132"/>
      <c r="X235" s="132"/>
      <c r="Y235" s="132"/>
    </row>
    <row r="236" spans="1:25">
      <c r="A236" s="132">
        <v>234</v>
      </c>
      <c r="B236" s="126">
        <f t="shared" si="3"/>
        <v>45922</v>
      </c>
      <c r="C236" s="209">
        <f>YEAR(MC[[#This Row],[Date]])+IF(MONTH(MC[[#This Row],[Date]])&gt;=4,1,0)</f>
        <v>2026</v>
      </c>
      <c r="D236" s="129">
        <f>YEAR(MC[[#This Row],[Date]])</f>
        <v>2025</v>
      </c>
      <c r="E236" s="287" t="s">
        <v>156</v>
      </c>
      <c r="F236" s="287" t="s">
        <v>156</v>
      </c>
      <c r="G236" s="4" t="str">
        <f>TEXT(MC[[#This Row],[Date]],"mmm-yy")</f>
        <v>Sep-25</v>
      </c>
      <c r="H236" s="4">
        <f>DAY(EOMONTH(MC[[#This Row],[Month Year]],0))</f>
        <v>30</v>
      </c>
      <c r="I236" s="132"/>
      <c r="J236" s="132"/>
      <c r="K236" s="132"/>
      <c r="L236" s="132"/>
      <c r="M236" s="132"/>
      <c r="N236" s="132"/>
      <c r="O236" s="132"/>
      <c r="P236" s="125"/>
      <c r="Q236" s="125"/>
      <c r="R236" s="4">
        <f>SUM(MC[[#This Row],[ICR1]:[ICR12]])</f>
        <v>0</v>
      </c>
      <c r="S236" s="132"/>
      <c r="T236" s="132"/>
      <c r="U236" s="132"/>
      <c r="V236" s="132"/>
      <c r="W236" s="132"/>
      <c r="X236" s="132"/>
      <c r="Y236" s="132"/>
    </row>
    <row r="237" spans="1:25">
      <c r="A237" s="132">
        <v>235</v>
      </c>
      <c r="B237" s="126">
        <f t="shared" si="3"/>
        <v>45923</v>
      </c>
      <c r="C237" s="209">
        <f>YEAR(MC[[#This Row],[Date]])+IF(MONTH(MC[[#This Row],[Date]])&gt;=4,1,0)</f>
        <v>2026</v>
      </c>
      <c r="D237" s="129">
        <f>YEAR(MC[[#This Row],[Date]])</f>
        <v>2025</v>
      </c>
      <c r="E237" s="287" t="s">
        <v>156</v>
      </c>
      <c r="F237" s="287" t="s">
        <v>156</v>
      </c>
      <c r="G237" s="4" t="str">
        <f>TEXT(MC[[#This Row],[Date]],"mmm-yy")</f>
        <v>Sep-25</v>
      </c>
      <c r="H237" s="4">
        <f>DAY(EOMONTH(MC[[#This Row],[Month Year]],0))</f>
        <v>30</v>
      </c>
      <c r="I237" s="132"/>
      <c r="J237" s="132"/>
      <c r="K237" s="132"/>
      <c r="L237" s="132"/>
      <c r="M237" s="132"/>
      <c r="N237" s="132"/>
      <c r="O237" s="132"/>
      <c r="P237" s="125"/>
      <c r="Q237" s="125"/>
      <c r="R237" s="4">
        <f>SUM(MC[[#This Row],[ICR1]:[ICR12]])</f>
        <v>0</v>
      </c>
      <c r="S237" s="132"/>
      <c r="T237" s="132"/>
      <c r="U237" s="132"/>
      <c r="V237" s="132"/>
      <c r="W237" s="132"/>
      <c r="X237" s="132"/>
      <c r="Y237" s="132"/>
    </row>
    <row r="238" spans="1:25">
      <c r="A238" s="132">
        <v>236</v>
      </c>
      <c r="B238" s="126">
        <f t="shared" si="3"/>
        <v>45924</v>
      </c>
      <c r="C238" s="209">
        <f>YEAR(MC[[#This Row],[Date]])+IF(MONTH(MC[[#This Row],[Date]])&gt;=4,1,0)</f>
        <v>2026</v>
      </c>
      <c r="D238" s="129">
        <f>YEAR(MC[[#This Row],[Date]])</f>
        <v>2025</v>
      </c>
      <c r="E238" s="287" t="s">
        <v>156</v>
      </c>
      <c r="F238" s="287" t="s">
        <v>156</v>
      </c>
      <c r="G238" s="4" t="str">
        <f>TEXT(MC[[#This Row],[Date]],"mmm-yy")</f>
        <v>Sep-25</v>
      </c>
      <c r="H238" s="4">
        <f>DAY(EOMONTH(MC[[#This Row],[Month Year]],0))</f>
        <v>30</v>
      </c>
      <c r="I238" s="132"/>
      <c r="J238" s="132"/>
      <c r="K238" s="132"/>
      <c r="L238" s="132"/>
      <c r="M238" s="132"/>
      <c r="N238" s="132"/>
      <c r="O238" s="132"/>
      <c r="P238" s="125"/>
      <c r="Q238" s="125"/>
      <c r="R238" s="4">
        <f>SUM(MC[[#This Row],[ICR1]:[ICR12]])</f>
        <v>0</v>
      </c>
      <c r="S238" s="132"/>
      <c r="T238" s="132"/>
      <c r="U238" s="132"/>
      <c r="V238" s="132"/>
      <c r="W238" s="132"/>
      <c r="X238" s="132"/>
      <c r="Y238" s="132"/>
    </row>
    <row r="239" spans="1:25">
      <c r="A239" s="132">
        <v>237</v>
      </c>
      <c r="B239" s="126">
        <f t="shared" si="3"/>
        <v>45925</v>
      </c>
      <c r="C239" s="209">
        <f>YEAR(MC[[#This Row],[Date]])+IF(MONTH(MC[[#This Row],[Date]])&gt;=4,1,0)</f>
        <v>2026</v>
      </c>
      <c r="D239" s="129">
        <f>YEAR(MC[[#This Row],[Date]])</f>
        <v>2025</v>
      </c>
      <c r="E239" s="287" t="s">
        <v>156</v>
      </c>
      <c r="F239" s="287" t="s">
        <v>156</v>
      </c>
      <c r="G239" s="4" t="str">
        <f>TEXT(MC[[#This Row],[Date]],"mmm-yy")</f>
        <v>Sep-25</v>
      </c>
      <c r="H239" s="4">
        <f>DAY(EOMONTH(MC[[#This Row],[Month Year]],0))</f>
        <v>30</v>
      </c>
      <c r="I239" s="132"/>
      <c r="J239" s="132"/>
      <c r="K239" s="132"/>
      <c r="L239" s="132"/>
      <c r="M239" s="132"/>
      <c r="N239" s="132"/>
      <c r="O239" s="132"/>
      <c r="P239" s="125"/>
      <c r="Q239" s="125"/>
      <c r="R239" s="4">
        <f>SUM(MC[[#This Row],[ICR1]:[ICR12]])</f>
        <v>0</v>
      </c>
      <c r="S239" s="132"/>
      <c r="T239" s="132"/>
      <c r="U239" s="132"/>
      <c r="V239" s="132"/>
      <c r="W239" s="132"/>
      <c r="X239" s="132"/>
      <c r="Y239" s="132"/>
    </row>
    <row r="240" spans="1:25">
      <c r="A240" s="132">
        <v>238</v>
      </c>
      <c r="B240" s="126">
        <f t="shared" si="3"/>
        <v>45926</v>
      </c>
      <c r="C240" s="209">
        <f>YEAR(MC[[#This Row],[Date]])+IF(MONTH(MC[[#This Row],[Date]])&gt;=4,1,0)</f>
        <v>2026</v>
      </c>
      <c r="D240" s="129">
        <f>YEAR(MC[[#This Row],[Date]])</f>
        <v>2025</v>
      </c>
      <c r="E240" s="287" t="s">
        <v>156</v>
      </c>
      <c r="F240" s="287" t="s">
        <v>156</v>
      </c>
      <c r="G240" s="4" t="str">
        <f>TEXT(MC[[#This Row],[Date]],"mmm-yy")</f>
        <v>Sep-25</v>
      </c>
      <c r="H240" s="4">
        <f>DAY(EOMONTH(MC[[#This Row],[Month Year]],0))</f>
        <v>30</v>
      </c>
      <c r="I240" s="132"/>
      <c r="J240" s="132"/>
      <c r="K240" s="132"/>
      <c r="L240" s="132"/>
      <c r="M240" s="132"/>
      <c r="N240" s="132"/>
      <c r="O240" s="132"/>
      <c r="P240" s="125"/>
      <c r="Q240" s="125"/>
      <c r="R240" s="4">
        <f>SUM(MC[[#This Row],[ICR1]:[ICR12]])</f>
        <v>0</v>
      </c>
      <c r="S240" s="132"/>
      <c r="T240" s="132"/>
      <c r="U240" s="132"/>
      <c r="V240" s="132"/>
      <c r="W240" s="132"/>
      <c r="X240" s="132"/>
      <c r="Y240" s="132"/>
    </row>
    <row r="241" spans="1:25">
      <c r="A241" s="132">
        <v>239</v>
      </c>
      <c r="B241" s="126">
        <f t="shared" si="3"/>
        <v>45927</v>
      </c>
      <c r="C241" s="209">
        <f>YEAR(MC[[#This Row],[Date]])+IF(MONTH(MC[[#This Row],[Date]])&gt;=4,1,0)</f>
        <v>2026</v>
      </c>
      <c r="D241" s="129">
        <f>YEAR(MC[[#This Row],[Date]])</f>
        <v>2025</v>
      </c>
      <c r="E241" s="287" t="s">
        <v>156</v>
      </c>
      <c r="F241" s="287" t="s">
        <v>156</v>
      </c>
      <c r="G241" s="4" t="str">
        <f>TEXT(MC[[#This Row],[Date]],"mmm-yy")</f>
        <v>Sep-25</v>
      </c>
      <c r="H241" s="4">
        <f>DAY(EOMONTH(MC[[#This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25"/>
      <c r="Q241" s="125"/>
      <c r="R241" s="4">
        <f>SUM(MC[[#This Row],[ICR1]:[ICR12]])</f>
        <v>0</v>
      </c>
      <c r="S241" s="132"/>
      <c r="T241" s="132"/>
      <c r="U241" s="132"/>
      <c r="V241" s="132"/>
      <c r="W241" s="132"/>
      <c r="X241" s="132"/>
      <c r="Y241" s="132"/>
    </row>
    <row r="242" spans="1:25">
      <c r="A242" s="132">
        <v>240</v>
      </c>
      <c r="B242" s="126">
        <f t="shared" si="3"/>
        <v>45928</v>
      </c>
      <c r="C242" s="209">
        <f>YEAR(MC[[#This Row],[Date]])+IF(MONTH(MC[[#This Row],[Date]])&gt;=4,1,0)</f>
        <v>2026</v>
      </c>
      <c r="D242" s="129">
        <f>YEAR(MC[[#This Row],[Date]])</f>
        <v>2025</v>
      </c>
      <c r="E242" s="287" t="s">
        <v>156</v>
      </c>
      <c r="F242" s="287" t="s">
        <v>156</v>
      </c>
      <c r="G242" s="4" t="str">
        <f>TEXT(MC[[#This Row],[Date]],"mmm-yy")</f>
        <v>Sep-25</v>
      </c>
      <c r="H242" s="4">
        <f>DAY(EOMONTH(MC[[#This Row],[Month Year]],0))</f>
        <v>30</v>
      </c>
      <c r="I242" s="132"/>
      <c r="J242" s="132"/>
      <c r="K242" s="132"/>
      <c r="L242" s="132"/>
      <c r="M242" s="132"/>
      <c r="N242" s="132"/>
      <c r="O242" s="132"/>
      <c r="P242" s="125"/>
      <c r="Q242" s="125"/>
      <c r="R242" s="4">
        <f>SUM(MC[[#This Row],[ICR1]:[ICR12]])</f>
        <v>0</v>
      </c>
      <c r="S242" s="132"/>
      <c r="T242" s="132"/>
      <c r="U242" s="132"/>
      <c r="V242" s="132"/>
      <c r="W242" s="132"/>
      <c r="X242" s="132"/>
      <c r="Y242" s="132"/>
    </row>
    <row r="243" spans="1:25">
      <c r="A243" s="132">
        <v>241</v>
      </c>
      <c r="B243" s="126">
        <f t="shared" si="3"/>
        <v>45929</v>
      </c>
      <c r="C243" s="209">
        <f>YEAR(MC[[#This Row],[Date]])+IF(MONTH(MC[[#This Row],[Date]])&gt;=4,1,0)</f>
        <v>2026</v>
      </c>
      <c r="D243" s="129">
        <f>YEAR(MC[[#This Row],[Date]])</f>
        <v>2025</v>
      </c>
      <c r="E243" s="287" t="s">
        <v>156</v>
      </c>
      <c r="F243" s="287" t="s">
        <v>156</v>
      </c>
      <c r="G243" s="4" t="str">
        <f>TEXT(MC[[#This Row],[Date]],"mmm-yy")</f>
        <v>Sep-25</v>
      </c>
      <c r="H243" s="4">
        <f>DAY(EOMONTH(MC[[#This Row],[Month Year]],0))</f>
        <v>30</v>
      </c>
      <c r="I243" s="132"/>
      <c r="J243" s="132"/>
      <c r="K243" s="132"/>
      <c r="L243" s="132"/>
      <c r="M243" s="132"/>
      <c r="N243" s="132"/>
      <c r="O243" s="132"/>
      <c r="P243" s="125"/>
      <c r="Q243" s="125"/>
      <c r="R243" s="4">
        <f>SUM(MC[[#This Row],[ICR1]:[ICR12]])</f>
        <v>0</v>
      </c>
      <c r="S243" s="132"/>
      <c r="T243" s="132"/>
      <c r="U243" s="132"/>
      <c r="V243" s="132"/>
      <c r="W243" s="132"/>
      <c r="X243" s="132"/>
      <c r="Y243" s="132"/>
    </row>
    <row r="244" spans="1:25">
      <c r="A244" s="132">
        <v>242</v>
      </c>
      <c r="B244" s="126">
        <f t="shared" si="3"/>
        <v>45930</v>
      </c>
      <c r="C244" s="209">
        <f>YEAR(MC[[#This Row],[Date]])+IF(MONTH(MC[[#This Row],[Date]])&gt;=4,1,0)</f>
        <v>2026</v>
      </c>
      <c r="D244" s="129">
        <f>YEAR(MC[[#This Row],[Date]])</f>
        <v>2025</v>
      </c>
      <c r="E244" s="287" t="s">
        <v>156</v>
      </c>
      <c r="F244" s="287" t="s">
        <v>156</v>
      </c>
      <c r="G244" s="4" t="str">
        <f>TEXT(MC[[#This Row],[Date]],"mmm-yy")</f>
        <v>Sep-25</v>
      </c>
      <c r="H244" s="4">
        <f>DAY(EOMONTH(MC[[#This Row],[Month Year]],0))</f>
        <v>30</v>
      </c>
      <c r="I244" s="132"/>
      <c r="J244" s="132"/>
      <c r="K244" s="132"/>
      <c r="L244" s="132"/>
      <c r="M244" s="132"/>
      <c r="N244" s="132"/>
      <c r="O244" s="132"/>
      <c r="P244" s="125"/>
      <c r="Q244" s="125"/>
      <c r="R244" s="4">
        <f>SUM(MC[[#This Row],[ICR1]:[ICR12]])</f>
        <v>0</v>
      </c>
      <c r="S244" s="132"/>
      <c r="T244" s="132"/>
      <c r="U244" s="132"/>
      <c r="V244" s="132"/>
      <c r="W244" s="132"/>
      <c r="X244" s="132"/>
      <c r="Y244" s="132"/>
    </row>
    <row r="245" spans="1:25">
      <c r="A245" s="132">
        <v>243</v>
      </c>
      <c r="B245" s="126">
        <f t="shared" si="3"/>
        <v>45931</v>
      </c>
      <c r="C245" s="209">
        <f>YEAR(MC[[#This Row],[Date]])+IF(MONTH(MC[[#This Row],[Date]])&gt;=4,1,0)</f>
        <v>2026</v>
      </c>
      <c r="D245" s="129">
        <f>YEAR(MC[[#This Row],[Date]])</f>
        <v>2025</v>
      </c>
      <c r="E245" s="287" t="s">
        <v>156</v>
      </c>
      <c r="F245" s="287" t="s">
        <v>156</v>
      </c>
      <c r="G245" s="4" t="str">
        <f>TEXT(MC[[#This Row],[Date]],"mmm-yy")</f>
        <v>Oct-25</v>
      </c>
      <c r="H245" s="4">
        <f>DAY(EOMONTH(MC[[#This Row],[Month Year]],0))</f>
        <v>31</v>
      </c>
      <c r="I245" s="132"/>
      <c r="J245" s="132"/>
      <c r="K245" s="132"/>
      <c r="L245" s="132"/>
      <c r="M245" s="132"/>
      <c r="N245" s="132"/>
      <c r="O245" s="132"/>
      <c r="P245" s="125"/>
      <c r="Q245" s="125"/>
      <c r="R245" s="4">
        <f>SUM(MC[[#This Row],[ICR1]:[ICR12]])</f>
        <v>0</v>
      </c>
      <c r="S245" s="132"/>
      <c r="T245" s="132"/>
      <c r="U245" s="132"/>
      <c r="V245" s="132"/>
      <c r="W245" s="132"/>
      <c r="X245" s="132"/>
      <c r="Y245" s="132"/>
    </row>
    <row r="246" spans="1:25">
      <c r="A246" s="132">
        <v>244</v>
      </c>
      <c r="B246" s="126">
        <f t="shared" si="3"/>
        <v>45932</v>
      </c>
      <c r="C246" s="209">
        <f>YEAR(MC[[#This Row],[Date]])+IF(MONTH(MC[[#This Row],[Date]])&gt;=4,1,0)</f>
        <v>2026</v>
      </c>
      <c r="D246" s="129">
        <f>YEAR(MC[[#This Row],[Date]])</f>
        <v>2025</v>
      </c>
      <c r="E246" s="287" t="s">
        <v>156</v>
      </c>
      <c r="F246" s="287" t="s">
        <v>156</v>
      </c>
      <c r="G246" s="4" t="str">
        <f>TEXT(MC[[#This Row],[Date]],"mmm-yy")</f>
        <v>Oct-25</v>
      </c>
      <c r="H246" s="4">
        <f>DAY(EOMONTH(MC[[#This Row],[Month Year]],0))</f>
        <v>31</v>
      </c>
      <c r="I246" s="132"/>
      <c r="J246" s="132"/>
      <c r="K246" s="132"/>
      <c r="L246" s="132"/>
      <c r="M246" s="132"/>
      <c r="N246" s="132"/>
      <c r="O246" s="132"/>
      <c r="P246" s="125"/>
      <c r="Q246" s="125"/>
      <c r="R246" s="4">
        <f>SUM(MC[[#This Row],[ICR1]:[ICR12]])</f>
        <v>0</v>
      </c>
      <c r="S246" s="132"/>
      <c r="T246" s="132"/>
      <c r="U246" s="132"/>
      <c r="V246" s="132"/>
      <c r="W246" s="132"/>
      <c r="X246" s="132"/>
      <c r="Y246" s="132"/>
    </row>
    <row r="247" spans="1:25">
      <c r="A247" s="132">
        <v>245</v>
      </c>
      <c r="B247" s="126">
        <f t="shared" si="3"/>
        <v>45933</v>
      </c>
      <c r="C247" s="209">
        <f>YEAR(MC[[#This Row],[Date]])+IF(MONTH(MC[[#This Row],[Date]])&gt;=4,1,0)</f>
        <v>2026</v>
      </c>
      <c r="D247" s="129">
        <f>YEAR(MC[[#This Row],[Date]])</f>
        <v>2025</v>
      </c>
      <c r="E247" s="287" t="s">
        <v>156</v>
      </c>
      <c r="F247" s="287" t="s">
        <v>156</v>
      </c>
      <c r="G247" s="4" t="str">
        <f>TEXT(MC[[#This Row],[Date]],"mmm-yy")</f>
        <v>Oct-25</v>
      </c>
      <c r="H247" s="4">
        <f>DAY(EOMONTH(MC[[#This Row],[Month Year]],0))</f>
        <v>31</v>
      </c>
      <c r="I247" s="132"/>
      <c r="J247" s="132"/>
      <c r="K247" s="132"/>
      <c r="L247" s="132"/>
      <c r="M247" s="132"/>
      <c r="N247" s="132"/>
      <c r="O247" s="132"/>
      <c r="P247" s="125"/>
      <c r="Q247" s="125"/>
      <c r="R247" s="4">
        <f>SUM(MC[[#This Row],[ICR1]:[ICR12]])</f>
        <v>0</v>
      </c>
      <c r="S247" s="132"/>
      <c r="T247" s="132"/>
      <c r="U247" s="132"/>
      <c r="V247" s="132"/>
      <c r="W247" s="132"/>
      <c r="X247" s="132"/>
      <c r="Y247" s="132"/>
    </row>
    <row r="248" spans="1:25">
      <c r="A248" s="132">
        <v>246</v>
      </c>
      <c r="B248" s="126">
        <f t="shared" si="3"/>
        <v>45934</v>
      </c>
      <c r="C248" s="209">
        <f>YEAR(MC[[#This Row],[Date]])+IF(MONTH(MC[[#This Row],[Date]])&gt;=4,1,0)</f>
        <v>2026</v>
      </c>
      <c r="D248" s="129">
        <f>YEAR(MC[[#This Row],[Date]])</f>
        <v>2025</v>
      </c>
      <c r="E248" s="287" t="s">
        <v>156</v>
      </c>
      <c r="F248" s="287" t="s">
        <v>156</v>
      </c>
      <c r="G248" s="4" t="str">
        <f>TEXT(MC[[#This Row],[Date]],"mmm-yy")</f>
        <v>Oct-25</v>
      </c>
      <c r="H248" s="4">
        <f>DAY(EOMONTH(MC[[#This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25"/>
      <c r="Q248" s="125"/>
      <c r="R248" s="4">
        <f>SUM(MC[[#This Row],[ICR1]:[ICR12]])</f>
        <v>0</v>
      </c>
      <c r="S248" s="132"/>
      <c r="T248" s="132"/>
      <c r="U248" s="132"/>
      <c r="V248" s="132"/>
      <c r="W248" s="132"/>
      <c r="X248" s="132"/>
      <c r="Y248" s="132"/>
    </row>
    <row r="249" spans="1:25">
      <c r="A249" s="132">
        <v>247</v>
      </c>
      <c r="B249" s="126">
        <f t="shared" si="3"/>
        <v>45935</v>
      </c>
      <c r="C249" s="209">
        <f>YEAR(MC[[#This Row],[Date]])+IF(MONTH(MC[[#This Row],[Date]])&gt;=4,1,0)</f>
        <v>2026</v>
      </c>
      <c r="D249" s="129">
        <f>YEAR(MC[[#This Row],[Date]])</f>
        <v>2025</v>
      </c>
      <c r="E249" s="287" t="s">
        <v>156</v>
      </c>
      <c r="F249" s="287" t="s">
        <v>156</v>
      </c>
      <c r="G249" s="4" t="str">
        <f>TEXT(MC[[#This Row],[Date]],"mmm-yy")</f>
        <v>Oct-25</v>
      </c>
      <c r="H249" s="4">
        <f>DAY(EOMONTH(MC[[#This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25"/>
      <c r="Q249" s="125"/>
      <c r="R249" s="4">
        <f>SUM(MC[[#This Row],[ICR1]:[ICR12]])</f>
        <v>0</v>
      </c>
      <c r="S249" s="132"/>
      <c r="T249" s="132"/>
      <c r="U249" s="132"/>
      <c r="V249" s="132"/>
      <c r="W249" s="132"/>
      <c r="X249" s="132"/>
      <c r="Y249" s="132"/>
    </row>
    <row r="250" spans="1:25">
      <c r="A250" s="132">
        <v>248</v>
      </c>
      <c r="B250" s="126">
        <f t="shared" si="3"/>
        <v>45936</v>
      </c>
      <c r="C250" s="209">
        <f>YEAR(MC[[#This Row],[Date]])+IF(MONTH(MC[[#This Row],[Date]])&gt;=4,1,0)</f>
        <v>2026</v>
      </c>
      <c r="D250" s="129">
        <f>YEAR(MC[[#This Row],[Date]])</f>
        <v>2025</v>
      </c>
      <c r="E250" s="287" t="s">
        <v>156</v>
      </c>
      <c r="F250" s="287" t="s">
        <v>156</v>
      </c>
      <c r="G250" s="4" t="str">
        <f>TEXT(MC[[#This Row],[Date]],"mmm-yy")</f>
        <v>Oct-25</v>
      </c>
      <c r="H250" s="4">
        <f>DAY(EOMONTH(MC[[#This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25"/>
      <c r="Q250" s="125"/>
      <c r="R250" s="4">
        <f>SUM(MC[[#This Row],[ICR1]:[ICR12]])</f>
        <v>0</v>
      </c>
      <c r="S250" s="132"/>
      <c r="T250" s="132"/>
      <c r="U250" s="132"/>
      <c r="V250" s="132"/>
      <c r="W250" s="132"/>
      <c r="X250" s="132"/>
      <c r="Y250" s="132"/>
    </row>
    <row r="251" spans="1:25">
      <c r="A251" s="132">
        <v>249</v>
      </c>
      <c r="B251" s="126">
        <f t="shared" si="3"/>
        <v>45937</v>
      </c>
      <c r="C251" s="209">
        <f>YEAR(MC[[#This Row],[Date]])+IF(MONTH(MC[[#This Row],[Date]])&gt;=4,1,0)</f>
        <v>2026</v>
      </c>
      <c r="D251" s="129">
        <f>YEAR(MC[[#This Row],[Date]])</f>
        <v>2025</v>
      </c>
      <c r="E251" s="287" t="s">
        <v>156</v>
      </c>
      <c r="F251" s="287" t="s">
        <v>156</v>
      </c>
      <c r="G251" s="4" t="str">
        <f>TEXT(MC[[#This Row],[Date]],"mmm-yy")</f>
        <v>Oct-25</v>
      </c>
      <c r="H251" s="4">
        <f>DAY(EOMONTH(MC[[#This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25"/>
      <c r="Q251" s="125"/>
      <c r="R251" s="4">
        <f>SUM(MC[[#This Row],[ICR1]:[ICR12]])</f>
        <v>0</v>
      </c>
      <c r="S251" s="132"/>
      <c r="T251" s="132"/>
      <c r="U251" s="132"/>
      <c r="V251" s="132"/>
      <c r="W251" s="132"/>
      <c r="X251" s="132"/>
      <c r="Y251" s="132"/>
    </row>
    <row r="252" spans="1:25">
      <c r="A252" s="132">
        <v>250</v>
      </c>
      <c r="B252" s="126">
        <f t="shared" si="3"/>
        <v>45938</v>
      </c>
      <c r="C252" s="209">
        <f>YEAR(MC[[#This Row],[Date]])+IF(MONTH(MC[[#This Row],[Date]])&gt;=4,1,0)</f>
        <v>2026</v>
      </c>
      <c r="D252" s="129">
        <f>YEAR(MC[[#This Row],[Date]])</f>
        <v>2025</v>
      </c>
      <c r="E252" s="287" t="s">
        <v>156</v>
      </c>
      <c r="F252" s="287" t="s">
        <v>156</v>
      </c>
      <c r="G252" s="4" t="str">
        <f>TEXT(MC[[#This Row],[Date]],"mmm-yy")</f>
        <v>Oct-25</v>
      </c>
      <c r="H252" s="4">
        <f>DAY(EOMONTH(MC[[#This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25"/>
      <c r="Q252" s="125"/>
      <c r="R252" s="4">
        <f>SUM(MC[[#This Row],[ICR1]:[ICR12]])</f>
        <v>0</v>
      </c>
      <c r="S252" s="132"/>
      <c r="T252" s="132"/>
      <c r="U252" s="132"/>
      <c r="V252" s="132"/>
      <c r="W252" s="132"/>
      <c r="X252" s="132"/>
      <c r="Y252" s="132"/>
    </row>
    <row r="253" spans="1:25">
      <c r="A253" s="132">
        <v>251</v>
      </c>
      <c r="B253" s="126">
        <f t="shared" si="3"/>
        <v>45939</v>
      </c>
      <c r="C253" s="209">
        <f>YEAR(MC[[#This Row],[Date]])+IF(MONTH(MC[[#This Row],[Date]])&gt;=4,1,0)</f>
        <v>2026</v>
      </c>
      <c r="D253" s="129">
        <f>YEAR(MC[[#This Row],[Date]])</f>
        <v>2025</v>
      </c>
      <c r="E253" s="287" t="s">
        <v>156</v>
      </c>
      <c r="F253" s="287" t="s">
        <v>156</v>
      </c>
      <c r="G253" s="4" t="str">
        <f>TEXT(MC[[#This Row],[Date]],"mmm-yy")</f>
        <v>Oct-25</v>
      </c>
      <c r="H253" s="4">
        <f>DAY(EOMONTH(MC[[#This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25"/>
      <c r="Q253" s="125"/>
      <c r="R253" s="4">
        <f>SUM(MC[[#This Row],[ICR1]:[ICR12]])</f>
        <v>0</v>
      </c>
      <c r="S253" s="132"/>
      <c r="T253" s="132"/>
      <c r="U253" s="132"/>
      <c r="V253" s="132"/>
      <c r="W253" s="132"/>
      <c r="X253" s="132"/>
      <c r="Y253" s="132"/>
    </row>
    <row r="254" spans="1:25">
      <c r="A254" s="132">
        <v>252</v>
      </c>
      <c r="B254" s="126">
        <f t="shared" si="3"/>
        <v>45940</v>
      </c>
      <c r="C254" s="209">
        <f>YEAR(MC[[#This Row],[Date]])+IF(MONTH(MC[[#This Row],[Date]])&gt;=4,1,0)</f>
        <v>2026</v>
      </c>
      <c r="D254" s="129">
        <f>YEAR(MC[[#This Row],[Date]])</f>
        <v>2025</v>
      </c>
      <c r="E254" s="287" t="s">
        <v>156</v>
      </c>
      <c r="F254" s="287" t="s">
        <v>156</v>
      </c>
      <c r="G254" s="4" t="str">
        <f>TEXT(MC[[#This Row],[Date]],"mmm-yy")</f>
        <v>Oct-25</v>
      </c>
      <c r="H254" s="4">
        <f>DAY(EOMONTH(MC[[#This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25"/>
      <c r="Q254" s="125"/>
      <c r="R254" s="4">
        <f>SUM(MC[[#This Row],[ICR1]:[ICR12]])</f>
        <v>0</v>
      </c>
      <c r="S254" s="132"/>
      <c r="T254" s="132"/>
      <c r="U254" s="132"/>
      <c r="V254" s="132"/>
      <c r="W254" s="132"/>
      <c r="X254" s="132"/>
      <c r="Y254" s="132"/>
    </row>
    <row r="255" spans="1:25">
      <c r="A255" s="132">
        <v>253</v>
      </c>
      <c r="B255" s="126">
        <f t="shared" si="3"/>
        <v>45941</v>
      </c>
      <c r="C255" s="209">
        <f>YEAR(MC[[#This Row],[Date]])+IF(MONTH(MC[[#This Row],[Date]])&gt;=4,1,0)</f>
        <v>2026</v>
      </c>
      <c r="D255" s="129">
        <f>YEAR(MC[[#This Row],[Date]])</f>
        <v>2025</v>
      </c>
      <c r="E255" s="287" t="s">
        <v>156</v>
      </c>
      <c r="F255" s="287" t="s">
        <v>156</v>
      </c>
      <c r="G255" s="4" t="str">
        <f>TEXT(MC[[#This Row],[Date]],"mmm-yy")</f>
        <v>Oct-25</v>
      </c>
      <c r="H255" s="4">
        <f>DAY(EOMONTH(MC[[#This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25"/>
      <c r="Q255" s="125"/>
      <c r="R255" s="4">
        <f>SUM(MC[[#This Row],[ICR1]:[ICR12]])</f>
        <v>0</v>
      </c>
      <c r="S255" s="132"/>
      <c r="T255" s="132"/>
      <c r="U255" s="132"/>
      <c r="V255" s="132"/>
      <c r="W255" s="132"/>
      <c r="X255" s="132"/>
      <c r="Y255" s="132"/>
    </row>
    <row r="256" spans="1:25">
      <c r="A256" s="132">
        <v>254</v>
      </c>
      <c r="B256" s="126">
        <f t="shared" si="3"/>
        <v>45942</v>
      </c>
      <c r="C256" s="209">
        <f>YEAR(MC[[#This Row],[Date]])+IF(MONTH(MC[[#This Row],[Date]])&gt;=4,1,0)</f>
        <v>2026</v>
      </c>
      <c r="D256" s="129">
        <f>YEAR(MC[[#This Row],[Date]])</f>
        <v>2025</v>
      </c>
      <c r="E256" s="287" t="s">
        <v>156</v>
      </c>
      <c r="F256" s="287" t="s">
        <v>156</v>
      </c>
      <c r="G256" s="4" t="str">
        <f>TEXT(MC[[#This Row],[Date]],"mmm-yy")</f>
        <v>Oct-25</v>
      </c>
      <c r="H256" s="4">
        <f>DAY(EOMONTH(MC[[#This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25"/>
      <c r="Q256" s="125"/>
      <c r="R256" s="4">
        <f>SUM(MC[[#This Row],[ICR1]:[ICR12]])</f>
        <v>0</v>
      </c>
      <c r="S256" s="132"/>
      <c r="T256" s="132"/>
      <c r="U256" s="132"/>
      <c r="V256" s="132"/>
      <c r="W256" s="132"/>
      <c r="X256" s="132"/>
      <c r="Y256" s="132"/>
    </row>
    <row r="257" spans="1:25">
      <c r="A257" s="132">
        <v>255</v>
      </c>
      <c r="B257" s="126">
        <f t="shared" si="3"/>
        <v>45943</v>
      </c>
      <c r="C257" s="209">
        <f>YEAR(MC[[#This Row],[Date]])+IF(MONTH(MC[[#This Row],[Date]])&gt;=4,1,0)</f>
        <v>2026</v>
      </c>
      <c r="D257" s="129">
        <f>YEAR(MC[[#This Row],[Date]])</f>
        <v>2025</v>
      </c>
      <c r="E257" s="287" t="s">
        <v>156</v>
      </c>
      <c r="F257" s="287" t="s">
        <v>156</v>
      </c>
      <c r="G257" s="4" t="str">
        <f>TEXT(MC[[#This Row],[Date]],"mmm-yy")</f>
        <v>Oct-25</v>
      </c>
      <c r="H257" s="4">
        <f>DAY(EOMONTH(MC[[#This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25"/>
      <c r="Q257" s="125"/>
      <c r="R257" s="4">
        <f>SUM(MC[[#This Row],[ICR1]:[ICR12]])</f>
        <v>0</v>
      </c>
      <c r="S257" s="132"/>
      <c r="T257" s="132"/>
      <c r="U257" s="132"/>
      <c r="V257" s="132"/>
      <c r="W257" s="132"/>
      <c r="X257" s="132"/>
      <c r="Y257" s="132"/>
    </row>
    <row r="258" spans="1:25">
      <c r="A258" s="132">
        <v>256</v>
      </c>
      <c r="B258" s="126">
        <f t="shared" si="3"/>
        <v>45944</v>
      </c>
      <c r="C258" s="209">
        <f>YEAR(MC[[#This Row],[Date]])+IF(MONTH(MC[[#This Row],[Date]])&gt;=4,1,0)</f>
        <v>2026</v>
      </c>
      <c r="D258" s="129">
        <f>YEAR(MC[[#This Row],[Date]])</f>
        <v>2025</v>
      </c>
      <c r="E258" s="287" t="s">
        <v>156</v>
      </c>
      <c r="F258" s="287" t="s">
        <v>156</v>
      </c>
      <c r="G258" s="4" t="str">
        <f>TEXT(MC[[#This Row],[Date]],"mmm-yy")</f>
        <v>Oct-25</v>
      </c>
      <c r="H258" s="4">
        <f>DAY(EOMONTH(MC[[#This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25"/>
      <c r="Q258" s="125"/>
      <c r="R258" s="4">
        <f>SUM(MC[[#This Row],[ICR1]:[ICR12]])</f>
        <v>0</v>
      </c>
      <c r="S258" s="132"/>
      <c r="T258" s="132"/>
      <c r="U258" s="132"/>
      <c r="V258" s="132"/>
      <c r="W258" s="132"/>
      <c r="X258" s="132"/>
      <c r="Y258" s="132"/>
    </row>
    <row r="259" spans="1:25">
      <c r="A259" s="132">
        <v>257</v>
      </c>
      <c r="B259" s="126">
        <f t="shared" si="3"/>
        <v>45945</v>
      </c>
      <c r="C259" s="209">
        <f>YEAR(MC[[#This Row],[Date]])+IF(MONTH(MC[[#This Row],[Date]])&gt;=4,1,0)</f>
        <v>2026</v>
      </c>
      <c r="D259" s="129">
        <f>YEAR(MC[[#This Row],[Date]])</f>
        <v>2025</v>
      </c>
      <c r="E259" s="287" t="s">
        <v>156</v>
      </c>
      <c r="F259" s="287" t="s">
        <v>156</v>
      </c>
      <c r="G259" s="4" t="str">
        <f>TEXT(MC[[#This Row],[Date]],"mmm-yy")</f>
        <v>Oct-25</v>
      </c>
      <c r="H259" s="4">
        <f>DAY(EOMONTH(MC[[#This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25"/>
      <c r="Q259" s="125"/>
      <c r="R259" s="4">
        <f>SUM(MC[[#This Row],[ICR1]:[ICR12]])</f>
        <v>0</v>
      </c>
      <c r="S259" s="132"/>
      <c r="T259" s="132"/>
      <c r="U259" s="132"/>
      <c r="V259" s="132"/>
      <c r="W259" s="132"/>
      <c r="X259" s="132"/>
      <c r="Y259" s="132"/>
    </row>
    <row r="260" spans="1:25">
      <c r="A260" s="132">
        <v>258</v>
      </c>
      <c r="B260" s="126">
        <f t="shared" si="3"/>
        <v>45946</v>
      </c>
      <c r="C260" s="209">
        <f>YEAR(MC[[#This Row],[Date]])+IF(MONTH(MC[[#This Row],[Date]])&gt;=4,1,0)</f>
        <v>2026</v>
      </c>
      <c r="D260" s="129">
        <f>YEAR(MC[[#This Row],[Date]])</f>
        <v>2025</v>
      </c>
      <c r="E260" s="287" t="s">
        <v>156</v>
      </c>
      <c r="F260" s="287" t="s">
        <v>156</v>
      </c>
      <c r="G260" s="4" t="str">
        <f>TEXT(MC[[#This Row],[Date]],"mmm-yy")</f>
        <v>Oct-25</v>
      </c>
      <c r="H260" s="4">
        <f>DAY(EOMONTH(MC[[#This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25"/>
      <c r="Q260" s="125"/>
      <c r="R260" s="4">
        <f>SUM(MC[[#This Row],[ICR1]:[ICR12]])</f>
        <v>0</v>
      </c>
      <c r="S260" s="132"/>
      <c r="T260" s="132"/>
      <c r="U260" s="132"/>
      <c r="V260" s="132"/>
      <c r="W260" s="132"/>
      <c r="X260" s="132"/>
      <c r="Y260" s="132"/>
    </row>
    <row r="261" spans="1:25">
      <c r="A261" s="132">
        <v>259</v>
      </c>
      <c r="B261" s="126">
        <f t="shared" ref="B261:B324" si="4">B260+1</f>
        <v>45947</v>
      </c>
      <c r="C261" s="209">
        <f>YEAR(MC[[#This Row],[Date]])+IF(MONTH(MC[[#This Row],[Date]])&gt;=4,1,0)</f>
        <v>2026</v>
      </c>
      <c r="D261" s="129">
        <f>YEAR(MC[[#This Row],[Date]])</f>
        <v>2025</v>
      </c>
      <c r="E261" s="287" t="s">
        <v>156</v>
      </c>
      <c r="F261" s="287" t="s">
        <v>156</v>
      </c>
      <c r="G261" s="4" t="str">
        <f>TEXT(MC[[#This Row],[Date]],"mmm-yy")</f>
        <v>Oct-25</v>
      </c>
      <c r="H261" s="4">
        <f>DAY(EOMONTH(MC[[#This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25"/>
      <c r="Q261" s="125"/>
      <c r="R261" s="4">
        <f>SUM(MC[[#This Row],[ICR1]:[ICR12]])</f>
        <v>0</v>
      </c>
      <c r="S261" s="132"/>
      <c r="T261" s="132"/>
      <c r="U261" s="132"/>
      <c r="V261" s="132"/>
      <c r="W261" s="132"/>
      <c r="X261" s="132"/>
      <c r="Y261" s="132"/>
    </row>
    <row r="262" spans="1:25">
      <c r="A262" s="132">
        <v>260</v>
      </c>
      <c r="B262" s="126">
        <f t="shared" si="4"/>
        <v>45948</v>
      </c>
      <c r="C262" s="209">
        <f>YEAR(MC[[#This Row],[Date]])+IF(MONTH(MC[[#This Row],[Date]])&gt;=4,1,0)</f>
        <v>2026</v>
      </c>
      <c r="D262" s="129">
        <f>YEAR(MC[[#This Row],[Date]])</f>
        <v>2025</v>
      </c>
      <c r="E262" s="287" t="s">
        <v>156</v>
      </c>
      <c r="F262" s="287" t="s">
        <v>156</v>
      </c>
      <c r="G262" s="4" t="str">
        <f>TEXT(MC[[#This Row],[Date]],"mmm-yy")</f>
        <v>Oct-25</v>
      </c>
      <c r="H262" s="4">
        <f>DAY(EOMONTH(MC[[#This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25"/>
      <c r="Q262" s="125"/>
      <c r="R262" s="4">
        <f>SUM(MC[[#This Row],[ICR1]:[ICR12]])</f>
        <v>0</v>
      </c>
      <c r="S262" s="132"/>
      <c r="T262" s="132"/>
      <c r="U262" s="132"/>
      <c r="V262" s="132"/>
      <c r="W262" s="132"/>
      <c r="X262" s="132"/>
      <c r="Y262" s="132"/>
    </row>
    <row r="263" spans="1:25">
      <c r="A263" s="132">
        <v>261</v>
      </c>
      <c r="B263" s="126">
        <f t="shared" si="4"/>
        <v>45949</v>
      </c>
      <c r="C263" s="209">
        <f>YEAR(MC[[#This Row],[Date]])+IF(MONTH(MC[[#This Row],[Date]])&gt;=4,1,0)</f>
        <v>2026</v>
      </c>
      <c r="D263" s="129">
        <f>YEAR(MC[[#This Row],[Date]])</f>
        <v>2025</v>
      </c>
      <c r="E263" s="287" t="s">
        <v>156</v>
      </c>
      <c r="F263" s="287" t="s">
        <v>156</v>
      </c>
      <c r="G263" s="4" t="str">
        <f>TEXT(MC[[#This Row],[Date]],"mmm-yy")</f>
        <v>Oct-25</v>
      </c>
      <c r="H263" s="4">
        <f>DAY(EOMONTH(MC[[#This Row],[Month Year]],0))</f>
        <v>31</v>
      </c>
      <c r="I263" s="132"/>
      <c r="J263" s="132"/>
      <c r="K263" s="132"/>
      <c r="L263" s="132"/>
      <c r="M263" s="132"/>
      <c r="N263" s="132"/>
      <c r="O263" s="132"/>
      <c r="P263" s="125"/>
      <c r="Q263" s="125"/>
      <c r="R263" s="4">
        <f>SUM(MC[[#This Row],[ICR1]:[ICR12]])</f>
        <v>0</v>
      </c>
      <c r="S263" s="132"/>
      <c r="T263" s="132"/>
      <c r="U263" s="132"/>
      <c r="V263" s="132"/>
      <c r="W263" s="132"/>
      <c r="X263" s="132"/>
      <c r="Y263" s="132"/>
    </row>
    <row r="264" spans="1:25">
      <c r="A264" s="132">
        <v>262</v>
      </c>
      <c r="B264" s="126">
        <f t="shared" si="4"/>
        <v>45950</v>
      </c>
      <c r="C264" s="209">
        <f>YEAR(MC[[#This Row],[Date]])+IF(MONTH(MC[[#This Row],[Date]])&gt;=4,1,0)</f>
        <v>2026</v>
      </c>
      <c r="D264" s="129">
        <f>YEAR(MC[[#This Row],[Date]])</f>
        <v>2025</v>
      </c>
      <c r="E264" s="287" t="s">
        <v>156</v>
      </c>
      <c r="F264" s="287" t="s">
        <v>156</v>
      </c>
      <c r="G264" s="4" t="str">
        <f>TEXT(MC[[#This Row],[Date]],"mmm-yy")</f>
        <v>Oct-25</v>
      </c>
      <c r="H264" s="4">
        <f>DAY(EOMONTH(MC[[#This Row],[Month Year]],0))</f>
        <v>31</v>
      </c>
      <c r="I264" s="132"/>
      <c r="J264" s="132"/>
      <c r="K264" s="132"/>
      <c r="L264" s="132"/>
      <c r="M264" s="132"/>
      <c r="N264" s="132"/>
      <c r="O264" s="132"/>
      <c r="P264" s="125"/>
      <c r="Q264" s="125"/>
      <c r="R264" s="4">
        <f>SUM(MC[[#This Row],[ICR1]:[ICR12]])</f>
        <v>0</v>
      </c>
      <c r="S264" s="132"/>
      <c r="T264" s="132"/>
      <c r="U264" s="132"/>
      <c r="V264" s="132"/>
      <c r="W264" s="132"/>
      <c r="X264" s="132"/>
      <c r="Y264" s="132"/>
    </row>
    <row r="265" spans="1:25">
      <c r="A265" s="132">
        <v>263</v>
      </c>
      <c r="B265" s="126">
        <f t="shared" si="4"/>
        <v>45951</v>
      </c>
      <c r="C265" s="209">
        <f>YEAR(MC[[#This Row],[Date]])+IF(MONTH(MC[[#This Row],[Date]])&gt;=4,1,0)</f>
        <v>2026</v>
      </c>
      <c r="D265" s="129">
        <f>YEAR(MC[[#This Row],[Date]])</f>
        <v>2025</v>
      </c>
      <c r="E265" s="287" t="s">
        <v>156</v>
      </c>
      <c r="F265" s="287" t="s">
        <v>156</v>
      </c>
      <c r="G265" s="4" t="str">
        <f>TEXT(MC[[#This Row],[Date]],"mmm-yy")</f>
        <v>Oct-25</v>
      </c>
      <c r="H265" s="4">
        <f>DAY(EOMONTH(MC[[#This Row],[Month Year]],0))</f>
        <v>31</v>
      </c>
      <c r="I265" s="132"/>
      <c r="J265" s="132"/>
      <c r="K265" s="132"/>
      <c r="L265" s="132"/>
      <c r="M265" s="132"/>
      <c r="N265" s="132"/>
      <c r="O265" s="132"/>
      <c r="P265" s="125"/>
      <c r="Q265" s="125"/>
      <c r="R265" s="4">
        <f>SUM(MC[[#This Row],[ICR1]:[ICR12]])</f>
        <v>0</v>
      </c>
      <c r="S265" s="132"/>
      <c r="T265" s="132"/>
      <c r="U265" s="132"/>
      <c r="V265" s="132"/>
      <c r="W265" s="132"/>
      <c r="X265" s="132"/>
      <c r="Y265" s="132"/>
    </row>
    <row r="266" spans="1:25">
      <c r="A266" s="132">
        <v>264</v>
      </c>
      <c r="B266" s="126">
        <f t="shared" si="4"/>
        <v>45952</v>
      </c>
      <c r="C266" s="209">
        <f>YEAR(MC[[#This Row],[Date]])+IF(MONTH(MC[[#This Row],[Date]])&gt;=4,1,0)</f>
        <v>2026</v>
      </c>
      <c r="D266" s="129">
        <f>YEAR(MC[[#This Row],[Date]])</f>
        <v>2025</v>
      </c>
      <c r="E266" s="287" t="s">
        <v>156</v>
      </c>
      <c r="F266" s="287" t="s">
        <v>156</v>
      </c>
      <c r="G266" s="4" t="str">
        <f>TEXT(MC[[#This Row],[Date]],"mmm-yy")</f>
        <v>Oct-25</v>
      </c>
      <c r="H266" s="4">
        <f>DAY(EOMONTH(MC[[#This Row],[Month Year]],0))</f>
        <v>31</v>
      </c>
      <c r="I266" s="132"/>
      <c r="J266" s="132"/>
      <c r="K266" s="132"/>
      <c r="L266" s="132"/>
      <c r="M266" s="132"/>
      <c r="N266" s="132"/>
      <c r="O266" s="132"/>
      <c r="P266" s="125"/>
      <c r="Q266" s="125"/>
      <c r="R266" s="4">
        <f>SUM(MC[[#This Row],[ICR1]:[ICR12]])</f>
        <v>0</v>
      </c>
      <c r="S266" s="132"/>
      <c r="T266" s="132"/>
      <c r="U266" s="132"/>
      <c r="V266" s="132"/>
      <c r="W266" s="132"/>
      <c r="X266" s="132"/>
      <c r="Y266" s="132"/>
    </row>
    <row r="267" spans="1:25">
      <c r="A267" s="132">
        <v>265</v>
      </c>
      <c r="B267" s="126">
        <f t="shared" si="4"/>
        <v>45953</v>
      </c>
      <c r="C267" s="209">
        <f>YEAR(MC[[#This Row],[Date]])+IF(MONTH(MC[[#This Row],[Date]])&gt;=4,1,0)</f>
        <v>2026</v>
      </c>
      <c r="D267" s="129">
        <f>YEAR(MC[[#This Row],[Date]])</f>
        <v>2025</v>
      </c>
      <c r="E267" s="287" t="s">
        <v>156</v>
      </c>
      <c r="F267" s="287" t="s">
        <v>156</v>
      </c>
      <c r="G267" s="4" t="str">
        <f>TEXT(MC[[#This Row],[Date]],"mmm-yy")</f>
        <v>Oct-25</v>
      </c>
      <c r="H267" s="4">
        <f>DAY(EOMONTH(MC[[#This Row],[Month Year]],0))</f>
        <v>31</v>
      </c>
      <c r="I267" s="132"/>
      <c r="J267" s="132"/>
      <c r="K267" s="132"/>
      <c r="L267" s="132"/>
      <c r="M267" s="132"/>
      <c r="N267" s="132"/>
      <c r="O267" s="132"/>
      <c r="P267" s="125"/>
      <c r="Q267" s="125"/>
      <c r="R267" s="4">
        <f>SUM(MC[[#This Row],[ICR1]:[ICR12]])</f>
        <v>0</v>
      </c>
      <c r="S267" s="132"/>
      <c r="T267" s="132"/>
      <c r="U267" s="132"/>
      <c r="V267" s="132"/>
      <c r="W267" s="132"/>
      <c r="X267" s="132"/>
      <c r="Y267" s="132"/>
    </row>
    <row r="268" spans="1:25">
      <c r="A268" s="132">
        <v>266</v>
      </c>
      <c r="B268" s="126">
        <f t="shared" si="4"/>
        <v>45954</v>
      </c>
      <c r="C268" s="209">
        <f>YEAR(MC[[#This Row],[Date]])+IF(MONTH(MC[[#This Row],[Date]])&gt;=4,1,0)</f>
        <v>2026</v>
      </c>
      <c r="D268" s="129">
        <f>YEAR(MC[[#This Row],[Date]])</f>
        <v>2025</v>
      </c>
      <c r="E268" s="287" t="s">
        <v>156</v>
      </c>
      <c r="F268" s="287" t="s">
        <v>156</v>
      </c>
      <c r="G268" s="4" t="str">
        <f>TEXT(MC[[#This Row],[Date]],"mmm-yy")</f>
        <v>Oct-25</v>
      </c>
      <c r="H268" s="4">
        <f>DAY(EOMONTH(MC[[#This Row],[Month Year]],0))</f>
        <v>31</v>
      </c>
      <c r="I268" s="132"/>
      <c r="J268" s="132"/>
      <c r="K268" s="132"/>
      <c r="L268" s="132"/>
      <c r="M268" s="132"/>
      <c r="N268" s="132"/>
      <c r="O268" s="132"/>
      <c r="P268" s="125"/>
      <c r="Q268" s="125"/>
      <c r="R268" s="4">
        <f>SUM(MC[[#This Row],[ICR1]:[ICR12]])</f>
        <v>0</v>
      </c>
      <c r="S268" s="132"/>
      <c r="T268" s="132"/>
      <c r="U268" s="132"/>
      <c r="V268" s="132"/>
      <c r="W268" s="132"/>
      <c r="X268" s="132"/>
      <c r="Y268" s="132"/>
    </row>
    <row r="269" spans="1:25">
      <c r="A269" s="132">
        <v>267</v>
      </c>
      <c r="B269" s="126">
        <f t="shared" si="4"/>
        <v>45955</v>
      </c>
      <c r="C269" s="209">
        <f>YEAR(MC[[#This Row],[Date]])+IF(MONTH(MC[[#This Row],[Date]])&gt;=4,1,0)</f>
        <v>2026</v>
      </c>
      <c r="D269" s="129">
        <f>YEAR(MC[[#This Row],[Date]])</f>
        <v>2025</v>
      </c>
      <c r="E269" s="287" t="s">
        <v>156</v>
      </c>
      <c r="F269" s="287" t="s">
        <v>156</v>
      </c>
      <c r="G269" s="4" t="str">
        <f>TEXT(MC[[#This Row],[Date]],"mmm-yy")</f>
        <v>Oct-25</v>
      </c>
      <c r="H269" s="4">
        <f>DAY(EOMONTH(MC[[#This Row],[Month Year]],0))</f>
        <v>31</v>
      </c>
      <c r="I269" s="132"/>
      <c r="J269" s="132"/>
      <c r="K269" s="132"/>
      <c r="L269" s="132"/>
      <c r="M269" s="132"/>
      <c r="N269" s="132"/>
      <c r="O269" s="132"/>
      <c r="P269" s="125"/>
      <c r="Q269" s="125"/>
      <c r="R269" s="4">
        <f>SUM(MC[[#This Row],[ICR1]:[ICR12]])</f>
        <v>0</v>
      </c>
      <c r="S269" s="132"/>
      <c r="T269" s="132"/>
      <c r="U269" s="132"/>
      <c r="V269" s="132"/>
      <c r="W269" s="132"/>
      <c r="X269" s="132"/>
      <c r="Y269" s="132"/>
    </row>
    <row r="270" spans="1:25">
      <c r="A270" s="132">
        <v>268</v>
      </c>
      <c r="B270" s="126">
        <f t="shared" si="4"/>
        <v>45956</v>
      </c>
      <c r="C270" s="209">
        <f>YEAR(MC[[#This Row],[Date]])+IF(MONTH(MC[[#This Row],[Date]])&gt;=4,1,0)</f>
        <v>2026</v>
      </c>
      <c r="D270" s="129">
        <f>YEAR(MC[[#This Row],[Date]])</f>
        <v>2025</v>
      </c>
      <c r="E270" s="287" t="s">
        <v>156</v>
      </c>
      <c r="F270" s="287" t="s">
        <v>156</v>
      </c>
      <c r="G270" s="4" t="str">
        <f>TEXT(MC[[#This Row],[Date]],"mmm-yy")</f>
        <v>Oct-25</v>
      </c>
      <c r="H270" s="4">
        <f>DAY(EOMONTH(MC[[#This Row],[Month Year]],0))</f>
        <v>31</v>
      </c>
      <c r="I270" s="132"/>
      <c r="J270" s="132"/>
      <c r="K270" s="132"/>
      <c r="L270" s="132"/>
      <c r="M270" s="132"/>
      <c r="N270" s="132"/>
      <c r="O270" s="132"/>
      <c r="P270" s="125"/>
      <c r="Q270" s="125"/>
      <c r="R270" s="4">
        <f>SUM(MC[[#This Row],[ICR1]:[ICR12]])</f>
        <v>0</v>
      </c>
      <c r="S270" s="132"/>
      <c r="T270" s="132"/>
      <c r="U270" s="132"/>
      <c r="V270" s="132"/>
      <c r="W270" s="132"/>
      <c r="X270" s="132"/>
      <c r="Y270" s="132"/>
    </row>
    <row r="271" spans="1:25">
      <c r="A271" s="132">
        <v>269</v>
      </c>
      <c r="B271" s="126">
        <f t="shared" si="4"/>
        <v>45957</v>
      </c>
      <c r="C271" s="209">
        <f>YEAR(MC[[#This Row],[Date]])+IF(MONTH(MC[[#This Row],[Date]])&gt;=4,1,0)</f>
        <v>2026</v>
      </c>
      <c r="D271" s="129">
        <f>YEAR(MC[[#This Row],[Date]])</f>
        <v>2025</v>
      </c>
      <c r="E271" s="287" t="s">
        <v>156</v>
      </c>
      <c r="F271" s="287" t="s">
        <v>156</v>
      </c>
      <c r="G271" s="4" t="str">
        <f>TEXT(MC[[#This Row],[Date]],"mmm-yy")</f>
        <v>Oct-25</v>
      </c>
      <c r="H271" s="4">
        <f>DAY(EOMONTH(MC[[#This Row],[Month Year]],0))</f>
        <v>31</v>
      </c>
      <c r="I271" s="132"/>
      <c r="J271" s="132"/>
      <c r="K271" s="132"/>
      <c r="L271" s="132"/>
      <c r="M271" s="132"/>
      <c r="N271" s="132"/>
      <c r="O271" s="132"/>
      <c r="P271" s="125"/>
      <c r="Q271" s="125"/>
      <c r="R271" s="4">
        <f>SUM(MC[[#This Row],[ICR1]:[ICR12]])</f>
        <v>0</v>
      </c>
      <c r="S271" s="132"/>
      <c r="T271" s="132"/>
      <c r="U271" s="132"/>
      <c r="V271" s="132"/>
      <c r="W271" s="132"/>
      <c r="X271" s="132"/>
      <c r="Y271" s="132"/>
    </row>
    <row r="272" spans="1:25">
      <c r="A272" s="132">
        <v>270</v>
      </c>
      <c r="B272" s="126">
        <f t="shared" si="4"/>
        <v>45958</v>
      </c>
      <c r="C272" s="209">
        <f>YEAR(MC[[#This Row],[Date]])+IF(MONTH(MC[[#This Row],[Date]])&gt;=4,1,0)</f>
        <v>2026</v>
      </c>
      <c r="D272" s="129">
        <f>YEAR(MC[[#This Row],[Date]])</f>
        <v>2025</v>
      </c>
      <c r="E272" s="287" t="s">
        <v>156</v>
      </c>
      <c r="F272" s="287" t="s">
        <v>156</v>
      </c>
      <c r="G272" s="4" t="str">
        <f>TEXT(MC[[#This Row],[Date]],"mmm-yy")</f>
        <v>Oct-25</v>
      </c>
      <c r="H272" s="4">
        <f>DAY(EOMONTH(MC[[#This Row],[Month Year]],0))</f>
        <v>31</v>
      </c>
      <c r="I272" s="132"/>
      <c r="J272" s="132"/>
      <c r="K272" s="132"/>
      <c r="L272" s="132"/>
      <c r="M272" s="132"/>
      <c r="N272" s="132"/>
      <c r="O272" s="132"/>
      <c r="P272" s="125"/>
      <c r="Q272" s="125"/>
      <c r="R272" s="4">
        <f>SUM(MC[[#This Row],[ICR1]:[ICR12]])</f>
        <v>0</v>
      </c>
      <c r="S272" s="132"/>
      <c r="T272" s="132"/>
      <c r="U272" s="132"/>
      <c r="V272" s="132"/>
      <c r="W272" s="132"/>
      <c r="X272" s="132"/>
      <c r="Y272" s="132"/>
    </row>
    <row r="273" spans="1:25">
      <c r="A273" s="132">
        <v>271</v>
      </c>
      <c r="B273" s="126">
        <f t="shared" si="4"/>
        <v>45959</v>
      </c>
      <c r="C273" s="209">
        <f>YEAR(MC[[#This Row],[Date]])+IF(MONTH(MC[[#This Row],[Date]])&gt;=4,1,0)</f>
        <v>2026</v>
      </c>
      <c r="D273" s="129">
        <f>YEAR(MC[[#This Row],[Date]])</f>
        <v>2025</v>
      </c>
      <c r="E273" s="287" t="s">
        <v>156</v>
      </c>
      <c r="F273" s="287" t="s">
        <v>156</v>
      </c>
      <c r="G273" s="4" t="str">
        <f>TEXT(MC[[#This Row],[Date]],"mmm-yy")</f>
        <v>Oct-25</v>
      </c>
      <c r="H273" s="4">
        <f>DAY(EOMONTH(MC[[#This Row],[Month Year]],0))</f>
        <v>31</v>
      </c>
      <c r="I273" s="132"/>
      <c r="J273" s="132"/>
      <c r="K273" s="132"/>
      <c r="L273" s="132"/>
      <c r="M273" s="132"/>
      <c r="N273" s="132"/>
      <c r="O273" s="132"/>
      <c r="P273" s="125"/>
      <c r="Q273" s="125"/>
      <c r="R273" s="4">
        <f>SUM(MC[[#This Row],[ICR1]:[ICR12]])</f>
        <v>0</v>
      </c>
      <c r="S273" s="132"/>
      <c r="T273" s="132"/>
      <c r="U273" s="132"/>
      <c r="V273" s="132"/>
      <c r="W273" s="132"/>
      <c r="X273" s="132"/>
      <c r="Y273" s="132"/>
    </row>
    <row r="274" spans="1:25">
      <c r="A274" s="132">
        <v>272</v>
      </c>
      <c r="B274" s="126">
        <f t="shared" si="4"/>
        <v>45960</v>
      </c>
      <c r="C274" s="209">
        <f>YEAR(MC[[#This Row],[Date]])+IF(MONTH(MC[[#This Row],[Date]])&gt;=4,1,0)</f>
        <v>2026</v>
      </c>
      <c r="D274" s="129">
        <f>YEAR(MC[[#This Row],[Date]])</f>
        <v>2025</v>
      </c>
      <c r="E274" s="287" t="s">
        <v>156</v>
      </c>
      <c r="F274" s="287" t="s">
        <v>156</v>
      </c>
      <c r="G274" s="4" t="str">
        <f>TEXT(MC[[#This Row],[Date]],"mmm-yy")</f>
        <v>Oct-25</v>
      </c>
      <c r="H274" s="4">
        <f>DAY(EOMONTH(MC[[#This Row],[Month Year]],0))</f>
        <v>31</v>
      </c>
      <c r="I274" s="132"/>
      <c r="J274" s="132"/>
      <c r="K274" s="132"/>
      <c r="L274" s="132"/>
      <c r="M274" s="132"/>
      <c r="N274" s="132"/>
      <c r="O274" s="132"/>
      <c r="P274" s="125"/>
      <c r="Q274" s="125"/>
      <c r="R274" s="4">
        <f>SUM(MC[[#This Row],[ICR1]:[ICR12]])</f>
        <v>0</v>
      </c>
      <c r="S274" s="132"/>
      <c r="T274" s="132"/>
      <c r="U274" s="132"/>
      <c r="V274" s="132"/>
      <c r="W274" s="132"/>
      <c r="X274" s="132"/>
      <c r="Y274" s="132"/>
    </row>
    <row r="275" spans="1:25">
      <c r="A275" s="132">
        <v>273</v>
      </c>
      <c r="B275" s="126">
        <f t="shared" si="4"/>
        <v>45961</v>
      </c>
      <c r="C275" s="209">
        <f>YEAR(MC[[#This Row],[Date]])+IF(MONTH(MC[[#This Row],[Date]])&gt;=4,1,0)</f>
        <v>2026</v>
      </c>
      <c r="D275" s="129">
        <f>YEAR(MC[[#This Row],[Date]])</f>
        <v>2025</v>
      </c>
      <c r="E275" s="287" t="s">
        <v>156</v>
      </c>
      <c r="F275" s="287" t="s">
        <v>156</v>
      </c>
      <c r="G275" s="4" t="str">
        <f>TEXT(MC[[#This Row],[Date]],"mmm-yy")</f>
        <v>Oct-25</v>
      </c>
      <c r="H275" s="4">
        <f>DAY(EOMONTH(MC[[#This Row],[Month Year]],0))</f>
        <v>31</v>
      </c>
      <c r="I275" s="132"/>
      <c r="J275" s="132"/>
      <c r="K275" s="132"/>
      <c r="L275" s="132"/>
      <c r="M275" s="132"/>
      <c r="N275" s="132"/>
      <c r="O275" s="132"/>
      <c r="P275" s="125"/>
      <c r="Q275" s="125"/>
      <c r="R275" s="4">
        <f>SUM(MC[[#This Row],[ICR1]:[ICR12]])</f>
        <v>0</v>
      </c>
      <c r="S275" s="132"/>
      <c r="T275" s="132"/>
      <c r="U275" s="132"/>
      <c r="V275" s="132"/>
      <c r="W275" s="132"/>
      <c r="X275" s="132"/>
      <c r="Y275" s="132"/>
    </row>
    <row r="276" spans="1:25">
      <c r="A276" s="132">
        <v>274</v>
      </c>
      <c r="B276" s="126">
        <f t="shared" si="4"/>
        <v>45962</v>
      </c>
      <c r="C276" s="209">
        <f>YEAR(MC[[#This Row],[Date]])+IF(MONTH(MC[[#This Row],[Date]])&gt;=4,1,0)</f>
        <v>2026</v>
      </c>
      <c r="D276" s="129">
        <f>YEAR(MC[[#This Row],[Date]])</f>
        <v>2025</v>
      </c>
      <c r="E276" s="287" t="s">
        <v>156</v>
      </c>
      <c r="F276" s="287" t="s">
        <v>156</v>
      </c>
      <c r="G276" s="4" t="str">
        <f>TEXT(MC[[#This Row],[Date]],"mmm-yy")</f>
        <v>Nov-25</v>
      </c>
      <c r="H276" s="4">
        <f>DAY(EOMONTH(MC[[#This Row],[Month Year]],0))</f>
        <v>30</v>
      </c>
      <c r="I276" s="132"/>
      <c r="J276" s="132"/>
      <c r="K276" s="132"/>
      <c r="L276" s="132"/>
      <c r="M276" s="132"/>
      <c r="N276" s="132"/>
      <c r="O276" s="132"/>
      <c r="P276" s="125"/>
      <c r="Q276" s="125"/>
      <c r="R276" s="4">
        <f>SUM(MC[[#This Row],[ICR1]:[ICR12]])</f>
        <v>0</v>
      </c>
      <c r="S276" s="132"/>
      <c r="T276" s="132"/>
      <c r="U276" s="132"/>
      <c r="V276" s="132"/>
      <c r="W276" s="132"/>
      <c r="X276" s="132"/>
      <c r="Y276" s="132"/>
    </row>
    <row r="277" spans="1:25">
      <c r="A277" s="132">
        <v>275</v>
      </c>
      <c r="B277" s="126">
        <f t="shared" si="4"/>
        <v>45963</v>
      </c>
      <c r="C277" s="209">
        <f>YEAR(MC[[#This Row],[Date]])+IF(MONTH(MC[[#This Row],[Date]])&gt;=4,1,0)</f>
        <v>2026</v>
      </c>
      <c r="D277" s="129">
        <f>YEAR(MC[[#This Row],[Date]])</f>
        <v>2025</v>
      </c>
      <c r="E277" s="287" t="s">
        <v>156</v>
      </c>
      <c r="F277" s="287" t="s">
        <v>156</v>
      </c>
      <c r="G277" s="4" t="str">
        <f>TEXT(MC[[#This Row],[Date]],"mmm-yy")</f>
        <v>Nov-25</v>
      </c>
      <c r="H277" s="4">
        <f>DAY(EOMONTH(MC[[#This Row],[Month Year]],0))</f>
        <v>30</v>
      </c>
      <c r="I277" s="132"/>
      <c r="J277" s="132"/>
      <c r="K277" s="132"/>
      <c r="L277" s="132"/>
      <c r="M277" s="132"/>
      <c r="N277" s="132"/>
      <c r="O277" s="132"/>
      <c r="P277" s="125"/>
      <c r="Q277" s="125"/>
      <c r="R277" s="4">
        <f>SUM(MC[[#This Row],[ICR1]:[ICR12]])</f>
        <v>0</v>
      </c>
      <c r="S277" s="132"/>
      <c r="T277" s="132"/>
      <c r="U277" s="132"/>
      <c r="V277" s="132"/>
      <c r="W277" s="132"/>
      <c r="X277" s="132"/>
      <c r="Y277" s="132"/>
    </row>
    <row r="278" spans="1:25">
      <c r="A278" s="132">
        <v>276</v>
      </c>
      <c r="B278" s="126">
        <f t="shared" si="4"/>
        <v>45964</v>
      </c>
      <c r="C278" s="209">
        <f>YEAR(MC[[#This Row],[Date]])+IF(MONTH(MC[[#This Row],[Date]])&gt;=4,1,0)</f>
        <v>2026</v>
      </c>
      <c r="D278" s="129">
        <f>YEAR(MC[[#This Row],[Date]])</f>
        <v>2025</v>
      </c>
      <c r="E278" s="287" t="s">
        <v>156</v>
      </c>
      <c r="F278" s="287" t="s">
        <v>156</v>
      </c>
      <c r="G278" s="4" t="str">
        <f>TEXT(MC[[#This Row],[Date]],"mmm-yy")</f>
        <v>Nov-25</v>
      </c>
      <c r="H278" s="4">
        <f>DAY(EOMONTH(MC[[#This Row],[Month Year]],0))</f>
        <v>30</v>
      </c>
      <c r="I278" s="132"/>
      <c r="J278" s="132"/>
      <c r="K278" s="132"/>
      <c r="L278" s="132"/>
      <c r="M278" s="132"/>
      <c r="N278" s="132"/>
      <c r="O278" s="132"/>
      <c r="P278" s="125"/>
      <c r="Q278" s="125"/>
      <c r="R278" s="4">
        <f>SUM(MC[[#This Row],[ICR1]:[ICR12]])</f>
        <v>0</v>
      </c>
      <c r="S278" s="132"/>
      <c r="T278" s="132"/>
      <c r="U278" s="132"/>
      <c r="V278" s="132"/>
      <c r="W278" s="132"/>
      <c r="X278" s="132"/>
      <c r="Y278" s="132"/>
    </row>
    <row r="279" spans="1:25">
      <c r="A279" s="132">
        <v>277</v>
      </c>
      <c r="B279" s="126">
        <f t="shared" si="4"/>
        <v>45965</v>
      </c>
      <c r="C279" s="209">
        <f>YEAR(MC[[#This Row],[Date]])+IF(MONTH(MC[[#This Row],[Date]])&gt;=4,1,0)</f>
        <v>2026</v>
      </c>
      <c r="D279" s="129">
        <f>YEAR(MC[[#This Row],[Date]])</f>
        <v>2025</v>
      </c>
      <c r="E279" s="287" t="s">
        <v>156</v>
      </c>
      <c r="F279" s="287" t="s">
        <v>156</v>
      </c>
      <c r="G279" s="4" t="str">
        <f>TEXT(MC[[#This Row],[Date]],"mmm-yy")</f>
        <v>Nov-25</v>
      </c>
      <c r="H279" s="4">
        <f>DAY(EOMONTH(MC[[#This Row],[Month Year]],0))</f>
        <v>30</v>
      </c>
      <c r="I279" s="132"/>
      <c r="J279" s="132"/>
      <c r="K279" s="132"/>
      <c r="L279" s="132"/>
      <c r="M279" s="132"/>
      <c r="N279" s="132"/>
      <c r="O279" s="132"/>
      <c r="P279" s="125"/>
      <c r="Q279" s="125"/>
      <c r="R279" s="4">
        <f>SUM(MC[[#This Row],[ICR1]:[ICR12]])</f>
        <v>0</v>
      </c>
      <c r="S279" s="132"/>
      <c r="T279" s="132"/>
      <c r="U279" s="132"/>
      <c r="V279" s="132"/>
      <c r="W279" s="132"/>
      <c r="X279" s="132"/>
      <c r="Y279" s="132"/>
    </row>
    <row r="280" spans="1:25">
      <c r="A280" s="132">
        <v>278</v>
      </c>
      <c r="B280" s="126">
        <f t="shared" si="4"/>
        <v>45966</v>
      </c>
      <c r="C280" s="209">
        <f>YEAR(MC[[#This Row],[Date]])+IF(MONTH(MC[[#This Row],[Date]])&gt;=4,1,0)</f>
        <v>2026</v>
      </c>
      <c r="D280" s="129">
        <f>YEAR(MC[[#This Row],[Date]])</f>
        <v>2025</v>
      </c>
      <c r="E280" s="287" t="s">
        <v>156</v>
      </c>
      <c r="F280" s="287" t="s">
        <v>156</v>
      </c>
      <c r="G280" s="4" t="str">
        <f>TEXT(MC[[#This Row],[Date]],"mmm-yy")</f>
        <v>Nov-25</v>
      </c>
      <c r="H280" s="4">
        <f>DAY(EOMONTH(MC[[#This Row],[Month Year]],0))</f>
        <v>30</v>
      </c>
      <c r="I280" s="132"/>
      <c r="J280" s="132"/>
      <c r="K280" s="132"/>
      <c r="L280" s="132"/>
      <c r="M280" s="132"/>
      <c r="N280" s="132"/>
      <c r="O280" s="132"/>
      <c r="P280" s="125"/>
      <c r="Q280" s="125"/>
      <c r="R280" s="4">
        <f>SUM(MC[[#This Row],[ICR1]:[ICR12]])</f>
        <v>0</v>
      </c>
      <c r="S280" s="132"/>
      <c r="T280" s="132"/>
      <c r="U280" s="132"/>
      <c r="V280" s="132"/>
      <c r="W280" s="132"/>
      <c r="X280" s="132"/>
      <c r="Y280" s="132"/>
    </row>
    <row r="281" spans="1:25">
      <c r="A281" s="132">
        <v>279</v>
      </c>
      <c r="B281" s="126">
        <f t="shared" si="4"/>
        <v>45967</v>
      </c>
      <c r="C281" s="209">
        <f>YEAR(MC[[#This Row],[Date]])+IF(MONTH(MC[[#This Row],[Date]])&gt;=4,1,0)</f>
        <v>2026</v>
      </c>
      <c r="D281" s="129">
        <f>YEAR(MC[[#This Row],[Date]])</f>
        <v>2025</v>
      </c>
      <c r="E281" s="287" t="s">
        <v>156</v>
      </c>
      <c r="F281" s="287" t="s">
        <v>156</v>
      </c>
      <c r="G281" s="4" t="str">
        <f>TEXT(MC[[#This Row],[Date]],"mmm-yy")</f>
        <v>Nov-25</v>
      </c>
      <c r="H281" s="4">
        <f>DAY(EOMONTH(MC[[#This Row],[Month Year]],0))</f>
        <v>30</v>
      </c>
      <c r="I281" s="132"/>
      <c r="J281" s="132"/>
      <c r="K281" s="132"/>
      <c r="L281" s="132"/>
      <c r="M281" s="132"/>
      <c r="N281" s="132"/>
      <c r="O281" s="132"/>
      <c r="P281" s="125"/>
      <c r="Q281" s="125"/>
      <c r="R281" s="4">
        <f>SUM(MC[[#This Row],[ICR1]:[ICR12]])</f>
        <v>0</v>
      </c>
      <c r="S281" s="132"/>
      <c r="T281" s="132"/>
      <c r="U281" s="132"/>
      <c r="V281" s="132"/>
      <c r="W281" s="132"/>
      <c r="X281" s="132"/>
      <c r="Y281" s="132"/>
    </row>
    <row r="282" spans="1:25">
      <c r="A282" s="132">
        <v>280</v>
      </c>
      <c r="B282" s="126">
        <f t="shared" si="4"/>
        <v>45968</v>
      </c>
      <c r="C282" s="209">
        <f>YEAR(MC[[#This Row],[Date]])+IF(MONTH(MC[[#This Row],[Date]])&gt;=4,1,0)</f>
        <v>2026</v>
      </c>
      <c r="D282" s="129">
        <f>YEAR(MC[[#This Row],[Date]])</f>
        <v>2025</v>
      </c>
      <c r="E282" s="287" t="s">
        <v>156</v>
      </c>
      <c r="F282" s="287" t="s">
        <v>156</v>
      </c>
      <c r="G282" s="4" t="str">
        <f>TEXT(MC[[#This Row],[Date]],"mmm-yy")</f>
        <v>Nov-25</v>
      </c>
      <c r="H282" s="4">
        <f>DAY(EOMONTH(MC[[#This Row],[Month Year]],0))</f>
        <v>30</v>
      </c>
      <c r="I282" s="132"/>
      <c r="J282" s="132"/>
      <c r="K282" s="132"/>
      <c r="L282" s="132"/>
      <c r="M282" s="132"/>
      <c r="N282" s="132"/>
      <c r="O282" s="132"/>
      <c r="P282" s="125"/>
      <c r="Q282" s="125"/>
      <c r="R282" s="4">
        <f>SUM(MC[[#This Row],[ICR1]:[ICR12]])</f>
        <v>0</v>
      </c>
      <c r="S282" s="132"/>
      <c r="T282" s="132"/>
      <c r="U282" s="132"/>
      <c r="V282" s="132"/>
      <c r="W282" s="132"/>
      <c r="X282" s="132"/>
      <c r="Y282" s="132"/>
    </row>
    <row r="283" spans="1:25">
      <c r="A283" s="132">
        <v>281</v>
      </c>
      <c r="B283" s="126">
        <f t="shared" si="4"/>
        <v>45969</v>
      </c>
      <c r="C283" s="209">
        <f>YEAR(MC[[#This Row],[Date]])+IF(MONTH(MC[[#This Row],[Date]])&gt;=4,1,0)</f>
        <v>2026</v>
      </c>
      <c r="D283" s="129">
        <f>YEAR(MC[[#This Row],[Date]])</f>
        <v>2025</v>
      </c>
      <c r="E283" s="287" t="s">
        <v>156</v>
      </c>
      <c r="F283" s="287" t="s">
        <v>156</v>
      </c>
      <c r="G283" s="4" t="str">
        <f>TEXT(MC[[#This Row],[Date]],"mmm-yy")</f>
        <v>Nov-25</v>
      </c>
      <c r="H283" s="4">
        <f>DAY(EOMONTH(MC[[#This Row],[Month Year]],0))</f>
        <v>30</v>
      </c>
      <c r="I283" s="132"/>
      <c r="J283" s="132"/>
      <c r="K283" s="132"/>
      <c r="L283" s="132"/>
      <c r="M283" s="132"/>
      <c r="N283" s="132"/>
      <c r="O283" s="132"/>
      <c r="P283" s="125"/>
      <c r="Q283" s="125"/>
      <c r="R283" s="4">
        <f>SUM(MC[[#This Row],[ICR1]:[ICR12]])</f>
        <v>0</v>
      </c>
      <c r="S283" s="132"/>
      <c r="T283" s="132"/>
      <c r="U283" s="132"/>
      <c r="V283" s="132"/>
      <c r="W283" s="132"/>
      <c r="X283" s="132"/>
      <c r="Y283" s="132"/>
    </row>
    <row r="284" spans="1:25">
      <c r="A284" s="132">
        <v>282</v>
      </c>
      <c r="B284" s="126">
        <f t="shared" si="4"/>
        <v>45970</v>
      </c>
      <c r="C284" s="209">
        <f>YEAR(MC[[#This Row],[Date]])+IF(MONTH(MC[[#This Row],[Date]])&gt;=4,1,0)</f>
        <v>2026</v>
      </c>
      <c r="D284" s="129">
        <f>YEAR(MC[[#This Row],[Date]])</f>
        <v>2025</v>
      </c>
      <c r="E284" s="287" t="s">
        <v>156</v>
      </c>
      <c r="F284" s="287" t="s">
        <v>156</v>
      </c>
      <c r="G284" s="4" t="str">
        <f>TEXT(MC[[#This Row],[Date]],"mmm-yy")</f>
        <v>Nov-25</v>
      </c>
      <c r="H284" s="4">
        <f>DAY(EOMONTH(MC[[#This Row],[Month Year]],0))</f>
        <v>30</v>
      </c>
      <c r="I284" s="132"/>
      <c r="J284" s="132"/>
      <c r="K284" s="132"/>
      <c r="L284" s="132"/>
      <c r="M284" s="132"/>
      <c r="N284" s="132"/>
      <c r="O284" s="132"/>
      <c r="P284" s="125"/>
      <c r="Q284" s="125"/>
      <c r="R284" s="4">
        <f>SUM(MC[[#This Row],[ICR1]:[ICR12]])</f>
        <v>0</v>
      </c>
      <c r="S284" s="132"/>
      <c r="T284" s="132"/>
      <c r="U284" s="132"/>
      <c r="V284" s="132"/>
      <c r="W284" s="132"/>
      <c r="X284" s="132"/>
      <c r="Y284" s="132"/>
    </row>
    <row r="285" spans="1:25">
      <c r="A285" s="132">
        <v>283</v>
      </c>
      <c r="B285" s="126">
        <f t="shared" si="4"/>
        <v>45971</v>
      </c>
      <c r="C285" s="209">
        <f>YEAR(MC[[#This Row],[Date]])+IF(MONTH(MC[[#This Row],[Date]])&gt;=4,1,0)</f>
        <v>2026</v>
      </c>
      <c r="D285" s="129">
        <f>YEAR(MC[[#This Row],[Date]])</f>
        <v>2025</v>
      </c>
      <c r="E285" s="287" t="s">
        <v>156</v>
      </c>
      <c r="F285" s="287" t="s">
        <v>156</v>
      </c>
      <c r="G285" s="4" t="str">
        <f>TEXT(MC[[#This Row],[Date]],"mmm-yy")</f>
        <v>Nov-25</v>
      </c>
      <c r="H285" s="4">
        <f>DAY(EOMONTH(MC[[#This Row],[Month Year]],0))</f>
        <v>30</v>
      </c>
      <c r="I285" s="132"/>
      <c r="J285" s="132"/>
      <c r="K285" s="132"/>
      <c r="L285" s="132"/>
      <c r="M285" s="132"/>
      <c r="N285" s="132"/>
      <c r="O285" s="132"/>
      <c r="P285" s="125"/>
      <c r="Q285" s="125"/>
      <c r="R285" s="4">
        <f>SUM(MC[[#This Row],[ICR1]:[ICR12]])</f>
        <v>0</v>
      </c>
      <c r="S285" s="132"/>
      <c r="T285" s="132"/>
      <c r="U285" s="132"/>
      <c r="V285" s="132"/>
      <c r="W285" s="132"/>
      <c r="X285" s="132"/>
      <c r="Y285" s="132"/>
    </row>
    <row r="286" spans="1:25">
      <c r="A286" s="132">
        <v>284</v>
      </c>
      <c r="B286" s="126">
        <f t="shared" si="4"/>
        <v>45972</v>
      </c>
      <c r="C286" s="209">
        <f>YEAR(MC[[#This Row],[Date]])+IF(MONTH(MC[[#This Row],[Date]])&gt;=4,1,0)</f>
        <v>2026</v>
      </c>
      <c r="D286" s="129">
        <f>YEAR(MC[[#This Row],[Date]])</f>
        <v>2025</v>
      </c>
      <c r="E286" s="287" t="s">
        <v>156</v>
      </c>
      <c r="F286" s="287" t="s">
        <v>156</v>
      </c>
      <c r="G286" s="4" t="str">
        <f>TEXT(MC[[#This Row],[Date]],"mmm-yy")</f>
        <v>Nov-25</v>
      </c>
      <c r="H286" s="4">
        <f>DAY(EOMONTH(MC[[#This Row],[Month Year]],0))</f>
        <v>30</v>
      </c>
      <c r="I286" s="132"/>
      <c r="J286" s="132"/>
      <c r="K286" s="132"/>
      <c r="L286" s="132"/>
      <c r="M286" s="132"/>
      <c r="N286" s="132"/>
      <c r="O286" s="132"/>
      <c r="P286" s="125"/>
      <c r="Q286" s="125"/>
      <c r="R286" s="4">
        <f>SUM(MC[[#This Row],[ICR1]:[ICR12]])</f>
        <v>0</v>
      </c>
      <c r="S286" s="132"/>
      <c r="T286" s="132"/>
      <c r="U286" s="132"/>
      <c r="V286" s="132"/>
      <c r="W286" s="132"/>
      <c r="X286" s="132"/>
      <c r="Y286" s="132"/>
    </row>
    <row r="287" spans="1:25">
      <c r="A287" s="132">
        <v>285</v>
      </c>
      <c r="B287" s="126">
        <f t="shared" si="4"/>
        <v>45973</v>
      </c>
      <c r="C287" s="209">
        <f>YEAR(MC[[#This Row],[Date]])+IF(MONTH(MC[[#This Row],[Date]])&gt;=4,1,0)</f>
        <v>2026</v>
      </c>
      <c r="D287" s="129">
        <f>YEAR(MC[[#This Row],[Date]])</f>
        <v>2025</v>
      </c>
      <c r="E287" s="287" t="s">
        <v>156</v>
      </c>
      <c r="F287" s="287" t="s">
        <v>156</v>
      </c>
      <c r="G287" s="4" t="str">
        <f>TEXT(MC[[#This Row],[Date]],"mmm-yy")</f>
        <v>Nov-25</v>
      </c>
      <c r="H287" s="4">
        <f>DAY(EOMONTH(MC[[#This Row],[Month Year]],0))</f>
        <v>30</v>
      </c>
      <c r="I287" s="132"/>
      <c r="J287" s="132"/>
      <c r="K287" s="132"/>
      <c r="L287" s="132"/>
      <c r="M287" s="132"/>
      <c r="N287" s="132"/>
      <c r="O287" s="132"/>
      <c r="P287" s="125"/>
      <c r="Q287" s="125"/>
      <c r="R287" s="4">
        <f>SUM(MC[[#This Row],[ICR1]:[ICR12]])</f>
        <v>0</v>
      </c>
      <c r="S287" s="132"/>
      <c r="T287" s="132"/>
      <c r="U287" s="132"/>
      <c r="V287" s="132"/>
      <c r="W287" s="132"/>
      <c r="X287" s="132"/>
      <c r="Y287" s="132"/>
    </row>
    <row r="288" spans="1:25">
      <c r="A288" s="132">
        <v>286</v>
      </c>
      <c r="B288" s="126">
        <f t="shared" si="4"/>
        <v>45974</v>
      </c>
      <c r="C288" s="209">
        <f>YEAR(MC[[#This Row],[Date]])+IF(MONTH(MC[[#This Row],[Date]])&gt;=4,1,0)</f>
        <v>2026</v>
      </c>
      <c r="D288" s="129">
        <f>YEAR(MC[[#This Row],[Date]])</f>
        <v>2025</v>
      </c>
      <c r="E288" s="287" t="s">
        <v>156</v>
      </c>
      <c r="F288" s="287" t="s">
        <v>156</v>
      </c>
      <c r="G288" s="4" t="str">
        <f>TEXT(MC[[#This Row],[Date]],"mmm-yy")</f>
        <v>Nov-25</v>
      </c>
      <c r="H288" s="4">
        <f>DAY(EOMONTH(MC[[#This Row],[Month Year]],0))</f>
        <v>30</v>
      </c>
      <c r="I288" s="132"/>
      <c r="J288" s="288"/>
      <c r="K288" s="132"/>
      <c r="L288" s="132"/>
      <c r="M288" s="132"/>
      <c r="N288" s="132"/>
      <c r="O288" s="132"/>
      <c r="P288" s="125"/>
      <c r="Q288" s="125"/>
      <c r="R288" s="4">
        <f>SUM(MC[[#This Row],[ICR1]:[ICR12]])</f>
        <v>0</v>
      </c>
      <c r="S288" s="133"/>
      <c r="T288" s="133"/>
      <c r="U288" s="133"/>
      <c r="V288" s="133"/>
      <c r="W288" s="288"/>
      <c r="X288" s="132"/>
      <c r="Y288" s="132"/>
    </row>
    <row r="289" spans="1:25">
      <c r="A289" s="132">
        <v>287</v>
      </c>
      <c r="B289" s="126">
        <f t="shared" si="4"/>
        <v>45975</v>
      </c>
      <c r="C289" s="209">
        <f>YEAR(MC[[#This Row],[Date]])+IF(MONTH(MC[[#This Row],[Date]])&gt;=4,1,0)</f>
        <v>2026</v>
      </c>
      <c r="D289" s="129">
        <f>YEAR(MC[[#This Row],[Date]])</f>
        <v>2025</v>
      </c>
      <c r="E289" s="287" t="s">
        <v>156</v>
      </c>
      <c r="F289" s="287" t="s">
        <v>156</v>
      </c>
      <c r="G289" s="4" t="str">
        <f>TEXT(MC[[#This Row],[Date]],"mmm-yy")</f>
        <v>Nov-25</v>
      </c>
      <c r="H289" s="4">
        <f>DAY(EOMONTH(MC[[#This Row],[Month Year]],0))</f>
        <v>30</v>
      </c>
      <c r="I289" s="132"/>
      <c r="J289" s="288"/>
      <c r="K289" s="132"/>
      <c r="L289" s="132"/>
      <c r="M289" s="132"/>
      <c r="N289" s="132"/>
      <c r="O289" s="132"/>
      <c r="P289" s="125"/>
      <c r="Q289" s="125"/>
      <c r="R289" s="4">
        <f>SUM(MC[[#This Row],[ICR1]:[ICR12]])</f>
        <v>0</v>
      </c>
      <c r="S289" s="133"/>
      <c r="T289" s="133"/>
      <c r="U289" s="133"/>
      <c r="V289" s="133"/>
      <c r="W289" s="288"/>
      <c r="X289" s="132"/>
      <c r="Y289" s="132"/>
    </row>
    <row r="290" spans="1:25">
      <c r="A290" s="132">
        <v>288</v>
      </c>
      <c r="B290" s="126">
        <f t="shared" si="4"/>
        <v>45976</v>
      </c>
      <c r="C290" s="209">
        <f>YEAR(MC[[#This Row],[Date]])+IF(MONTH(MC[[#This Row],[Date]])&gt;=4,1,0)</f>
        <v>2026</v>
      </c>
      <c r="D290" s="129">
        <f>YEAR(MC[[#This Row],[Date]])</f>
        <v>2025</v>
      </c>
      <c r="E290" s="287" t="s">
        <v>156</v>
      </c>
      <c r="F290" s="287" t="s">
        <v>156</v>
      </c>
      <c r="G290" s="4" t="str">
        <f>TEXT(MC[[#This Row],[Date]],"mmm-yy")</f>
        <v>Nov-25</v>
      </c>
      <c r="H290" s="4">
        <f>DAY(EOMONTH(MC[[#This Row],[Month Year]],0))</f>
        <v>30</v>
      </c>
      <c r="I290" s="132"/>
      <c r="J290" s="288"/>
      <c r="K290" s="132"/>
      <c r="L290" s="132"/>
      <c r="M290" s="132"/>
      <c r="N290" s="132"/>
      <c r="O290" s="132"/>
      <c r="P290" s="125"/>
      <c r="Q290" s="125"/>
      <c r="R290" s="4">
        <f>SUM(MC[[#This Row],[ICR1]:[ICR12]])</f>
        <v>0</v>
      </c>
      <c r="S290" s="133"/>
      <c r="T290" s="133"/>
      <c r="U290" s="133"/>
      <c r="V290" s="133"/>
      <c r="W290" s="288"/>
      <c r="X290" s="132"/>
      <c r="Y290" s="132"/>
    </row>
    <row r="291" spans="1:25">
      <c r="A291" s="132">
        <v>289</v>
      </c>
      <c r="B291" s="126">
        <f t="shared" si="4"/>
        <v>45977</v>
      </c>
      <c r="C291" s="209">
        <f>YEAR(MC[[#This Row],[Date]])+IF(MONTH(MC[[#This Row],[Date]])&gt;=4,1,0)</f>
        <v>2026</v>
      </c>
      <c r="D291" s="129">
        <f>YEAR(MC[[#This Row],[Date]])</f>
        <v>2025</v>
      </c>
      <c r="E291" s="287" t="s">
        <v>156</v>
      </c>
      <c r="F291" s="287" t="s">
        <v>156</v>
      </c>
      <c r="G291" s="4" t="str">
        <f>TEXT(MC[[#This Row],[Date]],"mmm-yy")</f>
        <v>Nov-25</v>
      </c>
      <c r="H291" s="4">
        <f>DAY(EOMONTH(MC[[#This Row],[Month Year]],0))</f>
        <v>30</v>
      </c>
      <c r="I291" s="132"/>
      <c r="J291" s="288"/>
      <c r="K291" s="132"/>
      <c r="L291" s="132"/>
      <c r="M291" s="132"/>
      <c r="N291" s="132"/>
      <c r="O291" s="132"/>
      <c r="P291" s="125"/>
      <c r="Q291" s="125"/>
      <c r="R291" s="4">
        <f>SUM(MC[[#This Row],[ICR1]:[ICR12]])</f>
        <v>0</v>
      </c>
      <c r="S291" s="133"/>
      <c r="T291" s="133"/>
      <c r="U291" s="133"/>
      <c r="V291" s="133"/>
      <c r="W291" s="288"/>
      <c r="X291" s="132"/>
      <c r="Y291" s="132"/>
    </row>
    <row r="292" spans="1:25">
      <c r="A292" s="132">
        <v>290</v>
      </c>
      <c r="B292" s="126">
        <f t="shared" si="4"/>
        <v>45978</v>
      </c>
      <c r="C292" s="209">
        <f>YEAR(MC[[#This Row],[Date]])+IF(MONTH(MC[[#This Row],[Date]])&gt;=4,1,0)</f>
        <v>2026</v>
      </c>
      <c r="D292" s="129">
        <f>YEAR(MC[[#This Row],[Date]])</f>
        <v>2025</v>
      </c>
      <c r="E292" s="287" t="s">
        <v>156</v>
      </c>
      <c r="F292" s="287" t="s">
        <v>156</v>
      </c>
      <c r="G292" s="4" t="str">
        <f>TEXT(MC[[#This Row],[Date]],"mmm-yy")</f>
        <v>Nov-25</v>
      </c>
      <c r="H292" s="4">
        <f>DAY(EOMONTH(MC[[#This Row],[Month Year]],0))</f>
        <v>30</v>
      </c>
      <c r="I292" s="132"/>
      <c r="J292" s="288"/>
      <c r="K292" s="132"/>
      <c r="L292" s="132"/>
      <c r="M292" s="132"/>
      <c r="N292" s="132"/>
      <c r="O292" s="132"/>
      <c r="P292" s="125"/>
      <c r="Q292" s="125"/>
      <c r="R292" s="4">
        <f>SUM(MC[[#This Row],[ICR1]:[ICR12]])</f>
        <v>0</v>
      </c>
      <c r="S292" s="133"/>
      <c r="T292" s="133"/>
      <c r="U292" s="133"/>
      <c r="V292" s="133"/>
      <c r="W292" s="288"/>
      <c r="X292" s="132"/>
      <c r="Y292" s="132"/>
    </row>
    <row r="293" spans="1:25">
      <c r="A293" s="132">
        <v>291</v>
      </c>
      <c r="B293" s="126">
        <f t="shared" si="4"/>
        <v>45979</v>
      </c>
      <c r="C293" s="209">
        <f>YEAR(MC[[#This Row],[Date]])+IF(MONTH(MC[[#This Row],[Date]])&gt;=4,1,0)</f>
        <v>2026</v>
      </c>
      <c r="D293" s="129">
        <f>YEAR(MC[[#This Row],[Date]])</f>
        <v>2025</v>
      </c>
      <c r="E293" s="287" t="s">
        <v>156</v>
      </c>
      <c r="F293" s="287" t="s">
        <v>156</v>
      </c>
      <c r="G293" s="4" t="str">
        <f>TEXT(MC[[#This Row],[Date]],"mmm-yy")</f>
        <v>Nov-25</v>
      </c>
      <c r="H293" s="4">
        <f>DAY(EOMONTH(MC[[#This Row],[Month Year]],0))</f>
        <v>30</v>
      </c>
      <c r="I293" s="132"/>
      <c r="J293" s="288"/>
      <c r="K293" s="132"/>
      <c r="L293" s="132"/>
      <c r="M293" s="132"/>
      <c r="N293" s="132"/>
      <c r="O293" s="132"/>
      <c r="P293" s="125"/>
      <c r="Q293" s="125"/>
      <c r="R293" s="4">
        <f>SUM(MC[[#This Row],[ICR1]:[ICR12]])</f>
        <v>0</v>
      </c>
      <c r="S293" s="133"/>
      <c r="T293" s="133"/>
      <c r="U293" s="133"/>
      <c r="V293" s="133"/>
      <c r="W293" s="288"/>
      <c r="X293" s="132"/>
      <c r="Y293" s="132"/>
    </row>
    <row r="294" spans="1:25">
      <c r="A294" s="132">
        <v>292</v>
      </c>
      <c r="B294" s="126">
        <f t="shared" si="4"/>
        <v>45980</v>
      </c>
      <c r="C294" s="209">
        <f>YEAR(MC[[#This Row],[Date]])+IF(MONTH(MC[[#This Row],[Date]])&gt;=4,1,0)</f>
        <v>2026</v>
      </c>
      <c r="D294" s="129">
        <f>YEAR(MC[[#This Row],[Date]])</f>
        <v>2025</v>
      </c>
      <c r="E294" s="287" t="s">
        <v>156</v>
      </c>
      <c r="F294" s="287" t="s">
        <v>156</v>
      </c>
      <c r="G294" s="4" t="str">
        <f>TEXT(MC[[#This Row],[Date]],"mmm-yy")</f>
        <v>Nov-25</v>
      </c>
      <c r="H294" s="4">
        <f>DAY(EOMONTH(MC[[#This Row],[Month Year]],0))</f>
        <v>30</v>
      </c>
      <c r="I294" s="132"/>
      <c r="J294" s="288"/>
      <c r="K294" s="132"/>
      <c r="L294" s="132"/>
      <c r="M294" s="132"/>
      <c r="N294" s="132"/>
      <c r="O294" s="132"/>
      <c r="P294" s="125"/>
      <c r="Q294" s="125"/>
      <c r="R294" s="4">
        <f>SUM(MC[[#This Row],[ICR1]:[ICR12]])</f>
        <v>0</v>
      </c>
      <c r="S294" s="133"/>
      <c r="T294" s="133"/>
      <c r="U294" s="133"/>
      <c r="V294" s="133"/>
      <c r="W294" s="288"/>
      <c r="X294" s="132"/>
      <c r="Y294" s="132"/>
    </row>
    <row r="295" spans="1:25">
      <c r="A295" s="132">
        <v>293</v>
      </c>
      <c r="B295" s="126">
        <f t="shared" si="4"/>
        <v>45981</v>
      </c>
      <c r="C295" s="209">
        <f>YEAR(MC[[#This Row],[Date]])+IF(MONTH(MC[[#This Row],[Date]])&gt;=4,1,0)</f>
        <v>2026</v>
      </c>
      <c r="D295" s="129">
        <f>YEAR(MC[[#This Row],[Date]])</f>
        <v>2025</v>
      </c>
      <c r="E295" s="287" t="s">
        <v>156</v>
      </c>
      <c r="F295" s="287" t="s">
        <v>156</v>
      </c>
      <c r="G295" s="4" t="str">
        <f>TEXT(MC[[#This Row],[Date]],"mmm-yy")</f>
        <v>Nov-25</v>
      </c>
      <c r="H295" s="4">
        <f>DAY(EOMONTH(MC[[#This Row],[Month Year]],0))</f>
        <v>30</v>
      </c>
      <c r="I295" s="132"/>
      <c r="J295" s="288"/>
      <c r="K295" s="132"/>
      <c r="L295" s="132"/>
      <c r="M295" s="132"/>
      <c r="N295" s="132"/>
      <c r="O295" s="132"/>
      <c r="P295" s="125"/>
      <c r="Q295" s="125"/>
      <c r="R295" s="4">
        <f>SUM(MC[[#This Row],[ICR1]:[ICR12]])</f>
        <v>0</v>
      </c>
      <c r="S295" s="133"/>
      <c r="T295" s="133"/>
      <c r="U295" s="133"/>
      <c r="V295" s="133"/>
      <c r="W295" s="288"/>
      <c r="X295" s="132"/>
      <c r="Y295" s="132"/>
    </row>
    <row r="296" spans="1:25">
      <c r="A296" s="132">
        <v>294</v>
      </c>
      <c r="B296" s="126">
        <f t="shared" si="4"/>
        <v>45982</v>
      </c>
      <c r="C296" s="209">
        <f>YEAR(MC[[#This Row],[Date]])+IF(MONTH(MC[[#This Row],[Date]])&gt;=4,1,0)</f>
        <v>2026</v>
      </c>
      <c r="D296" s="129">
        <f>YEAR(MC[[#This Row],[Date]])</f>
        <v>2025</v>
      </c>
      <c r="E296" s="287" t="s">
        <v>156</v>
      </c>
      <c r="F296" s="287" t="s">
        <v>156</v>
      </c>
      <c r="G296" s="4" t="str">
        <f>TEXT(MC[[#This Row],[Date]],"mmm-yy")</f>
        <v>Nov-25</v>
      </c>
      <c r="H296" s="4">
        <f>DAY(EOMONTH(MC[[#This Row],[Month Year]],0))</f>
        <v>30</v>
      </c>
      <c r="I296" s="132"/>
      <c r="J296" s="288"/>
      <c r="K296" s="132"/>
      <c r="L296" s="132"/>
      <c r="M296" s="132"/>
      <c r="N296" s="132"/>
      <c r="O296" s="132"/>
      <c r="P296" s="125"/>
      <c r="Q296" s="125"/>
      <c r="R296" s="4">
        <f>SUM(MC[[#This Row],[ICR1]:[ICR12]])</f>
        <v>0</v>
      </c>
      <c r="S296" s="133"/>
      <c r="T296" s="133"/>
      <c r="U296" s="133"/>
      <c r="V296" s="133"/>
      <c r="W296" s="288"/>
      <c r="X296" s="132"/>
      <c r="Y296" s="132"/>
    </row>
    <row r="297" spans="1:25">
      <c r="A297" s="132">
        <v>295</v>
      </c>
      <c r="B297" s="126">
        <f t="shared" si="4"/>
        <v>45983</v>
      </c>
      <c r="C297" s="209">
        <f>YEAR(MC[[#This Row],[Date]])+IF(MONTH(MC[[#This Row],[Date]])&gt;=4,1,0)</f>
        <v>2026</v>
      </c>
      <c r="D297" s="129">
        <f>YEAR(MC[[#This Row],[Date]])</f>
        <v>2025</v>
      </c>
      <c r="E297" s="287" t="s">
        <v>156</v>
      </c>
      <c r="F297" s="287" t="s">
        <v>156</v>
      </c>
      <c r="G297" s="4" t="str">
        <f>TEXT(MC[[#This Row],[Date]],"mmm-yy")</f>
        <v>Nov-25</v>
      </c>
      <c r="H297" s="4">
        <f>DAY(EOMONTH(MC[[#This Row],[Month Year]],0))</f>
        <v>30</v>
      </c>
      <c r="I297" s="132"/>
      <c r="J297" s="288"/>
      <c r="K297" s="132"/>
      <c r="L297" s="132"/>
      <c r="M297" s="132"/>
      <c r="N297" s="132"/>
      <c r="O297" s="132"/>
      <c r="P297" s="125"/>
      <c r="Q297" s="125"/>
      <c r="R297" s="4">
        <f>SUM(MC[[#This Row],[ICR1]:[ICR12]])</f>
        <v>0</v>
      </c>
      <c r="S297" s="133"/>
      <c r="T297" s="133"/>
      <c r="U297" s="133"/>
      <c r="V297" s="133"/>
      <c r="W297" s="288"/>
      <c r="X297" s="132"/>
      <c r="Y297" s="132"/>
    </row>
    <row r="298" spans="1:25">
      <c r="A298" s="132">
        <v>296</v>
      </c>
      <c r="B298" s="126">
        <f t="shared" si="4"/>
        <v>45984</v>
      </c>
      <c r="C298" s="209">
        <f>YEAR(MC[[#This Row],[Date]])+IF(MONTH(MC[[#This Row],[Date]])&gt;=4,1,0)</f>
        <v>2026</v>
      </c>
      <c r="D298" s="129">
        <f>YEAR(MC[[#This Row],[Date]])</f>
        <v>2025</v>
      </c>
      <c r="E298" s="287" t="s">
        <v>156</v>
      </c>
      <c r="F298" s="287" t="s">
        <v>156</v>
      </c>
      <c r="G298" s="4" t="str">
        <f>TEXT(MC[[#This Row],[Date]],"mmm-yy")</f>
        <v>Nov-25</v>
      </c>
      <c r="H298" s="4">
        <f>DAY(EOMONTH(MC[[#This Row],[Month Year]],0))</f>
        <v>30</v>
      </c>
      <c r="I298" s="132"/>
      <c r="J298" s="288"/>
      <c r="K298" s="132"/>
      <c r="L298" s="132"/>
      <c r="M298" s="132"/>
      <c r="N298" s="132"/>
      <c r="O298" s="132"/>
      <c r="P298" s="125"/>
      <c r="Q298" s="125"/>
      <c r="R298" s="4">
        <f>SUM(MC[[#This Row],[ICR1]:[ICR12]])</f>
        <v>0</v>
      </c>
      <c r="S298" s="133"/>
      <c r="T298" s="133"/>
      <c r="U298" s="133"/>
      <c r="V298" s="133"/>
      <c r="W298" s="288"/>
      <c r="X298" s="132"/>
      <c r="Y298" s="132"/>
    </row>
    <row r="299" spans="1:25">
      <c r="A299" s="132">
        <v>297</v>
      </c>
      <c r="B299" s="126">
        <f t="shared" si="4"/>
        <v>45985</v>
      </c>
      <c r="C299" s="209">
        <f>YEAR(MC[[#This Row],[Date]])+IF(MONTH(MC[[#This Row],[Date]])&gt;=4,1,0)</f>
        <v>2026</v>
      </c>
      <c r="D299" s="129">
        <f>YEAR(MC[[#This Row],[Date]])</f>
        <v>2025</v>
      </c>
      <c r="E299" s="287" t="s">
        <v>156</v>
      </c>
      <c r="F299" s="287" t="s">
        <v>156</v>
      </c>
      <c r="G299" s="4" t="str">
        <f>TEXT(MC[[#This Row],[Date]],"mmm-yy")</f>
        <v>Nov-25</v>
      </c>
      <c r="H299" s="4">
        <f>DAY(EOMONTH(MC[[#This Row],[Month Year]],0))</f>
        <v>30</v>
      </c>
      <c r="I299" s="132"/>
      <c r="J299" s="288"/>
      <c r="K299" s="132"/>
      <c r="L299" s="132"/>
      <c r="M299" s="132"/>
      <c r="N299" s="132"/>
      <c r="O299" s="132"/>
      <c r="P299" s="125"/>
      <c r="Q299" s="125"/>
      <c r="R299" s="4">
        <f>SUM(MC[[#This Row],[ICR1]:[ICR12]])</f>
        <v>0</v>
      </c>
      <c r="S299" s="133"/>
      <c r="T299" s="133"/>
      <c r="U299" s="133"/>
      <c r="V299" s="133"/>
      <c r="W299" s="288"/>
      <c r="X299" s="132"/>
      <c r="Y299" s="132"/>
    </row>
    <row r="300" spans="1:25">
      <c r="A300" s="132">
        <v>298</v>
      </c>
      <c r="B300" s="126">
        <f t="shared" si="4"/>
        <v>45986</v>
      </c>
      <c r="C300" s="209">
        <f>YEAR(MC[[#This Row],[Date]])+IF(MONTH(MC[[#This Row],[Date]])&gt;=4,1,0)</f>
        <v>2026</v>
      </c>
      <c r="D300" s="129">
        <f>YEAR(MC[[#This Row],[Date]])</f>
        <v>2025</v>
      </c>
      <c r="E300" s="287" t="s">
        <v>156</v>
      </c>
      <c r="F300" s="287" t="s">
        <v>156</v>
      </c>
      <c r="G300" s="4" t="str">
        <f>TEXT(MC[[#This Row],[Date]],"mmm-yy")</f>
        <v>Nov-25</v>
      </c>
      <c r="H300" s="4">
        <f>DAY(EOMONTH(MC[[#This Row],[Month Year]],0))</f>
        <v>30</v>
      </c>
      <c r="I300" s="132"/>
      <c r="J300" s="288"/>
      <c r="K300" s="132"/>
      <c r="L300" s="132"/>
      <c r="M300" s="132"/>
      <c r="N300" s="132"/>
      <c r="O300" s="132"/>
      <c r="P300" s="125"/>
      <c r="Q300" s="125"/>
      <c r="R300" s="4">
        <f>SUM(MC[[#This Row],[ICR1]:[ICR12]])</f>
        <v>0</v>
      </c>
      <c r="S300" s="133"/>
      <c r="T300" s="133"/>
      <c r="U300" s="133"/>
      <c r="V300" s="133"/>
      <c r="W300" s="288"/>
      <c r="X300" s="132"/>
      <c r="Y300" s="132"/>
    </row>
    <row r="301" spans="1:25">
      <c r="A301" s="132">
        <v>299</v>
      </c>
      <c r="B301" s="126">
        <f t="shared" si="4"/>
        <v>45987</v>
      </c>
      <c r="C301" s="209">
        <f>YEAR(MC[[#This Row],[Date]])+IF(MONTH(MC[[#This Row],[Date]])&gt;=4,1,0)</f>
        <v>2026</v>
      </c>
      <c r="D301" s="129">
        <f>YEAR(MC[[#This Row],[Date]])</f>
        <v>2025</v>
      </c>
      <c r="E301" s="287" t="s">
        <v>156</v>
      </c>
      <c r="F301" s="287" t="s">
        <v>156</v>
      </c>
      <c r="G301" s="4" t="str">
        <f>TEXT(MC[[#This Row],[Date]],"mmm-yy")</f>
        <v>Nov-25</v>
      </c>
      <c r="H301" s="4">
        <f>DAY(EOMONTH(MC[[#This Row],[Month Year]],0))</f>
        <v>30</v>
      </c>
      <c r="I301" s="132"/>
      <c r="J301" s="288"/>
      <c r="K301" s="132"/>
      <c r="L301" s="132"/>
      <c r="M301" s="132"/>
      <c r="N301" s="132"/>
      <c r="O301" s="132"/>
      <c r="P301" s="125"/>
      <c r="Q301" s="125"/>
      <c r="R301" s="4">
        <f>SUM(MC[[#This Row],[ICR1]:[ICR12]])</f>
        <v>0</v>
      </c>
      <c r="S301" s="133"/>
      <c r="T301" s="133"/>
      <c r="U301" s="133"/>
      <c r="V301" s="133"/>
      <c r="W301" s="288"/>
      <c r="X301" s="132"/>
      <c r="Y301" s="132"/>
    </row>
    <row r="302" spans="1:25">
      <c r="A302" s="132">
        <v>300</v>
      </c>
      <c r="B302" s="126">
        <f t="shared" si="4"/>
        <v>45988</v>
      </c>
      <c r="C302" s="209">
        <f>YEAR(MC[[#This Row],[Date]])+IF(MONTH(MC[[#This Row],[Date]])&gt;=4,1,0)</f>
        <v>2026</v>
      </c>
      <c r="D302" s="129">
        <f>YEAR(MC[[#This Row],[Date]])</f>
        <v>2025</v>
      </c>
      <c r="E302" s="287" t="s">
        <v>156</v>
      </c>
      <c r="F302" s="287" t="s">
        <v>156</v>
      </c>
      <c r="G302" s="4" t="str">
        <f>TEXT(MC[[#This Row],[Date]],"mmm-yy")</f>
        <v>Nov-25</v>
      </c>
      <c r="H302" s="4">
        <f>DAY(EOMONTH(MC[[#This Row],[Month Year]],0))</f>
        <v>30</v>
      </c>
      <c r="I302" s="132"/>
      <c r="J302" s="288"/>
      <c r="K302" s="132"/>
      <c r="L302" s="132"/>
      <c r="M302" s="132"/>
      <c r="N302" s="132"/>
      <c r="O302" s="132"/>
      <c r="P302" s="125"/>
      <c r="Q302" s="125"/>
      <c r="R302" s="4">
        <f>SUM(MC[[#This Row],[ICR1]:[ICR12]])</f>
        <v>0</v>
      </c>
      <c r="S302" s="133"/>
      <c r="T302" s="133"/>
      <c r="U302" s="133"/>
      <c r="V302" s="133"/>
      <c r="W302" s="288"/>
      <c r="X302" s="132"/>
      <c r="Y302" s="132"/>
    </row>
    <row r="303" spans="1:25">
      <c r="A303" s="132">
        <v>301</v>
      </c>
      <c r="B303" s="126">
        <f t="shared" si="4"/>
        <v>45989</v>
      </c>
      <c r="C303" s="209">
        <f>YEAR(MC[[#This Row],[Date]])+IF(MONTH(MC[[#This Row],[Date]])&gt;=4,1,0)</f>
        <v>2026</v>
      </c>
      <c r="D303" s="129">
        <f>YEAR(MC[[#This Row],[Date]])</f>
        <v>2025</v>
      </c>
      <c r="E303" s="287" t="s">
        <v>156</v>
      </c>
      <c r="F303" s="287" t="s">
        <v>156</v>
      </c>
      <c r="G303" s="4" t="str">
        <f>TEXT(MC[[#This Row],[Date]],"mmm-yy")</f>
        <v>Nov-25</v>
      </c>
      <c r="H303" s="4">
        <f>DAY(EOMONTH(MC[[#This Row],[Month Year]],0))</f>
        <v>30</v>
      </c>
      <c r="I303" s="132"/>
      <c r="J303" s="288"/>
      <c r="K303" s="132"/>
      <c r="L303" s="132"/>
      <c r="M303" s="132"/>
      <c r="N303" s="132"/>
      <c r="O303" s="132"/>
      <c r="P303" s="125"/>
      <c r="Q303" s="125"/>
      <c r="R303" s="4">
        <f>SUM(MC[[#This Row],[ICR1]:[ICR12]])</f>
        <v>0</v>
      </c>
      <c r="S303" s="133"/>
      <c r="T303" s="133"/>
      <c r="U303" s="133"/>
      <c r="V303" s="133"/>
      <c r="W303" s="288"/>
      <c r="X303" s="132"/>
      <c r="Y303" s="132"/>
    </row>
    <row r="304" spans="1:25">
      <c r="A304" s="132">
        <v>302</v>
      </c>
      <c r="B304" s="126">
        <f t="shared" si="4"/>
        <v>45990</v>
      </c>
      <c r="C304" s="209">
        <f>YEAR(MC[[#This Row],[Date]])+IF(MONTH(MC[[#This Row],[Date]])&gt;=4,1,0)</f>
        <v>2026</v>
      </c>
      <c r="D304" s="129">
        <f>YEAR(MC[[#This Row],[Date]])</f>
        <v>2025</v>
      </c>
      <c r="E304" s="287" t="s">
        <v>156</v>
      </c>
      <c r="F304" s="287" t="s">
        <v>156</v>
      </c>
      <c r="G304" s="4" t="str">
        <f>TEXT(MC[[#This Row],[Date]],"mmm-yy")</f>
        <v>Nov-25</v>
      </c>
      <c r="H304" s="4">
        <f>DAY(EOMONTH(MC[[#This Row],[Month Year]],0))</f>
        <v>30</v>
      </c>
      <c r="I304" s="132"/>
      <c r="J304" s="288"/>
      <c r="K304" s="132"/>
      <c r="L304" s="132"/>
      <c r="M304" s="132"/>
      <c r="N304" s="132"/>
      <c r="O304" s="132"/>
      <c r="P304" s="125"/>
      <c r="Q304" s="125"/>
      <c r="R304" s="4">
        <f>SUM(MC[[#This Row],[ICR1]:[ICR12]])</f>
        <v>0</v>
      </c>
      <c r="S304" s="133"/>
      <c r="T304" s="133"/>
      <c r="U304" s="133"/>
      <c r="V304" s="133"/>
      <c r="W304" s="288"/>
      <c r="X304" s="132"/>
      <c r="Y304" s="132"/>
    </row>
    <row r="305" spans="1:25">
      <c r="A305" s="132">
        <v>303</v>
      </c>
      <c r="B305" s="126">
        <f t="shared" si="4"/>
        <v>45991</v>
      </c>
      <c r="C305" s="209">
        <f>YEAR(MC[[#This Row],[Date]])+IF(MONTH(MC[[#This Row],[Date]])&gt;=4,1,0)</f>
        <v>2026</v>
      </c>
      <c r="D305" s="129">
        <f>YEAR(MC[[#This Row],[Date]])</f>
        <v>2025</v>
      </c>
      <c r="E305" s="287" t="s">
        <v>156</v>
      </c>
      <c r="F305" s="287" t="s">
        <v>156</v>
      </c>
      <c r="G305" s="4" t="str">
        <f>TEXT(MC[[#This Row],[Date]],"mmm-yy")</f>
        <v>Nov-25</v>
      </c>
      <c r="H305" s="4">
        <f>DAY(EOMONTH(MC[[#This Row],[Month Year]],0))</f>
        <v>30</v>
      </c>
      <c r="I305" s="132"/>
      <c r="J305" s="132"/>
      <c r="K305" s="132"/>
      <c r="L305" s="132"/>
      <c r="M305" s="132"/>
      <c r="N305" s="132"/>
      <c r="O305" s="132"/>
      <c r="P305" s="125"/>
      <c r="Q305" s="125"/>
      <c r="R305" s="4">
        <f>SUM(MC[[#This Row],[ICR1]:[ICR12]])</f>
        <v>0</v>
      </c>
      <c r="S305" s="133"/>
      <c r="T305" s="133"/>
      <c r="U305" s="133"/>
      <c r="V305" s="133"/>
      <c r="W305" s="288"/>
      <c r="X305" s="132"/>
      <c r="Y305" s="132"/>
    </row>
    <row r="306" spans="1:25">
      <c r="A306" s="132">
        <v>304</v>
      </c>
      <c r="B306" s="126">
        <f t="shared" si="4"/>
        <v>45992</v>
      </c>
      <c r="C306" s="209">
        <f>YEAR(MC[[#This Row],[Date]])+IF(MONTH(MC[[#This Row],[Date]])&gt;=4,1,0)</f>
        <v>2026</v>
      </c>
      <c r="D306" s="129">
        <f>YEAR(MC[[#This Row],[Date]])</f>
        <v>2025</v>
      </c>
      <c r="E306" s="287" t="s">
        <v>156</v>
      </c>
      <c r="F306" s="287" t="s">
        <v>156</v>
      </c>
      <c r="G306" s="4" t="str">
        <f>TEXT(MC[[#This Row],[Date]],"mmm-yy")</f>
        <v>Dec-25</v>
      </c>
      <c r="H306" s="4">
        <f>DAY(EOMONTH(MC[[#This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25"/>
      <c r="Q306" s="125"/>
      <c r="R306" s="4">
        <f>SUM(MC[[#This Row],[ICR1]:[ICR12]])</f>
        <v>0</v>
      </c>
      <c r="S306" s="133"/>
      <c r="T306" s="133"/>
      <c r="U306" s="133"/>
      <c r="V306" s="133"/>
      <c r="W306" s="288"/>
      <c r="X306" s="132"/>
      <c r="Y306" s="132"/>
    </row>
    <row r="307" spans="1:25">
      <c r="A307" s="132">
        <v>305</v>
      </c>
      <c r="B307" s="126">
        <f t="shared" si="4"/>
        <v>45993</v>
      </c>
      <c r="C307" s="209">
        <f>YEAR(MC[[#This Row],[Date]])+IF(MONTH(MC[[#This Row],[Date]])&gt;=4,1,0)</f>
        <v>2026</v>
      </c>
      <c r="D307" s="129">
        <f>YEAR(MC[[#This Row],[Date]])</f>
        <v>2025</v>
      </c>
      <c r="E307" s="287" t="s">
        <v>156</v>
      </c>
      <c r="F307" s="287" t="s">
        <v>156</v>
      </c>
      <c r="G307" s="4" t="str">
        <f>TEXT(MC[[#This Row],[Date]],"mmm-yy")</f>
        <v>Dec-25</v>
      </c>
      <c r="H307" s="4">
        <f>DAY(EOMONTH(MC[[#This Row],[Month Year]],0))</f>
        <v>31</v>
      </c>
      <c r="I307" s="132"/>
      <c r="J307" s="132"/>
      <c r="K307" s="132"/>
      <c r="L307" s="132"/>
      <c r="M307" s="132"/>
      <c r="N307" s="132"/>
      <c r="O307" s="132"/>
      <c r="P307" s="125"/>
      <c r="Q307" s="125"/>
      <c r="R307" s="4">
        <f>SUM(MC[[#This Row],[ICR1]:[ICR12]])</f>
        <v>0</v>
      </c>
      <c r="S307" s="132"/>
      <c r="T307" s="132"/>
      <c r="U307" s="132"/>
      <c r="V307" s="132"/>
      <c r="W307" s="132"/>
      <c r="X307" s="132"/>
      <c r="Y307" s="132"/>
    </row>
    <row r="308" spans="1:25">
      <c r="A308" s="132">
        <v>306</v>
      </c>
      <c r="B308" s="126">
        <f t="shared" si="4"/>
        <v>45994</v>
      </c>
      <c r="C308" s="209">
        <f>YEAR(MC[[#This Row],[Date]])+IF(MONTH(MC[[#This Row],[Date]])&gt;=4,1,0)</f>
        <v>2026</v>
      </c>
      <c r="D308" s="129">
        <f>YEAR(MC[[#This Row],[Date]])</f>
        <v>2025</v>
      </c>
      <c r="E308" s="287" t="s">
        <v>156</v>
      </c>
      <c r="F308" s="287" t="s">
        <v>156</v>
      </c>
      <c r="G308" s="4" t="str">
        <f>TEXT(MC[[#This Row],[Date]],"mmm-yy")</f>
        <v>Dec-25</v>
      </c>
      <c r="H308" s="4">
        <f>DAY(EOMONTH(MC[[#This Row],[Month Year]],0))</f>
        <v>31</v>
      </c>
      <c r="I308" s="132"/>
      <c r="J308" s="132"/>
      <c r="K308" s="132"/>
      <c r="L308" s="132"/>
      <c r="M308" s="132"/>
      <c r="N308" s="132"/>
      <c r="O308" s="132"/>
      <c r="P308" s="125"/>
      <c r="Q308" s="125"/>
      <c r="R308" s="4">
        <f>SUM(MC[[#This Row],[ICR1]:[ICR12]])</f>
        <v>0</v>
      </c>
      <c r="S308" s="133"/>
      <c r="T308" s="133"/>
      <c r="U308" s="133"/>
      <c r="V308" s="133"/>
      <c r="W308" s="288"/>
      <c r="X308" s="132"/>
      <c r="Y308" s="132"/>
    </row>
    <row r="309" spans="1:25">
      <c r="A309" s="132">
        <v>307</v>
      </c>
      <c r="B309" s="126">
        <f t="shared" si="4"/>
        <v>45995</v>
      </c>
      <c r="C309" s="209">
        <f>YEAR(MC[[#This Row],[Date]])+IF(MONTH(MC[[#This Row],[Date]])&gt;=4,1,0)</f>
        <v>2026</v>
      </c>
      <c r="D309" s="129">
        <f>YEAR(MC[[#This Row],[Date]])</f>
        <v>2025</v>
      </c>
      <c r="E309" s="287" t="s">
        <v>156</v>
      </c>
      <c r="F309" s="287" t="s">
        <v>156</v>
      </c>
      <c r="G309" s="4" t="str">
        <f>TEXT(MC[[#This Row],[Date]],"mmm-yy")</f>
        <v>Dec-25</v>
      </c>
      <c r="H309" s="4">
        <f>DAY(EOMONTH(MC[[#This Row],[Month Year]],0))</f>
        <v>31</v>
      </c>
      <c r="I309" s="132"/>
      <c r="J309" s="132"/>
      <c r="K309" s="132"/>
      <c r="L309" s="132"/>
      <c r="M309" s="132"/>
      <c r="N309" s="132"/>
      <c r="O309" s="132"/>
      <c r="P309" s="125"/>
      <c r="Q309" s="125"/>
      <c r="R309" s="4">
        <f>SUM(MC[[#This Row],[ICR1]:[ICR12]])</f>
        <v>0</v>
      </c>
      <c r="S309" s="133"/>
      <c r="T309" s="133"/>
      <c r="U309" s="133"/>
      <c r="V309" s="133"/>
      <c r="W309" s="288"/>
      <c r="X309" s="132"/>
      <c r="Y309" s="132"/>
    </row>
    <row r="310" spans="1:25">
      <c r="A310" s="132">
        <v>308</v>
      </c>
      <c r="B310" s="126">
        <f t="shared" si="4"/>
        <v>45996</v>
      </c>
      <c r="C310" s="209">
        <f>YEAR(MC[[#This Row],[Date]])+IF(MONTH(MC[[#This Row],[Date]])&gt;=4,1,0)</f>
        <v>2026</v>
      </c>
      <c r="D310" s="129">
        <f>YEAR(MC[[#This Row],[Date]])</f>
        <v>2025</v>
      </c>
      <c r="E310" s="287" t="s">
        <v>156</v>
      </c>
      <c r="F310" s="287" t="s">
        <v>156</v>
      </c>
      <c r="G310" s="4" t="str">
        <f>TEXT(MC[[#This Row],[Date]],"mmm-yy")</f>
        <v>Dec-25</v>
      </c>
      <c r="H310" s="4">
        <f>DAY(EOMONTH(MC[[#This Row],[Month Year]],0))</f>
        <v>31</v>
      </c>
      <c r="I310" s="132"/>
      <c r="J310" s="132"/>
      <c r="K310" s="132"/>
      <c r="L310" s="132"/>
      <c r="M310" s="132"/>
      <c r="N310" s="132"/>
      <c r="O310" s="132"/>
      <c r="P310" s="125"/>
      <c r="Q310" s="125"/>
      <c r="R310" s="4">
        <f>SUM(MC[[#This Row],[ICR1]:[ICR12]])</f>
        <v>0</v>
      </c>
      <c r="S310" s="133"/>
      <c r="T310" s="133"/>
      <c r="U310" s="133"/>
      <c r="V310" s="133"/>
      <c r="W310" s="288"/>
      <c r="X310" s="132"/>
      <c r="Y310" s="132"/>
    </row>
    <row r="311" spans="1:25">
      <c r="A311" s="132">
        <v>309</v>
      </c>
      <c r="B311" s="126">
        <f t="shared" si="4"/>
        <v>45997</v>
      </c>
      <c r="C311" s="209">
        <f>YEAR(MC[[#This Row],[Date]])+IF(MONTH(MC[[#This Row],[Date]])&gt;=4,1,0)</f>
        <v>2026</v>
      </c>
      <c r="D311" s="129">
        <f>YEAR(MC[[#This Row],[Date]])</f>
        <v>2025</v>
      </c>
      <c r="E311" s="287" t="s">
        <v>156</v>
      </c>
      <c r="F311" s="287" t="s">
        <v>156</v>
      </c>
      <c r="G311" s="4" t="str">
        <f>TEXT(MC[[#This Row],[Date]],"mmm-yy")</f>
        <v>Dec-25</v>
      </c>
      <c r="H311" s="4">
        <f>DAY(EOMONTH(MC[[#This Row],[Month Year]],0))</f>
        <v>31</v>
      </c>
      <c r="I311" s="132"/>
      <c r="J311" s="132"/>
      <c r="K311" s="132"/>
      <c r="L311" s="132"/>
      <c r="M311" s="132"/>
      <c r="N311" s="132"/>
      <c r="O311" s="132"/>
      <c r="P311" s="125"/>
      <c r="Q311" s="125"/>
      <c r="R311" s="4">
        <f>SUM(MC[[#This Row],[ICR1]:[ICR12]])</f>
        <v>0</v>
      </c>
      <c r="S311" s="133"/>
      <c r="T311" s="133"/>
      <c r="U311" s="133"/>
      <c r="V311" s="133"/>
      <c r="W311" s="288"/>
      <c r="X311" s="132"/>
      <c r="Y311" s="132"/>
    </row>
    <row r="312" spans="1:25">
      <c r="A312" s="132">
        <v>310</v>
      </c>
      <c r="B312" s="126">
        <f t="shared" si="4"/>
        <v>45998</v>
      </c>
      <c r="C312" s="209">
        <f>YEAR(MC[[#This Row],[Date]])+IF(MONTH(MC[[#This Row],[Date]])&gt;=4,1,0)</f>
        <v>2026</v>
      </c>
      <c r="D312" s="129">
        <f>YEAR(MC[[#This Row],[Date]])</f>
        <v>2025</v>
      </c>
      <c r="E312" s="287" t="s">
        <v>156</v>
      </c>
      <c r="F312" s="287" t="s">
        <v>156</v>
      </c>
      <c r="G312" s="4" t="str">
        <f>TEXT(MC[[#This Row],[Date]],"mmm-yy")</f>
        <v>Dec-25</v>
      </c>
      <c r="H312" s="4">
        <f>DAY(EOMONTH(MC[[#This Row],[Month Year]],0))</f>
        <v>31</v>
      </c>
      <c r="I312" s="132"/>
      <c r="J312" s="132"/>
      <c r="K312" s="132"/>
      <c r="L312" s="132"/>
      <c r="M312" s="132"/>
      <c r="N312" s="132"/>
      <c r="O312" s="132"/>
      <c r="P312" s="125"/>
      <c r="Q312" s="125"/>
      <c r="R312" s="4">
        <f>SUM(MC[[#This Row],[ICR1]:[ICR12]])</f>
        <v>0</v>
      </c>
      <c r="S312" s="133"/>
      <c r="T312" s="133"/>
      <c r="U312" s="133"/>
      <c r="V312" s="133"/>
      <c r="W312" s="288"/>
      <c r="X312" s="132"/>
      <c r="Y312" s="132"/>
    </row>
    <row r="313" spans="1:25">
      <c r="A313" s="132">
        <v>311</v>
      </c>
      <c r="B313" s="126">
        <f t="shared" si="4"/>
        <v>45999</v>
      </c>
      <c r="C313" s="209">
        <f>YEAR(MC[[#This Row],[Date]])+IF(MONTH(MC[[#This Row],[Date]])&gt;=4,1,0)</f>
        <v>2026</v>
      </c>
      <c r="D313" s="129">
        <f>YEAR(MC[[#This Row],[Date]])</f>
        <v>2025</v>
      </c>
      <c r="E313" s="287" t="s">
        <v>156</v>
      </c>
      <c r="F313" s="287" t="s">
        <v>156</v>
      </c>
      <c r="G313" s="4" t="str">
        <f>TEXT(MC[[#This Row],[Date]],"mmm-yy")</f>
        <v>Dec-25</v>
      </c>
      <c r="H313" s="4">
        <f>DAY(EOMONTH(MC[[#This Row],[Month Year]],0))</f>
        <v>31</v>
      </c>
      <c r="I313" s="132"/>
      <c r="J313" s="132"/>
      <c r="K313" s="132"/>
      <c r="L313" s="132"/>
      <c r="M313" s="132"/>
      <c r="N313" s="132"/>
      <c r="O313" s="132"/>
      <c r="P313" s="125"/>
      <c r="Q313" s="125"/>
      <c r="R313" s="4">
        <f>SUM(MC[[#This Row],[ICR1]:[ICR12]])</f>
        <v>0</v>
      </c>
      <c r="S313" s="133"/>
      <c r="T313" s="133"/>
      <c r="U313" s="133"/>
      <c r="V313" s="133"/>
      <c r="W313" s="288"/>
      <c r="X313" s="132"/>
      <c r="Y313" s="132"/>
    </row>
    <row r="314" spans="1:25">
      <c r="A314" s="132">
        <v>312</v>
      </c>
      <c r="B314" s="126">
        <f t="shared" si="4"/>
        <v>46000</v>
      </c>
      <c r="C314" s="209">
        <f>YEAR(MC[[#This Row],[Date]])+IF(MONTH(MC[[#This Row],[Date]])&gt;=4,1,0)</f>
        <v>2026</v>
      </c>
      <c r="D314" s="129">
        <f>YEAR(MC[[#This Row],[Date]])</f>
        <v>2025</v>
      </c>
      <c r="E314" s="287" t="s">
        <v>156</v>
      </c>
      <c r="F314" s="287" t="s">
        <v>156</v>
      </c>
      <c r="G314" s="4" t="str">
        <f>TEXT(MC[[#This Row],[Date]],"mmm-yy")</f>
        <v>Dec-25</v>
      </c>
      <c r="H314" s="4">
        <f>DAY(EOMONTH(MC[[#This Row],[Month Year]],0))</f>
        <v>31</v>
      </c>
      <c r="I314" s="132"/>
      <c r="J314" s="132"/>
      <c r="K314" s="132"/>
      <c r="L314" s="132"/>
      <c r="M314" s="132"/>
      <c r="N314" s="132"/>
      <c r="O314" s="132"/>
      <c r="P314" s="125"/>
      <c r="Q314" s="125"/>
      <c r="R314" s="4">
        <f>SUM(MC[[#This Row],[ICR1]:[ICR12]])</f>
        <v>0</v>
      </c>
      <c r="S314" s="132"/>
      <c r="T314" s="132"/>
      <c r="U314" s="132"/>
      <c r="V314" s="132"/>
      <c r="W314" s="132"/>
      <c r="X314" s="132"/>
      <c r="Y314" s="132"/>
    </row>
    <row r="315" spans="1:25">
      <c r="A315" s="132">
        <v>313</v>
      </c>
      <c r="B315" s="126">
        <f t="shared" si="4"/>
        <v>46001</v>
      </c>
      <c r="C315" s="209">
        <f>YEAR(MC[[#This Row],[Date]])+IF(MONTH(MC[[#This Row],[Date]])&gt;=4,1,0)</f>
        <v>2026</v>
      </c>
      <c r="D315" s="129">
        <f>YEAR(MC[[#This Row],[Date]])</f>
        <v>2025</v>
      </c>
      <c r="E315" s="287" t="s">
        <v>156</v>
      </c>
      <c r="F315" s="287" t="s">
        <v>156</v>
      </c>
      <c r="G315" s="4" t="str">
        <f>TEXT(MC[[#This Row],[Date]],"mmm-yy")</f>
        <v>Dec-25</v>
      </c>
      <c r="H315" s="4">
        <f>DAY(EOMONTH(MC[[#This Row],[Month Year]],0))</f>
        <v>31</v>
      </c>
      <c r="I315" s="132"/>
      <c r="J315" s="132"/>
      <c r="K315" s="132"/>
      <c r="L315" s="132"/>
      <c r="M315" s="132"/>
      <c r="N315" s="132"/>
      <c r="O315" s="132"/>
      <c r="P315" s="125"/>
      <c r="Q315" s="125"/>
      <c r="R315" s="4">
        <f>SUM(MC[[#This Row],[ICR1]:[ICR12]])</f>
        <v>0</v>
      </c>
      <c r="S315" s="133"/>
      <c r="T315" s="133"/>
      <c r="U315" s="133"/>
      <c r="V315" s="133"/>
      <c r="W315" s="288"/>
      <c r="X315" s="132"/>
      <c r="Y315" s="132"/>
    </row>
    <row r="316" spans="1:25">
      <c r="A316" s="132">
        <v>314</v>
      </c>
      <c r="B316" s="126">
        <f t="shared" si="4"/>
        <v>46002</v>
      </c>
      <c r="C316" s="209">
        <f>YEAR(MC[[#This Row],[Date]])+IF(MONTH(MC[[#This Row],[Date]])&gt;=4,1,0)</f>
        <v>2026</v>
      </c>
      <c r="D316" s="129">
        <f>YEAR(MC[[#This Row],[Date]])</f>
        <v>2025</v>
      </c>
      <c r="E316" s="287" t="s">
        <v>156</v>
      </c>
      <c r="F316" s="287" t="s">
        <v>156</v>
      </c>
      <c r="G316" s="4" t="str">
        <f>TEXT(MC[[#This Row],[Date]],"mmm-yy")</f>
        <v>Dec-25</v>
      </c>
      <c r="H316" s="4">
        <f>DAY(EOMONTH(MC[[#This Row],[Month Year]],0))</f>
        <v>31</v>
      </c>
      <c r="I316" s="132"/>
      <c r="J316" s="132"/>
      <c r="K316" s="132"/>
      <c r="L316" s="132"/>
      <c r="M316" s="132"/>
      <c r="N316" s="132"/>
      <c r="O316" s="132"/>
      <c r="P316" s="125"/>
      <c r="Q316" s="125"/>
      <c r="R316" s="4">
        <f>SUM(MC[[#This Row],[ICR1]:[ICR12]])</f>
        <v>0</v>
      </c>
      <c r="S316" s="133"/>
      <c r="T316" s="133"/>
      <c r="U316" s="133"/>
      <c r="V316" s="133"/>
      <c r="W316" s="288"/>
      <c r="X316" s="132"/>
      <c r="Y316" s="132"/>
    </row>
    <row r="317" spans="1:25">
      <c r="A317" s="132">
        <v>315</v>
      </c>
      <c r="B317" s="126">
        <f t="shared" si="4"/>
        <v>46003</v>
      </c>
      <c r="C317" s="209">
        <f>YEAR(MC[[#This Row],[Date]])+IF(MONTH(MC[[#This Row],[Date]])&gt;=4,1,0)</f>
        <v>2026</v>
      </c>
      <c r="D317" s="129">
        <f>YEAR(MC[[#This Row],[Date]])</f>
        <v>2025</v>
      </c>
      <c r="E317" s="287" t="s">
        <v>156</v>
      </c>
      <c r="F317" s="287" t="s">
        <v>156</v>
      </c>
      <c r="G317" s="4" t="str">
        <f>TEXT(MC[[#This Row],[Date]],"mmm-yy")</f>
        <v>Dec-25</v>
      </c>
      <c r="H317" s="4">
        <f>DAY(EOMONTH(MC[[#This Row],[Month Year]],0))</f>
        <v>31</v>
      </c>
      <c r="I317" s="132"/>
      <c r="J317" s="132"/>
      <c r="K317" s="132"/>
      <c r="L317" s="132"/>
      <c r="M317" s="132"/>
      <c r="N317" s="132"/>
      <c r="O317" s="132"/>
      <c r="P317" s="125"/>
      <c r="Q317" s="125"/>
      <c r="R317" s="4">
        <f>SUM(MC[[#This Row],[ICR1]:[ICR12]])</f>
        <v>0</v>
      </c>
      <c r="S317" s="133"/>
      <c r="T317" s="133"/>
      <c r="U317" s="133"/>
      <c r="V317" s="133"/>
      <c r="W317" s="288"/>
      <c r="X317" s="132"/>
      <c r="Y317" s="132"/>
    </row>
    <row r="318" spans="1:25">
      <c r="A318" s="132">
        <v>316</v>
      </c>
      <c r="B318" s="126">
        <f t="shared" si="4"/>
        <v>46004</v>
      </c>
      <c r="C318" s="209">
        <f>YEAR(MC[[#This Row],[Date]])+IF(MONTH(MC[[#This Row],[Date]])&gt;=4,1,0)</f>
        <v>2026</v>
      </c>
      <c r="D318" s="129">
        <f>YEAR(MC[[#This Row],[Date]])</f>
        <v>2025</v>
      </c>
      <c r="E318" s="287" t="s">
        <v>156</v>
      </c>
      <c r="F318" s="287" t="s">
        <v>156</v>
      </c>
      <c r="G318" s="4" t="str">
        <f>TEXT(MC[[#This Row],[Date]],"mmm-yy")</f>
        <v>Dec-25</v>
      </c>
      <c r="H318" s="4">
        <f>DAY(EOMONTH(MC[[#This Row],[Month Year]],0))</f>
        <v>31</v>
      </c>
      <c r="I318" s="132"/>
      <c r="J318" s="132"/>
      <c r="K318" s="132"/>
      <c r="L318" s="132"/>
      <c r="M318" s="132"/>
      <c r="N318" s="132"/>
      <c r="O318" s="132"/>
      <c r="P318" s="125"/>
      <c r="Q318" s="125"/>
      <c r="R318" s="4">
        <f>SUM(MC[[#This Row],[ICR1]:[ICR12]])</f>
        <v>0</v>
      </c>
      <c r="S318" s="133"/>
      <c r="T318" s="133"/>
      <c r="U318" s="133"/>
      <c r="V318" s="133"/>
      <c r="W318" s="288"/>
      <c r="X318" s="132"/>
      <c r="Y318" s="132"/>
    </row>
    <row r="319" spans="1:25">
      <c r="A319" s="132">
        <v>317</v>
      </c>
      <c r="B319" s="126">
        <f t="shared" si="4"/>
        <v>46005</v>
      </c>
      <c r="C319" s="209">
        <f>YEAR(MC[[#This Row],[Date]])+IF(MONTH(MC[[#This Row],[Date]])&gt;=4,1,0)</f>
        <v>2026</v>
      </c>
      <c r="D319" s="129">
        <f>YEAR(MC[[#This Row],[Date]])</f>
        <v>2025</v>
      </c>
      <c r="E319" s="287" t="s">
        <v>156</v>
      </c>
      <c r="F319" s="287" t="s">
        <v>156</v>
      </c>
      <c r="G319" s="4" t="str">
        <f>TEXT(MC[[#This Row],[Date]],"mmm-yy")</f>
        <v>Dec-25</v>
      </c>
      <c r="H319" s="4">
        <f>DAY(EOMONTH(MC[[#This Row],[Month Year]],0))</f>
        <v>31</v>
      </c>
      <c r="I319" s="132"/>
      <c r="J319" s="132"/>
      <c r="K319" s="132"/>
      <c r="L319" s="132"/>
      <c r="M319" s="132"/>
      <c r="N319" s="132"/>
      <c r="O319" s="132"/>
      <c r="P319" s="125"/>
      <c r="Q319" s="125"/>
      <c r="R319" s="4">
        <f>SUM(MC[[#This Row],[ICR1]:[ICR12]])</f>
        <v>0</v>
      </c>
      <c r="S319" s="133"/>
      <c r="T319" s="133"/>
      <c r="U319" s="133"/>
      <c r="V319" s="133"/>
      <c r="W319" s="288"/>
      <c r="X319" s="132"/>
      <c r="Y319" s="132"/>
    </row>
    <row r="320" spans="1:25">
      <c r="A320" s="132">
        <v>318</v>
      </c>
      <c r="B320" s="126">
        <f t="shared" si="4"/>
        <v>46006</v>
      </c>
      <c r="C320" s="209">
        <f>YEAR(MC[[#This Row],[Date]])+IF(MONTH(MC[[#This Row],[Date]])&gt;=4,1,0)</f>
        <v>2026</v>
      </c>
      <c r="D320" s="129">
        <f>YEAR(MC[[#This Row],[Date]])</f>
        <v>2025</v>
      </c>
      <c r="E320" s="287" t="s">
        <v>156</v>
      </c>
      <c r="F320" s="287" t="s">
        <v>156</v>
      </c>
      <c r="G320" s="4" t="str">
        <f>TEXT(MC[[#This Row],[Date]],"mmm-yy")</f>
        <v>Dec-25</v>
      </c>
      <c r="H320" s="4">
        <f>DAY(EOMONTH(MC[[#This Row],[Month Year]],0))</f>
        <v>31</v>
      </c>
      <c r="I320" s="132"/>
      <c r="J320" s="132"/>
      <c r="K320" s="132"/>
      <c r="L320" s="132"/>
      <c r="M320" s="132"/>
      <c r="N320" s="132"/>
      <c r="O320" s="132"/>
      <c r="P320" s="125"/>
      <c r="Q320" s="125"/>
      <c r="R320" s="4">
        <f>SUM(MC[[#This Row],[ICR1]:[ICR12]])</f>
        <v>0</v>
      </c>
      <c r="S320" s="133"/>
      <c r="T320" s="133"/>
      <c r="U320" s="133"/>
      <c r="V320" s="133"/>
      <c r="W320" s="288"/>
      <c r="X320" s="132"/>
      <c r="Y320" s="132"/>
    </row>
    <row r="321" spans="1:25">
      <c r="A321" s="132">
        <v>319</v>
      </c>
      <c r="B321" s="126">
        <f t="shared" si="4"/>
        <v>46007</v>
      </c>
      <c r="C321" s="209">
        <f>YEAR(MC[[#This Row],[Date]])+IF(MONTH(MC[[#This Row],[Date]])&gt;=4,1,0)</f>
        <v>2026</v>
      </c>
      <c r="D321" s="129">
        <f>YEAR(MC[[#This Row],[Date]])</f>
        <v>2025</v>
      </c>
      <c r="E321" s="287" t="s">
        <v>156</v>
      </c>
      <c r="F321" s="287" t="s">
        <v>156</v>
      </c>
      <c r="G321" s="4" t="str">
        <f>TEXT(MC[[#This Row],[Date]],"mmm-yy")</f>
        <v>Dec-25</v>
      </c>
      <c r="H321" s="4">
        <f>DAY(EOMONTH(MC[[#This Row],[Month Year]],0))</f>
        <v>31</v>
      </c>
      <c r="I321" s="132"/>
      <c r="J321" s="132"/>
      <c r="K321" s="132"/>
      <c r="L321" s="132"/>
      <c r="M321" s="132"/>
      <c r="N321" s="132"/>
      <c r="O321" s="132"/>
      <c r="P321" s="125"/>
      <c r="Q321" s="125"/>
      <c r="R321" s="4">
        <f>SUM(MC[[#This Row],[ICR1]:[ICR12]])</f>
        <v>0</v>
      </c>
      <c r="S321" s="133"/>
      <c r="T321" s="133"/>
      <c r="U321" s="133"/>
      <c r="V321" s="133"/>
      <c r="W321" s="288"/>
      <c r="X321" s="132"/>
      <c r="Y321" s="132"/>
    </row>
    <row r="322" spans="1:25">
      <c r="A322" s="132">
        <v>320</v>
      </c>
      <c r="B322" s="126">
        <f t="shared" si="4"/>
        <v>46008</v>
      </c>
      <c r="C322" s="209">
        <f>YEAR(MC[[#This Row],[Date]])+IF(MONTH(MC[[#This Row],[Date]])&gt;=4,1,0)</f>
        <v>2026</v>
      </c>
      <c r="D322" s="129">
        <f>YEAR(MC[[#This Row],[Date]])</f>
        <v>2025</v>
      </c>
      <c r="E322" s="287" t="s">
        <v>156</v>
      </c>
      <c r="F322" s="287" t="s">
        <v>156</v>
      </c>
      <c r="G322" s="4" t="str">
        <f>TEXT(MC[[#This Row],[Date]],"mmm-yy")</f>
        <v>Dec-25</v>
      </c>
      <c r="H322" s="4">
        <f>DAY(EOMONTH(MC[[#This Row],[Month Year]],0))</f>
        <v>31</v>
      </c>
      <c r="I322" s="132"/>
      <c r="J322" s="132"/>
      <c r="K322" s="132"/>
      <c r="L322" s="132"/>
      <c r="M322" s="132"/>
      <c r="N322" s="132"/>
      <c r="O322" s="132"/>
      <c r="P322" s="125"/>
      <c r="Q322" s="125"/>
      <c r="R322" s="4">
        <f>SUM(MC[[#This Row],[ICR1]:[ICR12]])</f>
        <v>0</v>
      </c>
      <c r="S322" s="133"/>
      <c r="T322" s="133"/>
      <c r="U322" s="133"/>
      <c r="V322" s="133"/>
      <c r="W322" s="288"/>
      <c r="X322" s="132"/>
      <c r="Y322" s="132"/>
    </row>
    <row r="323" spans="1:25">
      <c r="A323" s="132">
        <v>321</v>
      </c>
      <c r="B323" s="126">
        <f t="shared" si="4"/>
        <v>46009</v>
      </c>
      <c r="C323" s="209">
        <f>YEAR(MC[[#This Row],[Date]])+IF(MONTH(MC[[#This Row],[Date]])&gt;=4,1,0)</f>
        <v>2026</v>
      </c>
      <c r="D323" s="129">
        <f>YEAR(MC[[#This Row],[Date]])</f>
        <v>2025</v>
      </c>
      <c r="E323" s="287" t="s">
        <v>156</v>
      </c>
      <c r="F323" s="287" t="s">
        <v>156</v>
      </c>
      <c r="G323" s="4" t="str">
        <f>TEXT(MC[[#This Row],[Date]],"mmm-yy")</f>
        <v>Dec-25</v>
      </c>
      <c r="H323" s="4">
        <f>DAY(EOMONTH(MC[[#This Row],[Month Year]],0))</f>
        <v>31</v>
      </c>
      <c r="I323" s="132"/>
      <c r="J323" s="132"/>
      <c r="K323" s="132"/>
      <c r="L323" s="132"/>
      <c r="M323" s="132"/>
      <c r="N323" s="132"/>
      <c r="O323" s="132"/>
      <c r="P323" s="125"/>
      <c r="Q323" s="125"/>
      <c r="R323" s="4">
        <f>SUM(MC[[#This Row],[ICR1]:[ICR12]])</f>
        <v>0</v>
      </c>
      <c r="S323" s="132"/>
      <c r="T323" s="132"/>
      <c r="U323" s="132"/>
      <c r="V323" s="132"/>
      <c r="W323" s="132"/>
      <c r="X323" s="132"/>
      <c r="Y323" s="132"/>
    </row>
    <row r="324" spans="1:25">
      <c r="A324" s="132">
        <v>322</v>
      </c>
      <c r="B324" s="126">
        <f t="shared" si="4"/>
        <v>46010</v>
      </c>
      <c r="C324" s="209">
        <f>YEAR(MC[[#This Row],[Date]])+IF(MONTH(MC[[#This Row],[Date]])&gt;=4,1,0)</f>
        <v>2026</v>
      </c>
      <c r="D324" s="129">
        <f>YEAR(MC[[#This Row],[Date]])</f>
        <v>2025</v>
      </c>
      <c r="E324" s="287" t="s">
        <v>156</v>
      </c>
      <c r="F324" s="287" t="s">
        <v>156</v>
      </c>
      <c r="G324" s="4" t="str">
        <f>TEXT(MC[[#This Row],[Date]],"mmm-yy")</f>
        <v>Dec-25</v>
      </c>
      <c r="H324" s="4">
        <f>DAY(EOMONTH(MC[[#This Row],[Month Year]],0))</f>
        <v>31</v>
      </c>
      <c r="I324" s="132"/>
      <c r="J324" s="132"/>
      <c r="K324" s="132"/>
      <c r="L324" s="132"/>
      <c r="M324" s="132"/>
      <c r="N324" s="132"/>
      <c r="O324" s="132"/>
      <c r="P324" s="125"/>
      <c r="Q324" s="125"/>
      <c r="R324" s="4">
        <f>SUM(MC[[#This Row],[ICR1]:[ICR12]])</f>
        <v>0</v>
      </c>
      <c r="S324" s="133"/>
      <c r="T324" s="133"/>
      <c r="U324" s="133"/>
      <c r="V324" s="133"/>
      <c r="W324" s="288"/>
      <c r="X324" s="132"/>
      <c r="Y324" s="132"/>
    </row>
    <row r="325" spans="1:25">
      <c r="A325" s="132">
        <v>323</v>
      </c>
      <c r="B325" s="126">
        <f t="shared" ref="B325:B381" si="5">B324+1</f>
        <v>46011</v>
      </c>
      <c r="C325" s="209">
        <f>YEAR(MC[[#This Row],[Date]])+IF(MONTH(MC[[#This Row],[Date]])&gt;=4,1,0)</f>
        <v>2026</v>
      </c>
      <c r="D325" s="129">
        <f>YEAR(MC[[#This Row],[Date]])</f>
        <v>2025</v>
      </c>
      <c r="E325" s="287" t="s">
        <v>156</v>
      </c>
      <c r="F325" s="287" t="s">
        <v>156</v>
      </c>
      <c r="G325" s="4" t="str">
        <f>TEXT(MC[[#This Row],[Date]],"mmm-yy")</f>
        <v>Dec-25</v>
      </c>
      <c r="H325" s="4">
        <f>DAY(EOMONTH(MC[[#This Row],[Month Year]],0))</f>
        <v>31</v>
      </c>
      <c r="I325" s="132"/>
      <c r="J325" s="132"/>
      <c r="K325" s="132"/>
      <c r="L325" s="132"/>
      <c r="M325" s="132"/>
      <c r="N325" s="132"/>
      <c r="O325" s="132"/>
      <c r="P325" s="125"/>
      <c r="Q325" s="125"/>
      <c r="R325" s="4">
        <f>SUM(MC[[#This Row],[ICR1]:[ICR12]])</f>
        <v>0</v>
      </c>
      <c r="S325" s="133"/>
      <c r="T325" s="133"/>
      <c r="U325" s="133"/>
      <c r="V325" s="133"/>
      <c r="W325" s="288"/>
      <c r="X325" s="132"/>
      <c r="Y325" s="132"/>
    </row>
    <row r="326" spans="1:25">
      <c r="A326" s="132">
        <v>324</v>
      </c>
      <c r="B326" s="126">
        <f t="shared" si="5"/>
        <v>46012</v>
      </c>
      <c r="C326" s="209">
        <f>YEAR(MC[[#This Row],[Date]])+IF(MONTH(MC[[#This Row],[Date]])&gt;=4,1,0)</f>
        <v>2026</v>
      </c>
      <c r="D326" s="129">
        <f>YEAR(MC[[#This Row],[Date]])</f>
        <v>2025</v>
      </c>
      <c r="E326" s="287" t="s">
        <v>156</v>
      </c>
      <c r="F326" s="287" t="s">
        <v>156</v>
      </c>
      <c r="G326" s="4" t="str">
        <f>TEXT(MC[[#This Row],[Date]],"mmm-yy")</f>
        <v>Dec-25</v>
      </c>
      <c r="H326" s="4">
        <f>DAY(EOMONTH(MC[[#This Row],[Month Year]],0))</f>
        <v>31</v>
      </c>
      <c r="I326" s="132"/>
      <c r="J326" s="132"/>
      <c r="K326" s="132"/>
      <c r="L326" s="132"/>
      <c r="M326" s="132"/>
      <c r="N326" s="132"/>
      <c r="O326" s="132"/>
      <c r="P326" s="125"/>
      <c r="Q326" s="125"/>
      <c r="R326" s="4">
        <f>SUM(MC[[#This Row],[ICR1]:[ICR12]])</f>
        <v>0</v>
      </c>
      <c r="S326" s="133"/>
      <c r="T326" s="133"/>
      <c r="U326" s="133"/>
      <c r="V326" s="133"/>
      <c r="W326" s="288"/>
      <c r="X326" s="132"/>
      <c r="Y326" s="132"/>
    </row>
    <row r="327" spans="1:25">
      <c r="A327" s="132">
        <v>325</v>
      </c>
      <c r="B327" s="126">
        <f t="shared" si="5"/>
        <v>46013</v>
      </c>
      <c r="C327" s="209">
        <f>YEAR(MC[[#This Row],[Date]])+IF(MONTH(MC[[#This Row],[Date]])&gt;=4,1,0)</f>
        <v>2026</v>
      </c>
      <c r="D327" s="129">
        <f>YEAR(MC[[#This Row],[Date]])</f>
        <v>2025</v>
      </c>
      <c r="E327" s="287" t="s">
        <v>156</v>
      </c>
      <c r="F327" s="287" t="s">
        <v>156</v>
      </c>
      <c r="G327" s="4" t="str">
        <f>TEXT(MC[[#This Row],[Date]],"mmm-yy")</f>
        <v>Dec-25</v>
      </c>
      <c r="H327" s="4">
        <f>DAY(EOMONTH(MC[[#This Row],[Month Year]],0))</f>
        <v>31</v>
      </c>
      <c r="I327" s="132"/>
      <c r="J327" s="132"/>
      <c r="K327" s="132"/>
      <c r="L327" s="132"/>
      <c r="M327" s="132"/>
      <c r="N327" s="132"/>
      <c r="O327" s="132"/>
      <c r="P327" s="125"/>
      <c r="Q327" s="125"/>
      <c r="R327" s="4">
        <f>SUM(MC[[#This Row],[ICR1]:[ICR12]])</f>
        <v>0</v>
      </c>
      <c r="S327" s="133"/>
      <c r="T327" s="133"/>
      <c r="U327" s="133"/>
      <c r="V327" s="133"/>
      <c r="W327" s="288"/>
      <c r="X327" s="132"/>
      <c r="Y327" s="132"/>
    </row>
    <row r="328" spans="1:25">
      <c r="A328" s="132">
        <v>326</v>
      </c>
      <c r="B328" s="126">
        <f t="shared" si="5"/>
        <v>46014</v>
      </c>
      <c r="C328" s="209">
        <f>YEAR(MC[[#This Row],[Date]])+IF(MONTH(MC[[#This Row],[Date]])&gt;=4,1,0)</f>
        <v>2026</v>
      </c>
      <c r="D328" s="129">
        <f>YEAR(MC[[#This Row],[Date]])</f>
        <v>2025</v>
      </c>
      <c r="E328" s="287" t="s">
        <v>156</v>
      </c>
      <c r="F328" s="287" t="s">
        <v>156</v>
      </c>
      <c r="G328" s="4" t="str">
        <f>TEXT(MC[[#This Row],[Date]],"mmm-yy")</f>
        <v>Dec-25</v>
      </c>
      <c r="H328" s="4">
        <f>DAY(EOMONTH(MC[[#This Row],[Month Year]],0))</f>
        <v>31</v>
      </c>
      <c r="I328" s="132"/>
      <c r="J328" s="132"/>
      <c r="K328" s="132"/>
      <c r="L328" s="132"/>
      <c r="M328" s="132"/>
      <c r="N328" s="132"/>
      <c r="O328" s="132"/>
      <c r="P328" s="125"/>
      <c r="Q328" s="125"/>
      <c r="R328" s="4">
        <f>SUM(MC[[#This Row],[ICR1]:[ICR12]])</f>
        <v>0</v>
      </c>
      <c r="S328" s="132"/>
      <c r="T328" s="132"/>
      <c r="U328" s="132"/>
      <c r="V328" s="132"/>
      <c r="W328" s="132"/>
      <c r="X328" s="132"/>
      <c r="Y328" s="132"/>
    </row>
    <row r="329" spans="1:25">
      <c r="A329" s="132">
        <v>327</v>
      </c>
      <c r="B329" s="126">
        <f t="shared" si="5"/>
        <v>46015</v>
      </c>
      <c r="C329" s="209">
        <f>YEAR(MC[[#This Row],[Date]])+IF(MONTH(MC[[#This Row],[Date]])&gt;=4,1,0)</f>
        <v>2026</v>
      </c>
      <c r="D329" s="129">
        <f>YEAR(MC[[#This Row],[Date]])</f>
        <v>2025</v>
      </c>
      <c r="E329" s="287" t="s">
        <v>156</v>
      </c>
      <c r="F329" s="287" t="s">
        <v>156</v>
      </c>
      <c r="G329" s="4" t="str">
        <f>TEXT(MC[[#This Row],[Date]],"mmm-yy")</f>
        <v>Dec-25</v>
      </c>
      <c r="H329" s="4">
        <f>DAY(EOMONTH(MC[[#This Row],[Month Year]],0))</f>
        <v>31</v>
      </c>
      <c r="I329" s="132"/>
      <c r="J329" s="132"/>
      <c r="K329" s="132"/>
      <c r="L329" s="132"/>
      <c r="M329" s="132"/>
      <c r="N329" s="132"/>
      <c r="O329" s="132"/>
      <c r="P329" s="125"/>
      <c r="Q329" s="125"/>
      <c r="R329" s="4">
        <f>SUM(MC[[#This Row],[ICR1]:[ICR12]])</f>
        <v>0</v>
      </c>
      <c r="S329" s="133"/>
      <c r="T329" s="133"/>
      <c r="U329" s="133"/>
      <c r="V329" s="133"/>
      <c r="W329" s="288"/>
      <c r="X329" s="132"/>
      <c r="Y329" s="132"/>
    </row>
    <row r="330" spans="1:25">
      <c r="A330" s="132">
        <v>328</v>
      </c>
      <c r="B330" s="126">
        <f t="shared" si="5"/>
        <v>46016</v>
      </c>
      <c r="C330" s="209">
        <f>YEAR(MC[[#This Row],[Date]])+IF(MONTH(MC[[#This Row],[Date]])&gt;=4,1,0)</f>
        <v>2026</v>
      </c>
      <c r="D330" s="129">
        <f>YEAR(MC[[#This Row],[Date]])</f>
        <v>2025</v>
      </c>
      <c r="E330" s="287" t="s">
        <v>156</v>
      </c>
      <c r="F330" s="287" t="s">
        <v>156</v>
      </c>
      <c r="G330" s="4" t="str">
        <f>TEXT(MC[[#This Row],[Date]],"mmm-yy")</f>
        <v>Dec-25</v>
      </c>
      <c r="H330" s="4">
        <f>DAY(EOMONTH(MC[[#This Row],[Month Year]],0))</f>
        <v>31</v>
      </c>
      <c r="I330" s="132"/>
      <c r="J330" s="132"/>
      <c r="K330" s="132"/>
      <c r="L330" s="132"/>
      <c r="M330" s="132"/>
      <c r="N330" s="132"/>
      <c r="O330" s="132"/>
      <c r="P330" s="125"/>
      <c r="Q330" s="125"/>
      <c r="R330" s="4">
        <f>SUM(MC[[#This Row],[ICR1]:[ICR12]])</f>
        <v>0</v>
      </c>
      <c r="S330" s="133"/>
      <c r="T330" s="133"/>
      <c r="U330" s="133"/>
      <c r="V330" s="133"/>
      <c r="W330" s="288"/>
      <c r="X330" s="132"/>
      <c r="Y330" s="132"/>
    </row>
    <row r="331" spans="1:25">
      <c r="A331" s="132">
        <v>329</v>
      </c>
      <c r="B331" s="126">
        <f t="shared" si="5"/>
        <v>46017</v>
      </c>
      <c r="C331" s="209">
        <f>YEAR(MC[[#This Row],[Date]])+IF(MONTH(MC[[#This Row],[Date]])&gt;=4,1,0)</f>
        <v>2026</v>
      </c>
      <c r="D331" s="129">
        <f>YEAR(MC[[#This Row],[Date]])</f>
        <v>2025</v>
      </c>
      <c r="E331" s="287" t="s">
        <v>156</v>
      </c>
      <c r="F331" s="287" t="s">
        <v>156</v>
      </c>
      <c r="G331" s="4" t="str">
        <f>TEXT(MC[[#This Row],[Date]],"mmm-yy")</f>
        <v>Dec-25</v>
      </c>
      <c r="H331" s="4">
        <f>DAY(EOMONTH(MC[[#This Row],[Month Year]],0))</f>
        <v>31</v>
      </c>
      <c r="I331" s="132"/>
      <c r="J331" s="132"/>
      <c r="K331" s="132"/>
      <c r="L331" s="132"/>
      <c r="M331" s="132"/>
      <c r="N331" s="132"/>
      <c r="O331" s="132"/>
      <c r="P331" s="125"/>
      <c r="Q331" s="125"/>
      <c r="R331" s="4">
        <f>SUM(MC[[#This Row],[ICR1]:[ICR12]])</f>
        <v>0</v>
      </c>
      <c r="S331" s="133"/>
      <c r="T331" s="133"/>
      <c r="U331" s="133"/>
      <c r="V331" s="133"/>
      <c r="W331" s="288"/>
      <c r="X331" s="132"/>
      <c r="Y331" s="132"/>
    </row>
    <row r="332" spans="1:25">
      <c r="A332" s="132">
        <v>330</v>
      </c>
      <c r="B332" s="126">
        <f t="shared" si="5"/>
        <v>46018</v>
      </c>
      <c r="C332" s="209">
        <f>YEAR(MC[[#This Row],[Date]])+IF(MONTH(MC[[#This Row],[Date]])&gt;=4,1,0)</f>
        <v>2026</v>
      </c>
      <c r="D332" s="129">
        <f>YEAR(MC[[#This Row],[Date]])</f>
        <v>2025</v>
      </c>
      <c r="E332" s="287" t="s">
        <v>156</v>
      </c>
      <c r="F332" s="287" t="s">
        <v>156</v>
      </c>
      <c r="G332" s="4" t="str">
        <f>TEXT(MC[[#This Row],[Date]],"mmm-yy")</f>
        <v>Dec-25</v>
      </c>
      <c r="H332" s="4">
        <f>DAY(EOMONTH(MC[[#This Row],[Month Year]],0))</f>
        <v>31</v>
      </c>
      <c r="I332" s="132"/>
      <c r="J332" s="132"/>
      <c r="K332" s="132"/>
      <c r="L332" s="132"/>
      <c r="M332" s="132"/>
      <c r="N332" s="132"/>
      <c r="O332" s="132"/>
      <c r="P332" s="125"/>
      <c r="Q332" s="125"/>
      <c r="R332" s="4">
        <f>SUM(MC[[#This Row],[ICR1]:[ICR12]])</f>
        <v>0</v>
      </c>
      <c r="S332" s="133"/>
      <c r="T332" s="133"/>
      <c r="U332" s="133"/>
      <c r="V332" s="133"/>
      <c r="W332" s="288"/>
      <c r="X332" s="132"/>
      <c r="Y332" s="132"/>
    </row>
    <row r="333" spans="1:25">
      <c r="A333" s="132">
        <v>331</v>
      </c>
      <c r="B333" s="126">
        <f t="shared" si="5"/>
        <v>46019</v>
      </c>
      <c r="C333" s="209">
        <f>YEAR(MC[[#This Row],[Date]])+IF(MONTH(MC[[#This Row],[Date]])&gt;=4,1,0)</f>
        <v>2026</v>
      </c>
      <c r="D333" s="129">
        <f>YEAR(MC[[#This Row],[Date]])</f>
        <v>2025</v>
      </c>
      <c r="E333" s="287" t="s">
        <v>156</v>
      </c>
      <c r="F333" s="287" t="s">
        <v>156</v>
      </c>
      <c r="G333" s="4" t="str">
        <f>TEXT(MC[[#This Row],[Date]],"mmm-yy")</f>
        <v>Dec-25</v>
      </c>
      <c r="H333" s="4">
        <f>DAY(EOMONTH(MC[[#This Row],[Month Year]],0))</f>
        <v>31</v>
      </c>
      <c r="I333" s="132"/>
      <c r="J333" s="132"/>
      <c r="K333" s="132"/>
      <c r="L333" s="132"/>
      <c r="M333" s="132"/>
      <c r="N333" s="132"/>
      <c r="O333" s="132"/>
      <c r="P333" s="125"/>
      <c r="Q333" s="125"/>
      <c r="R333" s="4">
        <f>SUM(MC[[#This Row],[ICR1]:[ICR12]])</f>
        <v>0</v>
      </c>
      <c r="S333" s="133"/>
      <c r="T333" s="133"/>
      <c r="U333" s="133"/>
      <c r="V333" s="133"/>
      <c r="W333" s="288"/>
      <c r="X333" s="132"/>
      <c r="Y333" s="132"/>
    </row>
    <row r="334" spans="1:25">
      <c r="A334" s="132">
        <v>332</v>
      </c>
      <c r="B334" s="126">
        <f t="shared" si="5"/>
        <v>46020</v>
      </c>
      <c r="C334" s="209">
        <f>YEAR(MC[[#This Row],[Date]])+IF(MONTH(MC[[#This Row],[Date]])&gt;=4,1,0)</f>
        <v>2026</v>
      </c>
      <c r="D334" s="129">
        <f>YEAR(MC[[#This Row],[Date]])</f>
        <v>2025</v>
      </c>
      <c r="E334" s="287" t="s">
        <v>156</v>
      </c>
      <c r="F334" s="287" t="s">
        <v>156</v>
      </c>
      <c r="G334" s="4" t="str">
        <f>TEXT(MC[[#This Row],[Date]],"mmm-yy")</f>
        <v>Dec-25</v>
      </c>
      <c r="H334" s="4">
        <f>DAY(EOMONTH(MC[[#This Row],[Month Year]],0))</f>
        <v>31</v>
      </c>
      <c r="I334" s="132"/>
      <c r="J334" s="132"/>
      <c r="K334" s="132"/>
      <c r="L334" s="132"/>
      <c r="M334" s="132"/>
      <c r="N334" s="132"/>
      <c r="O334" s="132"/>
      <c r="P334" s="125"/>
      <c r="Q334" s="125"/>
      <c r="R334" s="4">
        <f>SUM(MC[[#This Row],[ICR1]:[ICR12]])</f>
        <v>0</v>
      </c>
      <c r="S334" s="133"/>
      <c r="T334" s="133"/>
      <c r="U334" s="133"/>
      <c r="V334" s="133"/>
      <c r="W334" s="288"/>
      <c r="X334" s="132"/>
      <c r="Y334" s="132"/>
    </row>
    <row r="335" spans="1:25">
      <c r="A335" s="132">
        <v>333</v>
      </c>
      <c r="B335" s="126">
        <f t="shared" si="5"/>
        <v>46021</v>
      </c>
      <c r="C335" s="209">
        <f>YEAR(MC[[#This Row],[Date]])+IF(MONTH(MC[[#This Row],[Date]])&gt;=4,1,0)</f>
        <v>2026</v>
      </c>
      <c r="D335" s="129">
        <f>YEAR(MC[[#This Row],[Date]])</f>
        <v>2025</v>
      </c>
      <c r="E335" s="287" t="s">
        <v>156</v>
      </c>
      <c r="F335" s="287" t="s">
        <v>156</v>
      </c>
      <c r="G335" s="4" t="str">
        <f>TEXT(MC[[#This Row],[Date]],"mmm-yy")</f>
        <v>Dec-25</v>
      </c>
      <c r="H335" s="4">
        <f>DAY(EOMONTH(MC[[#This Row],[Month Year]],0))</f>
        <v>31</v>
      </c>
      <c r="I335" s="132"/>
      <c r="J335" s="132"/>
      <c r="K335" s="132"/>
      <c r="L335" s="132"/>
      <c r="M335" s="132"/>
      <c r="N335" s="132"/>
      <c r="O335" s="132"/>
      <c r="P335" s="125"/>
      <c r="Q335" s="125"/>
      <c r="R335" s="4">
        <f>SUM(MC[[#This Row],[ICR1]:[ICR12]])</f>
        <v>0</v>
      </c>
      <c r="S335" s="132"/>
      <c r="T335" s="132"/>
      <c r="U335" s="132"/>
      <c r="V335" s="132"/>
      <c r="W335" s="132"/>
      <c r="X335" s="132"/>
      <c r="Y335" s="132"/>
    </row>
    <row r="336" spans="1:25">
      <c r="A336" s="132">
        <v>334</v>
      </c>
      <c r="B336" s="126">
        <f t="shared" si="5"/>
        <v>46022</v>
      </c>
      <c r="C336" s="209">
        <f>YEAR(MC[[#This Row],[Date]])+IF(MONTH(MC[[#This Row],[Date]])&gt;=4,1,0)</f>
        <v>2026</v>
      </c>
      <c r="D336" s="129">
        <f>YEAR(MC[[#This Row],[Date]])</f>
        <v>2025</v>
      </c>
      <c r="E336" s="287" t="s">
        <v>156</v>
      </c>
      <c r="F336" s="287" t="s">
        <v>156</v>
      </c>
      <c r="G336" s="4" t="str">
        <f>TEXT(MC[[#This Row],[Date]],"mmm-yy")</f>
        <v>Dec-25</v>
      </c>
      <c r="H336" s="4">
        <f>DAY(EOMONTH(MC[[#This Row],[Month Year]],0))</f>
        <v>31</v>
      </c>
      <c r="I336" s="132"/>
      <c r="J336" s="132"/>
      <c r="K336" s="132"/>
      <c r="L336" s="132"/>
      <c r="M336" s="132"/>
      <c r="N336" s="132"/>
      <c r="O336" s="132"/>
      <c r="P336" s="125"/>
      <c r="Q336" s="125"/>
      <c r="R336" s="4">
        <f>SUM(MC[[#This Row],[ICR1]:[ICR12]])</f>
        <v>0</v>
      </c>
      <c r="S336" s="133"/>
      <c r="T336" s="133"/>
      <c r="U336" s="133"/>
      <c r="V336" s="133"/>
      <c r="W336" s="288"/>
      <c r="X336" s="132"/>
      <c r="Y336" s="132"/>
    </row>
    <row r="337" spans="1:25">
      <c r="A337" s="132">
        <v>335</v>
      </c>
      <c r="B337" s="126">
        <f t="shared" si="5"/>
        <v>46023</v>
      </c>
      <c r="C337" s="209">
        <f>YEAR(MC[[#This Row],[Date]])+IF(MONTH(MC[[#This Row],[Date]])&gt;=4,1,0)</f>
        <v>2026</v>
      </c>
      <c r="D337" s="129">
        <f>YEAR(MC[[#This Row],[Date]])</f>
        <v>2026</v>
      </c>
      <c r="E337" s="287" t="s">
        <v>156</v>
      </c>
      <c r="F337" s="287" t="s">
        <v>156</v>
      </c>
      <c r="G337" s="4" t="str">
        <f>TEXT(MC[[#This Row],[Date]],"mmm-yy")</f>
        <v>Jan-26</v>
      </c>
      <c r="H337" s="4">
        <f>DAY(EOMONTH(MC[[#This Row],[Month Year]],0))</f>
        <v>31</v>
      </c>
      <c r="I337" s="132"/>
      <c r="J337" s="132"/>
      <c r="K337" s="132"/>
      <c r="L337" s="132"/>
      <c r="M337" s="132"/>
      <c r="N337" s="132"/>
      <c r="O337" s="132"/>
      <c r="P337" s="125"/>
      <c r="Q337" s="125"/>
      <c r="R337" s="4">
        <f>SUM(MC[[#This Row],[ICR1]:[ICR12]])</f>
        <v>0</v>
      </c>
      <c r="S337" s="133"/>
      <c r="T337" s="133"/>
      <c r="U337" s="133"/>
      <c r="V337" s="133"/>
      <c r="W337" s="288"/>
      <c r="X337" s="132"/>
      <c r="Y337" s="132"/>
    </row>
    <row r="338" spans="1:25">
      <c r="A338" s="132">
        <v>336</v>
      </c>
      <c r="B338" s="126">
        <f t="shared" si="5"/>
        <v>46024</v>
      </c>
      <c r="C338" s="209">
        <f>YEAR(MC[[#This Row],[Date]])+IF(MONTH(MC[[#This Row],[Date]])&gt;=4,1,0)</f>
        <v>2026</v>
      </c>
      <c r="D338" s="129">
        <f>YEAR(MC[[#This Row],[Date]])</f>
        <v>2026</v>
      </c>
      <c r="E338" s="287" t="s">
        <v>156</v>
      </c>
      <c r="F338" s="287" t="s">
        <v>156</v>
      </c>
      <c r="G338" s="4" t="str">
        <f>TEXT(MC[[#This Row],[Date]],"mmm-yy")</f>
        <v>Jan-26</v>
      </c>
      <c r="H338" s="4">
        <f>DAY(EOMONTH(MC[[#This Row],[Month Year]],0))</f>
        <v>31</v>
      </c>
      <c r="I338" s="132"/>
      <c r="J338" s="132"/>
      <c r="K338" s="132"/>
      <c r="L338" s="132"/>
      <c r="M338" s="132"/>
      <c r="N338" s="132"/>
      <c r="O338" s="132"/>
      <c r="P338" s="125"/>
      <c r="Q338" s="125"/>
      <c r="R338" s="4">
        <f>SUM(MC[[#This Row],[ICR1]:[ICR12]])</f>
        <v>0</v>
      </c>
      <c r="S338" s="132"/>
      <c r="T338" s="132"/>
      <c r="U338" s="132"/>
      <c r="V338" s="132"/>
      <c r="W338" s="132"/>
      <c r="X338" s="132"/>
      <c r="Y338" s="132"/>
    </row>
    <row r="339" spans="1:25">
      <c r="A339" s="132">
        <v>337</v>
      </c>
      <c r="B339" s="126">
        <f t="shared" si="5"/>
        <v>46025</v>
      </c>
      <c r="C339" s="209">
        <f>YEAR(MC[[#This Row],[Date]])+IF(MONTH(MC[[#This Row],[Date]])&gt;=4,1,0)</f>
        <v>2026</v>
      </c>
      <c r="D339" s="129">
        <f>YEAR(MC[[#This Row],[Date]])</f>
        <v>2026</v>
      </c>
      <c r="E339" s="287" t="s">
        <v>156</v>
      </c>
      <c r="F339" s="287" t="s">
        <v>156</v>
      </c>
      <c r="G339" s="4" t="str">
        <f>TEXT(MC[[#This Row],[Date]],"mmm-yy")</f>
        <v>Jan-26</v>
      </c>
      <c r="H339" s="4">
        <f>DAY(EOMONTH(MC[[#This Row],[Month Year]],0))</f>
        <v>31</v>
      </c>
      <c r="I339" s="132"/>
      <c r="J339" s="132"/>
      <c r="K339" s="132"/>
      <c r="L339" s="132"/>
      <c r="M339" s="132"/>
      <c r="N339" s="132"/>
      <c r="O339" s="132"/>
      <c r="P339" s="125"/>
      <c r="Q339" s="125"/>
      <c r="R339" s="4">
        <f>SUM(MC[[#This Row],[ICR1]:[ICR12]])</f>
        <v>0</v>
      </c>
      <c r="S339" s="132"/>
      <c r="T339" s="132"/>
      <c r="U339" s="132"/>
      <c r="V339" s="132"/>
      <c r="W339" s="132"/>
      <c r="X339" s="132"/>
      <c r="Y339" s="132"/>
    </row>
    <row r="340" spans="1:25">
      <c r="A340" s="132">
        <v>338</v>
      </c>
      <c r="B340" s="126">
        <f t="shared" si="5"/>
        <v>46026</v>
      </c>
      <c r="C340" s="209">
        <f>YEAR(MC[[#This Row],[Date]])+IF(MONTH(MC[[#This Row],[Date]])&gt;=4,1,0)</f>
        <v>2026</v>
      </c>
      <c r="D340" s="129">
        <f>YEAR(MC[[#This Row],[Date]])</f>
        <v>2026</v>
      </c>
      <c r="E340" s="287" t="s">
        <v>156</v>
      </c>
      <c r="F340" s="287" t="s">
        <v>156</v>
      </c>
      <c r="G340" s="4" t="str">
        <f>TEXT(MC[[#This Row],[Date]],"mmm-yy")</f>
        <v>Jan-26</v>
      </c>
      <c r="H340" s="4">
        <f>DAY(EOMONTH(MC[[#This Row],[Month Year]],0))</f>
        <v>31</v>
      </c>
      <c r="I340" s="132"/>
      <c r="J340" s="132"/>
      <c r="K340" s="132"/>
      <c r="L340" s="132"/>
      <c r="M340" s="132"/>
      <c r="N340" s="132"/>
      <c r="O340" s="132"/>
      <c r="P340" s="125"/>
      <c r="Q340" s="125"/>
      <c r="R340" s="4">
        <f>SUM(MC[[#This Row],[ICR1]:[ICR12]])</f>
        <v>0</v>
      </c>
      <c r="S340" s="133"/>
      <c r="T340" s="133"/>
      <c r="U340" s="133"/>
      <c r="V340" s="133"/>
      <c r="W340" s="288"/>
      <c r="X340" s="132"/>
      <c r="Y340" s="132"/>
    </row>
    <row r="341" spans="1:25">
      <c r="A341" s="132">
        <v>339</v>
      </c>
      <c r="B341" s="126">
        <f t="shared" si="5"/>
        <v>46027</v>
      </c>
      <c r="C341" s="209">
        <f>YEAR(MC[[#This Row],[Date]])+IF(MONTH(MC[[#This Row],[Date]])&gt;=4,1,0)</f>
        <v>2026</v>
      </c>
      <c r="D341" s="129">
        <f>YEAR(MC[[#This Row],[Date]])</f>
        <v>2026</v>
      </c>
      <c r="E341" s="287" t="s">
        <v>156</v>
      </c>
      <c r="F341" s="287" t="s">
        <v>156</v>
      </c>
      <c r="G341" s="4" t="str">
        <f>TEXT(MC[[#This Row],[Date]],"mmm-yy")</f>
        <v>Jan-26</v>
      </c>
      <c r="H341" s="4">
        <f>DAY(EOMONTH(MC[[#This Row],[Month Year]],0))</f>
        <v>31</v>
      </c>
      <c r="I341" s="132"/>
      <c r="J341" s="132"/>
      <c r="K341" s="132"/>
      <c r="L341" s="132"/>
      <c r="M341" s="132"/>
      <c r="N341" s="132"/>
      <c r="O341" s="132"/>
      <c r="P341" s="125"/>
      <c r="Q341" s="125"/>
      <c r="R341" s="4">
        <f>SUM(MC[[#This Row],[ICR1]:[ICR12]])</f>
        <v>0</v>
      </c>
      <c r="S341" s="133"/>
      <c r="T341" s="133"/>
      <c r="U341" s="133"/>
      <c r="V341" s="133"/>
      <c r="W341" s="288"/>
      <c r="X341" s="132"/>
      <c r="Y341" s="132"/>
    </row>
    <row r="342" spans="1:25">
      <c r="A342" s="132">
        <v>340</v>
      </c>
      <c r="B342" s="126">
        <f t="shared" si="5"/>
        <v>46028</v>
      </c>
      <c r="C342" s="209">
        <f>YEAR(MC[[#This Row],[Date]])+IF(MONTH(MC[[#This Row],[Date]])&gt;=4,1,0)</f>
        <v>2026</v>
      </c>
      <c r="D342" s="129">
        <f>YEAR(MC[[#This Row],[Date]])</f>
        <v>2026</v>
      </c>
      <c r="E342" s="287" t="s">
        <v>156</v>
      </c>
      <c r="F342" s="287" t="s">
        <v>156</v>
      </c>
      <c r="G342" s="4" t="str">
        <f>TEXT(MC[[#This Row],[Date]],"mmm-yy")</f>
        <v>Jan-26</v>
      </c>
      <c r="H342" s="4">
        <f>DAY(EOMONTH(MC[[#This Row],[Month Year]],0))</f>
        <v>31</v>
      </c>
      <c r="I342" s="132"/>
      <c r="J342" s="132"/>
      <c r="K342" s="132"/>
      <c r="L342" s="132"/>
      <c r="M342" s="132"/>
      <c r="N342" s="132"/>
      <c r="O342" s="132"/>
      <c r="P342" s="125"/>
      <c r="Q342" s="125"/>
      <c r="R342" s="4">
        <f>SUM(MC[[#This Row],[ICR1]:[ICR12]])</f>
        <v>0</v>
      </c>
      <c r="S342" s="132"/>
      <c r="T342" s="132"/>
      <c r="U342" s="132"/>
      <c r="V342" s="132"/>
      <c r="W342" s="132"/>
      <c r="X342" s="132"/>
      <c r="Y342" s="132"/>
    </row>
    <row r="343" spans="1:25">
      <c r="A343" s="132">
        <v>341</v>
      </c>
      <c r="B343" s="126">
        <f t="shared" si="5"/>
        <v>46029</v>
      </c>
      <c r="C343" s="209">
        <f>YEAR(MC[[#This Row],[Date]])+IF(MONTH(MC[[#This Row],[Date]])&gt;=4,1,0)</f>
        <v>2026</v>
      </c>
      <c r="D343" s="129">
        <f>YEAR(MC[[#This Row],[Date]])</f>
        <v>2026</v>
      </c>
      <c r="E343" s="287" t="s">
        <v>156</v>
      </c>
      <c r="F343" s="287" t="s">
        <v>156</v>
      </c>
      <c r="G343" s="4" t="str">
        <f>TEXT(MC[[#This Row],[Date]],"mmm-yy")</f>
        <v>Jan-26</v>
      </c>
      <c r="H343" s="4">
        <f>DAY(EOMONTH(MC[[#This Row],[Month Year]],0))</f>
        <v>31</v>
      </c>
      <c r="I343" s="132"/>
      <c r="J343" s="132"/>
      <c r="K343" s="132"/>
      <c r="L343" s="132"/>
      <c r="M343" s="132"/>
      <c r="N343" s="132"/>
      <c r="O343" s="132"/>
      <c r="P343" s="125"/>
      <c r="Q343" s="125"/>
      <c r="R343" s="4">
        <f>SUM(MC[[#This Row],[ICR1]:[ICR12]])</f>
        <v>0</v>
      </c>
      <c r="S343" s="133"/>
      <c r="T343" s="133"/>
      <c r="U343" s="133"/>
      <c r="V343" s="133"/>
      <c r="W343" s="288"/>
      <c r="X343" s="132"/>
      <c r="Y343" s="132"/>
    </row>
    <row r="344" spans="1:25">
      <c r="A344" s="132">
        <v>342</v>
      </c>
      <c r="B344" s="126">
        <f t="shared" si="5"/>
        <v>46030</v>
      </c>
      <c r="C344" s="209">
        <f>YEAR(MC[[#This Row],[Date]])+IF(MONTH(MC[[#This Row],[Date]])&gt;=4,1,0)</f>
        <v>2026</v>
      </c>
      <c r="D344" s="129">
        <f>YEAR(MC[[#This Row],[Date]])</f>
        <v>2026</v>
      </c>
      <c r="E344" s="287" t="s">
        <v>156</v>
      </c>
      <c r="F344" s="287" t="s">
        <v>156</v>
      </c>
      <c r="G344" s="4" t="str">
        <f>TEXT(MC[[#This Row],[Date]],"mmm-yy")</f>
        <v>Jan-26</v>
      </c>
      <c r="H344" s="4">
        <f>DAY(EOMONTH(MC[[#This Row],[Month Year]],0))</f>
        <v>31</v>
      </c>
      <c r="I344" s="132"/>
      <c r="J344" s="132"/>
      <c r="K344" s="132"/>
      <c r="L344" s="132"/>
      <c r="M344" s="132"/>
      <c r="N344" s="132"/>
      <c r="O344" s="132"/>
      <c r="P344" s="125"/>
      <c r="Q344" s="125"/>
      <c r="R344" s="4">
        <f>SUM(MC[[#This Row],[ICR1]:[ICR12]])</f>
        <v>0</v>
      </c>
      <c r="S344" s="133"/>
      <c r="T344" s="133"/>
      <c r="U344" s="133"/>
      <c r="V344" s="133"/>
      <c r="W344" s="288"/>
      <c r="X344" s="132"/>
      <c r="Y344" s="132"/>
    </row>
    <row r="345" spans="1:25">
      <c r="A345" s="132">
        <v>343</v>
      </c>
      <c r="B345" s="126">
        <f t="shared" si="5"/>
        <v>46031</v>
      </c>
      <c r="C345" s="209">
        <f>YEAR(MC[[#This Row],[Date]])+IF(MONTH(MC[[#This Row],[Date]])&gt;=4,1,0)</f>
        <v>2026</v>
      </c>
      <c r="D345" s="129">
        <f>YEAR(MC[[#This Row],[Date]])</f>
        <v>2026</v>
      </c>
      <c r="E345" s="287" t="s">
        <v>156</v>
      </c>
      <c r="F345" s="287" t="s">
        <v>156</v>
      </c>
      <c r="G345" s="4" t="str">
        <f>TEXT(MC[[#This Row],[Date]],"mmm-yy")</f>
        <v>Jan-26</v>
      </c>
      <c r="H345" s="4">
        <f>DAY(EOMONTH(MC[[#This Row],[Month Year]],0))</f>
        <v>31</v>
      </c>
      <c r="I345" s="132"/>
      <c r="J345" s="132"/>
      <c r="K345" s="132"/>
      <c r="L345" s="132"/>
      <c r="M345" s="132"/>
      <c r="N345" s="132"/>
      <c r="O345" s="132"/>
      <c r="P345" s="125"/>
      <c r="Q345" s="125"/>
      <c r="R345" s="4">
        <f>SUM(MC[[#This Row],[ICR1]:[ICR12]])</f>
        <v>0</v>
      </c>
      <c r="S345" s="133"/>
      <c r="T345" s="133"/>
      <c r="U345" s="133"/>
      <c r="V345" s="133"/>
      <c r="W345" s="288"/>
      <c r="X345" s="132"/>
      <c r="Y345" s="132"/>
    </row>
    <row r="346" spans="1:25">
      <c r="A346" s="132">
        <v>344</v>
      </c>
      <c r="B346" s="126">
        <f t="shared" si="5"/>
        <v>46032</v>
      </c>
      <c r="C346" s="209">
        <f>YEAR(MC[[#This Row],[Date]])+IF(MONTH(MC[[#This Row],[Date]])&gt;=4,1,0)</f>
        <v>2026</v>
      </c>
      <c r="D346" s="129">
        <f>YEAR(MC[[#This Row],[Date]])</f>
        <v>2026</v>
      </c>
      <c r="E346" s="287" t="s">
        <v>156</v>
      </c>
      <c r="F346" s="287" t="s">
        <v>156</v>
      </c>
      <c r="G346" s="4" t="str">
        <f>TEXT(MC[[#This Row],[Date]],"mmm-yy")</f>
        <v>Jan-26</v>
      </c>
      <c r="H346" s="4">
        <f>DAY(EOMONTH(MC[[#This Row],[Month Year]],0))</f>
        <v>31</v>
      </c>
      <c r="I346" s="132"/>
      <c r="J346" s="132"/>
      <c r="K346" s="132"/>
      <c r="L346" s="132"/>
      <c r="M346" s="132"/>
      <c r="N346" s="132"/>
      <c r="O346" s="132"/>
      <c r="P346" s="125"/>
      <c r="Q346" s="125"/>
      <c r="R346" s="4">
        <f>SUM(MC[[#This Row],[ICR1]:[ICR12]])</f>
        <v>0</v>
      </c>
      <c r="S346" s="132"/>
      <c r="T346" s="132"/>
      <c r="U346" s="132"/>
      <c r="V346" s="132"/>
      <c r="W346" s="132"/>
      <c r="X346" s="132"/>
      <c r="Y346" s="132"/>
    </row>
    <row r="347" spans="1:25">
      <c r="A347" s="132">
        <v>345</v>
      </c>
      <c r="B347" s="126">
        <f t="shared" si="5"/>
        <v>46033</v>
      </c>
      <c r="C347" s="209">
        <f>YEAR(MC[[#This Row],[Date]])+IF(MONTH(MC[[#This Row],[Date]])&gt;=4,1,0)</f>
        <v>2026</v>
      </c>
      <c r="D347" s="129">
        <f>YEAR(MC[[#This Row],[Date]])</f>
        <v>2026</v>
      </c>
      <c r="E347" s="287" t="s">
        <v>156</v>
      </c>
      <c r="F347" s="287" t="s">
        <v>156</v>
      </c>
      <c r="G347" s="4" t="str">
        <f>TEXT(MC[[#This Row],[Date]],"mmm-yy")</f>
        <v>Jan-26</v>
      </c>
      <c r="H347" s="4">
        <f>DAY(EOMONTH(MC[[#This Row],[Month Year]],0))</f>
        <v>31</v>
      </c>
      <c r="I347" s="132"/>
      <c r="J347" s="132"/>
      <c r="K347" s="132"/>
      <c r="L347" s="132"/>
      <c r="M347" s="132"/>
      <c r="N347" s="132"/>
      <c r="O347" s="132"/>
      <c r="P347" s="125"/>
      <c r="Q347" s="125"/>
      <c r="R347" s="4">
        <f>SUM(MC[[#This Row],[ICR1]:[ICR12]])</f>
        <v>0</v>
      </c>
      <c r="S347" s="133"/>
      <c r="T347" s="133"/>
      <c r="U347" s="133"/>
      <c r="V347" s="133"/>
      <c r="W347" s="288"/>
      <c r="X347" s="132"/>
      <c r="Y347" s="132"/>
    </row>
    <row r="348" spans="1:25">
      <c r="A348" s="132">
        <v>346</v>
      </c>
      <c r="B348" s="126">
        <f t="shared" si="5"/>
        <v>46034</v>
      </c>
      <c r="C348" s="209">
        <f>YEAR(MC[[#This Row],[Date]])+IF(MONTH(MC[[#This Row],[Date]])&gt;=4,1,0)</f>
        <v>2026</v>
      </c>
      <c r="D348" s="129">
        <f>YEAR(MC[[#This Row],[Date]])</f>
        <v>2026</v>
      </c>
      <c r="E348" s="287" t="s">
        <v>156</v>
      </c>
      <c r="F348" s="287" t="s">
        <v>156</v>
      </c>
      <c r="G348" s="4" t="str">
        <f>TEXT(MC[[#This Row],[Date]],"mmm-yy")</f>
        <v>Jan-26</v>
      </c>
      <c r="H348" s="4">
        <f>DAY(EOMONTH(MC[[#This Row],[Month Year]],0))</f>
        <v>31</v>
      </c>
      <c r="I348" s="132"/>
      <c r="J348" s="132"/>
      <c r="K348" s="132"/>
      <c r="L348" s="132"/>
      <c r="M348" s="132"/>
      <c r="N348" s="132"/>
      <c r="O348" s="132"/>
      <c r="P348" s="132"/>
      <c r="Q348" s="132"/>
      <c r="R348" s="4">
        <f>SUM(MC[[#This Row],[ICR1]:[ICR12]])</f>
        <v>0</v>
      </c>
      <c r="S348" s="132"/>
      <c r="T348" s="132"/>
      <c r="U348" s="133"/>
      <c r="V348" s="133"/>
      <c r="W348" s="288"/>
      <c r="X348" s="132"/>
      <c r="Y348" s="132"/>
    </row>
    <row r="349" spans="1:25">
      <c r="A349" s="132">
        <v>347</v>
      </c>
      <c r="B349" s="126">
        <f t="shared" si="5"/>
        <v>46035</v>
      </c>
      <c r="C349" s="209">
        <f>YEAR(MC[[#This Row],[Date]])+IF(MONTH(MC[[#This Row],[Date]])&gt;=4,1,0)</f>
        <v>2026</v>
      </c>
      <c r="D349" s="129">
        <f>YEAR(MC[[#This Row],[Date]])</f>
        <v>2026</v>
      </c>
      <c r="E349" s="287" t="s">
        <v>156</v>
      </c>
      <c r="F349" s="287" t="s">
        <v>156</v>
      </c>
      <c r="G349" s="4" t="str">
        <f>TEXT(MC[[#This Row],[Date]],"mmm-yy")</f>
        <v>Jan-26</v>
      </c>
      <c r="H349" s="4">
        <f>DAY(EOMONTH(MC[[#This Row],[Month Year]],0))</f>
        <v>31</v>
      </c>
      <c r="I349" s="132"/>
      <c r="J349" s="132"/>
      <c r="K349" s="132"/>
      <c r="L349" s="132"/>
      <c r="M349" s="132"/>
      <c r="N349" s="132"/>
      <c r="O349" s="132"/>
      <c r="P349" s="125"/>
      <c r="Q349" s="125"/>
      <c r="R349" s="4">
        <f>SUM(MC[[#This Row],[ICR1]:[ICR12]])</f>
        <v>0</v>
      </c>
      <c r="S349" s="132"/>
      <c r="T349" s="132"/>
      <c r="U349" s="132"/>
      <c r="V349" s="132"/>
      <c r="W349" s="132"/>
      <c r="X349" s="132"/>
      <c r="Y349" s="132"/>
    </row>
    <row r="350" spans="1:25">
      <c r="A350" s="132">
        <v>348</v>
      </c>
      <c r="B350" s="126">
        <f t="shared" si="5"/>
        <v>46036</v>
      </c>
      <c r="C350" s="209">
        <f>YEAR(MC[[#This Row],[Date]])+IF(MONTH(MC[[#This Row],[Date]])&gt;=4,1,0)</f>
        <v>2026</v>
      </c>
      <c r="D350" s="129">
        <f>YEAR(MC[[#This Row],[Date]])</f>
        <v>2026</v>
      </c>
      <c r="E350" s="287" t="s">
        <v>156</v>
      </c>
      <c r="F350" s="287" t="s">
        <v>156</v>
      </c>
      <c r="G350" s="4" t="str">
        <f>TEXT(MC[[#This Row],[Date]],"mmm-yy")</f>
        <v>Jan-26</v>
      </c>
      <c r="H350" s="4">
        <f>DAY(EOMONTH(MC[[#This Row],[Month Year]],0))</f>
        <v>31</v>
      </c>
      <c r="I350" s="132"/>
      <c r="J350" s="132"/>
      <c r="K350" s="132"/>
      <c r="L350" s="132"/>
      <c r="M350" s="132"/>
      <c r="N350" s="132"/>
      <c r="O350" s="132"/>
      <c r="P350" s="125"/>
      <c r="Q350" s="125"/>
      <c r="R350" s="4">
        <f>SUM(MC[[#This Row],[ICR1]:[ICR12]])</f>
        <v>0</v>
      </c>
      <c r="S350" s="132"/>
      <c r="T350" s="132"/>
      <c r="U350" s="132"/>
      <c r="V350" s="132"/>
      <c r="W350" s="132"/>
      <c r="X350" s="132"/>
      <c r="Y350" s="132"/>
    </row>
    <row r="351" spans="1:25">
      <c r="A351" s="132">
        <v>349</v>
      </c>
      <c r="B351" s="126">
        <f t="shared" si="5"/>
        <v>46037</v>
      </c>
      <c r="C351" s="209">
        <f>YEAR(MC[[#This Row],[Date]])+IF(MONTH(MC[[#This Row],[Date]])&gt;=4,1,0)</f>
        <v>2026</v>
      </c>
      <c r="D351" s="129">
        <f>YEAR(MC[[#This Row],[Date]])</f>
        <v>2026</v>
      </c>
      <c r="E351" s="287" t="s">
        <v>156</v>
      </c>
      <c r="F351" s="287" t="s">
        <v>156</v>
      </c>
      <c r="G351" s="4" t="str">
        <f>TEXT(MC[[#This Row],[Date]],"mmm-yy")</f>
        <v>Jan-26</v>
      </c>
      <c r="H351" s="4">
        <f>DAY(EOMONTH(MC[[#This Row],[Month Year]],0))</f>
        <v>31</v>
      </c>
      <c r="I351" s="132"/>
      <c r="J351" s="132"/>
      <c r="K351" s="132"/>
      <c r="L351" s="132"/>
      <c r="M351" s="132"/>
      <c r="N351" s="132"/>
      <c r="O351" s="132"/>
      <c r="P351" s="125"/>
      <c r="Q351" s="125"/>
      <c r="R351" s="4">
        <f>SUM(MC[[#This Row],[ICR1]:[ICR12]])</f>
        <v>0</v>
      </c>
      <c r="S351" s="133"/>
      <c r="T351" s="133"/>
      <c r="U351" s="133"/>
      <c r="V351" s="133"/>
      <c r="W351" s="288"/>
      <c r="X351" s="132"/>
      <c r="Y351" s="132"/>
    </row>
    <row r="352" spans="1:25">
      <c r="A352" s="132">
        <v>350</v>
      </c>
      <c r="B352" s="126">
        <f t="shared" si="5"/>
        <v>46038</v>
      </c>
      <c r="C352" s="209">
        <f>YEAR(MC[[#This Row],[Date]])+IF(MONTH(MC[[#This Row],[Date]])&gt;=4,1,0)</f>
        <v>2026</v>
      </c>
      <c r="D352" s="129">
        <f>YEAR(MC[[#This Row],[Date]])</f>
        <v>2026</v>
      </c>
      <c r="E352" s="287" t="s">
        <v>156</v>
      </c>
      <c r="F352" s="287" t="s">
        <v>156</v>
      </c>
      <c r="G352" s="4" t="str">
        <f>TEXT(MC[[#This Row],[Date]],"mmm-yy")</f>
        <v>Jan-26</v>
      </c>
      <c r="H352" s="4">
        <f>DAY(EOMONTH(MC[[#This Row],[Month Year]],0))</f>
        <v>31</v>
      </c>
      <c r="I352" s="132"/>
      <c r="J352" s="132"/>
      <c r="K352" s="132"/>
      <c r="L352" s="132"/>
      <c r="M352" s="132"/>
      <c r="N352" s="132"/>
      <c r="O352" s="132"/>
      <c r="P352" s="125"/>
      <c r="Q352" s="125"/>
      <c r="R352" s="4">
        <f>SUM(MC[[#This Row],[ICR1]:[ICR12]])</f>
        <v>0</v>
      </c>
      <c r="S352" s="133"/>
      <c r="T352" s="133"/>
      <c r="U352" s="133"/>
      <c r="V352" s="133"/>
      <c r="W352" s="288"/>
      <c r="X352" s="132"/>
      <c r="Y352" s="132"/>
    </row>
    <row r="353" spans="1:25">
      <c r="A353" s="132">
        <v>351</v>
      </c>
      <c r="B353" s="126">
        <f t="shared" si="5"/>
        <v>46039</v>
      </c>
      <c r="C353" s="209">
        <f>YEAR(MC[[#This Row],[Date]])+IF(MONTH(MC[[#This Row],[Date]])&gt;=4,1,0)</f>
        <v>2026</v>
      </c>
      <c r="D353" s="129">
        <f>YEAR(MC[[#This Row],[Date]])</f>
        <v>2026</v>
      </c>
      <c r="E353" s="287" t="s">
        <v>156</v>
      </c>
      <c r="F353" s="287" t="s">
        <v>156</v>
      </c>
      <c r="G353" s="4" t="str">
        <f>TEXT(MC[[#This Row],[Date]],"mmm-yy")</f>
        <v>Jan-26</v>
      </c>
      <c r="H353" s="4">
        <f>DAY(EOMONTH(MC[[#This Row],[Month Year]],0))</f>
        <v>31</v>
      </c>
      <c r="I353" s="132"/>
      <c r="J353" s="132"/>
      <c r="K353" s="132"/>
      <c r="L353" s="132"/>
      <c r="M353" s="132"/>
      <c r="N353" s="132"/>
      <c r="O353" s="132"/>
      <c r="P353" s="132"/>
      <c r="Q353" s="132"/>
      <c r="R353" s="4">
        <f>SUM(MC[[#This Row],[ICR1]:[ICR12]])</f>
        <v>0</v>
      </c>
      <c r="S353" s="133"/>
      <c r="T353" s="133"/>
      <c r="U353" s="133"/>
      <c r="V353" s="133"/>
      <c r="W353" s="288"/>
      <c r="X353" s="132"/>
      <c r="Y353" s="132"/>
    </row>
    <row r="354" spans="1:25">
      <c r="A354" s="132">
        <v>352</v>
      </c>
      <c r="B354" s="126">
        <f t="shared" si="5"/>
        <v>46040</v>
      </c>
      <c r="C354" s="209">
        <f>YEAR(MC[[#This Row],[Date]])+IF(MONTH(MC[[#This Row],[Date]])&gt;=4,1,0)</f>
        <v>2026</v>
      </c>
      <c r="D354" s="129">
        <f>YEAR(MC[[#This Row],[Date]])</f>
        <v>2026</v>
      </c>
      <c r="E354" s="287" t="s">
        <v>156</v>
      </c>
      <c r="F354" s="287" t="s">
        <v>156</v>
      </c>
      <c r="G354" s="4" t="str">
        <f>TEXT(MC[[#This Row],[Date]],"mmm-yy")</f>
        <v>Jan-26</v>
      </c>
      <c r="H354" s="4">
        <f>DAY(EOMONTH(MC[[#This Row],[Month Year]],0))</f>
        <v>31</v>
      </c>
      <c r="I354" s="132"/>
      <c r="J354" s="132"/>
      <c r="K354" s="132"/>
      <c r="L354" s="132"/>
      <c r="M354" s="132"/>
      <c r="N354" s="132"/>
      <c r="O354" s="132"/>
      <c r="P354" s="125"/>
      <c r="Q354" s="125"/>
      <c r="R354" s="4">
        <f>SUM(MC[[#This Row],[ICR1]:[ICR12]])</f>
        <v>0</v>
      </c>
      <c r="S354" s="132"/>
      <c r="T354" s="132"/>
      <c r="U354" s="132"/>
      <c r="V354" s="132"/>
      <c r="W354" s="132"/>
      <c r="X354" s="132"/>
      <c r="Y354" s="132"/>
    </row>
    <row r="355" spans="1:25">
      <c r="A355" s="132">
        <v>353</v>
      </c>
      <c r="B355" s="126">
        <f t="shared" si="5"/>
        <v>46041</v>
      </c>
      <c r="C355" s="209">
        <f>YEAR(MC[[#This Row],[Date]])+IF(MONTH(MC[[#This Row],[Date]])&gt;=4,1,0)</f>
        <v>2026</v>
      </c>
      <c r="D355" s="129">
        <f>YEAR(MC[[#This Row],[Date]])</f>
        <v>2026</v>
      </c>
      <c r="E355" s="287" t="s">
        <v>156</v>
      </c>
      <c r="F355" s="287" t="s">
        <v>156</v>
      </c>
      <c r="G355" s="4" t="str">
        <f>TEXT(MC[[#This Row],[Date]],"mmm-yy")</f>
        <v>Jan-26</v>
      </c>
      <c r="H355" s="4">
        <f>DAY(EOMONTH(MC[[#This Row],[Month Year]],0))</f>
        <v>31</v>
      </c>
      <c r="I355" s="132"/>
      <c r="J355" s="132"/>
      <c r="K355" s="132"/>
      <c r="L355" s="132"/>
      <c r="M355" s="132"/>
      <c r="N355" s="132"/>
      <c r="O355" s="132"/>
      <c r="P355" s="125"/>
      <c r="Q355" s="125"/>
      <c r="R355" s="4">
        <f>SUM(MC[[#This Row],[ICR1]:[ICR12]])</f>
        <v>0</v>
      </c>
      <c r="S355" s="132"/>
      <c r="T355" s="132"/>
      <c r="U355" s="132"/>
      <c r="V355" s="132"/>
      <c r="W355" s="132"/>
      <c r="X355" s="132"/>
      <c r="Y355" s="132"/>
    </row>
    <row r="356" spans="1:25">
      <c r="A356" s="132">
        <v>354</v>
      </c>
      <c r="B356" s="126">
        <f t="shared" si="5"/>
        <v>46042</v>
      </c>
      <c r="C356" s="209">
        <f>YEAR(MC[[#This Row],[Date]])+IF(MONTH(MC[[#This Row],[Date]])&gt;=4,1,0)</f>
        <v>2026</v>
      </c>
      <c r="D356" s="129">
        <f>YEAR(MC[[#This Row],[Date]])</f>
        <v>2026</v>
      </c>
      <c r="E356" s="287" t="s">
        <v>156</v>
      </c>
      <c r="F356" s="287" t="s">
        <v>156</v>
      </c>
      <c r="G356" s="4" t="str">
        <f>TEXT(MC[[#This Row],[Date]],"mmm-yy")</f>
        <v>Jan-26</v>
      </c>
      <c r="H356" s="4">
        <f>DAY(EOMONTH(MC[[#This Row],[Month Year]],0))</f>
        <v>31</v>
      </c>
      <c r="I356" s="132"/>
      <c r="J356" s="132"/>
      <c r="K356" s="132"/>
      <c r="L356" s="132"/>
      <c r="M356" s="132"/>
      <c r="N356" s="132"/>
      <c r="O356" s="132"/>
      <c r="P356" s="125"/>
      <c r="Q356" s="125"/>
      <c r="R356" s="4">
        <f>SUM(MC[[#This Row],[ICR1]:[ICR12]])</f>
        <v>0</v>
      </c>
      <c r="S356" s="132"/>
      <c r="T356" s="132"/>
      <c r="U356" s="132"/>
      <c r="V356" s="132"/>
      <c r="W356" s="132"/>
      <c r="X356" s="132"/>
      <c r="Y356" s="132"/>
    </row>
    <row r="357" spans="1:25">
      <c r="A357" s="132">
        <v>355</v>
      </c>
      <c r="B357" s="126">
        <f t="shared" si="5"/>
        <v>46043</v>
      </c>
      <c r="C357" s="209">
        <f>YEAR(MC[[#This Row],[Date]])+IF(MONTH(MC[[#This Row],[Date]])&gt;=4,1,0)</f>
        <v>2026</v>
      </c>
      <c r="D357" s="129">
        <f>YEAR(MC[[#This Row],[Date]])</f>
        <v>2026</v>
      </c>
      <c r="E357" s="287" t="s">
        <v>156</v>
      </c>
      <c r="F357" s="287" t="s">
        <v>156</v>
      </c>
      <c r="G357" s="4" t="str">
        <f>TEXT(MC[[#This Row],[Date]],"mmm-yy")</f>
        <v>Jan-26</v>
      </c>
      <c r="H357" s="4">
        <f>DAY(EOMONTH(MC[[#This Row],[Month Year]],0))</f>
        <v>31</v>
      </c>
      <c r="I357" s="132"/>
      <c r="J357" s="132"/>
      <c r="K357" s="132"/>
      <c r="L357" s="132"/>
      <c r="M357" s="132"/>
      <c r="N357" s="132"/>
      <c r="O357" s="132"/>
      <c r="P357" s="125"/>
      <c r="Q357" s="125"/>
      <c r="R357" s="4">
        <f>SUM(MC[[#This Row],[ICR1]:[ICR12]])</f>
        <v>0</v>
      </c>
      <c r="S357" s="133"/>
      <c r="T357" s="133"/>
      <c r="U357" s="133"/>
      <c r="V357" s="133"/>
      <c r="W357" s="288"/>
      <c r="X357" s="132"/>
      <c r="Y357" s="132"/>
    </row>
    <row r="358" spans="1:25">
      <c r="A358" s="132">
        <v>356</v>
      </c>
      <c r="B358" s="126">
        <f t="shared" si="5"/>
        <v>46044</v>
      </c>
      <c r="C358" s="209">
        <f>YEAR(MC[[#This Row],[Date]])+IF(MONTH(MC[[#This Row],[Date]])&gt;=4,1,0)</f>
        <v>2026</v>
      </c>
      <c r="D358" s="129">
        <f>YEAR(MC[[#This Row],[Date]])</f>
        <v>2026</v>
      </c>
      <c r="E358" s="287" t="s">
        <v>156</v>
      </c>
      <c r="F358" s="287" t="s">
        <v>156</v>
      </c>
      <c r="G358" s="4" t="str">
        <f>TEXT(MC[[#This Row],[Date]],"mmm-yy")</f>
        <v>Jan-26</v>
      </c>
      <c r="H358" s="4">
        <f>DAY(EOMONTH(MC[[#This Row],[Month Year]],0))</f>
        <v>31</v>
      </c>
      <c r="I358" s="132"/>
      <c r="J358" s="132"/>
      <c r="K358" s="132"/>
      <c r="L358" s="132"/>
      <c r="M358" s="132"/>
      <c r="N358" s="132"/>
      <c r="O358" s="132"/>
      <c r="P358" s="125"/>
      <c r="Q358" s="125"/>
      <c r="R358" s="4">
        <f>SUM(MC[[#This Row],[ICR1]:[ICR12]])</f>
        <v>0</v>
      </c>
      <c r="S358" s="133"/>
      <c r="T358" s="133"/>
      <c r="U358" s="133"/>
      <c r="V358" s="133"/>
      <c r="W358" s="288"/>
      <c r="X358" s="132"/>
      <c r="Y358" s="132"/>
    </row>
    <row r="359" spans="1:25">
      <c r="A359" s="132">
        <v>357</v>
      </c>
      <c r="B359" s="126">
        <f t="shared" si="5"/>
        <v>46045</v>
      </c>
      <c r="C359" s="209">
        <f>YEAR(MC[[#This Row],[Date]])+IF(MONTH(MC[[#This Row],[Date]])&gt;=4,1,0)</f>
        <v>2026</v>
      </c>
      <c r="D359" s="129">
        <f>YEAR(MC[[#This Row],[Date]])</f>
        <v>2026</v>
      </c>
      <c r="E359" s="287" t="s">
        <v>156</v>
      </c>
      <c r="F359" s="287" t="s">
        <v>156</v>
      </c>
      <c r="G359" s="4" t="str">
        <f>TEXT(MC[[#This Row],[Date]],"mmm-yy")</f>
        <v>Jan-26</v>
      </c>
      <c r="H359" s="4">
        <f>DAY(EOMONTH(MC[[#This Row],[Month Year]],0))</f>
        <v>31</v>
      </c>
      <c r="I359" s="132"/>
      <c r="J359" s="132"/>
      <c r="K359" s="132"/>
      <c r="L359" s="132"/>
      <c r="M359" s="132"/>
      <c r="N359" s="132"/>
      <c r="O359" s="132"/>
      <c r="P359" s="125"/>
      <c r="Q359" s="125"/>
      <c r="R359" s="4">
        <f>SUM(MC[[#This Row],[ICR1]:[ICR12]])</f>
        <v>0</v>
      </c>
      <c r="S359" s="133"/>
      <c r="T359" s="133"/>
      <c r="U359" s="133"/>
      <c r="V359" s="133"/>
      <c r="W359" s="288"/>
      <c r="X359" s="132"/>
      <c r="Y359" s="132"/>
    </row>
    <row r="360" spans="1:25">
      <c r="A360" s="132">
        <v>358</v>
      </c>
      <c r="B360" s="126">
        <f t="shared" si="5"/>
        <v>46046</v>
      </c>
      <c r="C360" s="209">
        <f>YEAR(MC[[#This Row],[Date]])+IF(MONTH(MC[[#This Row],[Date]])&gt;=4,1,0)</f>
        <v>2026</v>
      </c>
      <c r="D360" s="129">
        <f>YEAR(MC[[#This Row],[Date]])</f>
        <v>2026</v>
      </c>
      <c r="E360" s="287" t="s">
        <v>156</v>
      </c>
      <c r="F360" s="287" t="s">
        <v>156</v>
      </c>
      <c r="G360" s="4" t="str">
        <f>TEXT(MC[[#This Row],[Date]],"mmm-yy")</f>
        <v>Jan-26</v>
      </c>
      <c r="H360" s="4">
        <f>DAY(EOMONTH(MC[[#This Row],[Month Year]],0))</f>
        <v>31</v>
      </c>
      <c r="I360" s="132"/>
      <c r="J360" s="132"/>
      <c r="K360" s="132"/>
      <c r="L360" s="132"/>
      <c r="M360" s="132"/>
      <c r="N360" s="132"/>
      <c r="O360" s="132"/>
      <c r="P360" s="125"/>
      <c r="Q360" s="125"/>
      <c r="R360" s="4">
        <f>SUM(MC[[#This Row],[ICR1]:[ICR12]])</f>
        <v>0</v>
      </c>
      <c r="S360" s="133"/>
      <c r="T360" s="133"/>
      <c r="U360" s="133"/>
      <c r="V360" s="133"/>
      <c r="W360" s="288"/>
      <c r="X360" s="132"/>
      <c r="Y360" s="132"/>
    </row>
    <row r="361" spans="1:25">
      <c r="A361" s="132">
        <v>359</v>
      </c>
      <c r="B361" s="126">
        <f t="shared" si="5"/>
        <v>46047</v>
      </c>
      <c r="C361" s="209">
        <f>YEAR(MC[[#This Row],[Date]])+IF(MONTH(MC[[#This Row],[Date]])&gt;=4,1,0)</f>
        <v>2026</v>
      </c>
      <c r="D361" s="129">
        <f>YEAR(MC[[#This Row],[Date]])</f>
        <v>2026</v>
      </c>
      <c r="E361" s="287" t="s">
        <v>156</v>
      </c>
      <c r="F361" s="287" t="s">
        <v>156</v>
      </c>
      <c r="G361" s="4" t="str">
        <f>TEXT(MC[[#This Row],[Date]],"mmm-yy")</f>
        <v>Jan-26</v>
      </c>
      <c r="H361" s="4">
        <f>DAY(EOMONTH(MC[[#This Row],[Month Year]],0))</f>
        <v>31</v>
      </c>
      <c r="I361" s="132"/>
      <c r="J361" s="132"/>
      <c r="K361" s="132"/>
      <c r="L361" s="132"/>
      <c r="M361" s="132"/>
      <c r="N361" s="132"/>
      <c r="O361" s="132"/>
      <c r="P361" s="125"/>
      <c r="Q361" s="125"/>
      <c r="R361" s="4">
        <f>SUM(MC[[#This Row],[ICR1]:[ICR12]])</f>
        <v>0</v>
      </c>
      <c r="S361" s="133"/>
      <c r="T361" s="133"/>
      <c r="U361" s="133"/>
      <c r="V361" s="133"/>
      <c r="W361" s="288"/>
      <c r="X361" s="132"/>
      <c r="Y361" s="132"/>
    </row>
    <row r="362" spans="1:25">
      <c r="A362" s="132">
        <v>360</v>
      </c>
      <c r="B362" s="126">
        <f t="shared" si="5"/>
        <v>46048</v>
      </c>
      <c r="C362" s="209">
        <f>YEAR(MC[[#This Row],[Date]])+IF(MONTH(MC[[#This Row],[Date]])&gt;=4,1,0)</f>
        <v>2026</v>
      </c>
      <c r="D362" s="129">
        <f>YEAR(MC[[#This Row],[Date]])</f>
        <v>2026</v>
      </c>
      <c r="E362" s="287" t="s">
        <v>156</v>
      </c>
      <c r="F362" s="287" t="s">
        <v>156</v>
      </c>
      <c r="G362" s="4" t="str">
        <f>TEXT(MC[[#This Row],[Date]],"mmm-yy")</f>
        <v>Jan-26</v>
      </c>
      <c r="H362" s="4">
        <f>DAY(EOMONTH(MC[[#This Row],[Month Year]],0))</f>
        <v>31</v>
      </c>
      <c r="I362" s="132"/>
      <c r="J362" s="132"/>
      <c r="K362" s="132"/>
      <c r="L362" s="132"/>
      <c r="M362" s="132"/>
      <c r="N362" s="132"/>
      <c r="O362" s="132"/>
      <c r="P362" s="125"/>
      <c r="Q362" s="125"/>
      <c r="R362" s="4">
        <f>SUM(MC[[#This Row],[ICR1]:[ICR12]])</f>
        <v>0</v>
      </c>
      <c r="S362" s="133"/>
      <c r="T362" s="133"/>
      <c r="U362" s="133"/>
      <c r="V362" s="133"/>
      <c r="W362" s="288"/>
      <c r="X362" s="132"/>
      <c r="Y362" s="132"/>
    </row>
    <row r="363" spans="1:25">
      <c r="A363" s="132">
        <v>361</v>
      </c>
      <c r="B363" s="126">
        <f t="shared" si="5"/>
        <v>46049</v>
      </c>
      <c r="C363" s="209">
        <f>YEAR(MC[[#This Row],[Date]])+IF(MONTH(MC[[#This Row],[Date]])&gt;=4,1,0)</f>
        <v>2026</v>
      </c>
      <c r="D363" s="129">
        <f>YEAR(MC[[#This Row],[Date]])</f>
        <v>2026</v>
      </c>
      <c r="E363" s="287" t="s">
        <v>156</v>
      </c>
      <c r="F363" s="287" t="s">
        <v>156</v>
      </c>
      <c r="G363" s="4" t="str">
        <f>TEXT(MC[[#This Row],[Date]],"mmm-yy")</f>
        <v>Jan-26</v>
      </c>
      <c r="H363" s="4">
        <f>DAY(EOMONTH(MC[[#This Row],[Month Year]],0))</f>
        <v>31</v>
      </c>
      <c r="I363" s="132"/>
      <c r="J363" s="132"/>
      <c r="K363" s="132"/>
      <c r="L363" s="132"/>
      <c r="M363" s="132"/>
      <c r="N363" s="132"/>
      <c r="O363" s="132"/>
      <c r="P363" s="125"/>
      <c r="Q363" s="125"/>
      <c r="R363" s="4">
        <f>SUM(MC[[#This Row],[ICR1]:[ICR12]])</f>
        <v>0</v>
      </c>
      <c r="S363" s="132"/>
      <c r="T363" s="132"/>
      <c r="U363" s="132"/>
      <c r="V363" s="132"/>
      <c r="W363" s="132"/>
      <c r="X363" s="132"/>
      <c r="Y363" s="132"/>
    </row>
    <row r="364" spans="1:25">
      <c r="A364" s="132">
        <v>362</v>
      </c>
      <c r="B364" s="126">
        <f t="shared" si="5"/>
        <v>46050</v>
      </c>
      <c r="C364" s="209">
        <f>YEAR(MC[[#This Row],[Date]])+IF(MONTH(MC[[#This Row],[Date]])&gt;=4,1,0)</f>
        <v>2026</v>
      </c>
      <c r="D364" s="129">
        <f>YEAR(MC[[#This Row],[Date]])</f>
        <v>2026</v>
      </c>
      <c r="E364" s="287" t="s">
        <v>156</v>
      </c>
      <c r="F364" s="287" t="s">
        <v>156</v>
      </c>
      <c r="G364" s="4" t="str">
        <f>TEXT(MC[[#This Row],[Date]],"mmm-yy")</f>
        <v>Jan-26</v>
      </c>
      <c r="H364" s="4">
        <f>DAY(EOMONTH(MC[[#This Row],[Month Year]],0))</f>
        <v>31</v>
      </c>
      <c r="I364" s="132"/>
      <c r="J364" s="132"/>
      <c r="K364" s="132"/>
      <c r="L364" s="132"/>
      <c r="M364" s="132"/>
      <c r="N364" s="132"/>
      <c r="O364" s="132"/>
      <c r="P364" s="125"/>
      <c r="Q364" s="125"/>
      <c r="R364" s="4">
        <f>SUM(MC[[#This Row],[ICR1]:[ICR12]])</f>
        <v>0</v>
      </c>
      <c r="S364" s="133"/>
      <c r="T364" s="133"/>
      <c r="U364" s="133"/>
      <c r="V364" s="133"/>
      <c r="W364" s="288"/>
      <c r="X364" s="132"/>
      <c r="Y364" s="132"/>
    </row>
    <row r="365" spans="1:25">
      <c r="A365" s="132">
        <v>363</v>
      </c>
      <c r="B365" s="126">
        <f t="shared" si="5"/>
        <v>46051</v>
      </c>
      <c r="C365" s="209">
        <f>YEAR(MC[[#This Row],[Date]])+IF(MONTH(MC[[#This Row],[Date]])&gt;=4,1,0)</f>
        <v>2026</v>
      </c>
      <c r="D365" s="129">
        <f>YEAR(MC[[#This Row],[Date]])</f>
        <v>2026</v>
      </c>
      <c r="E365" s="287" t="s">
        <v>156</v>
      </c>
      <c r="F365" s="287" t="s">
        <v>156</v>
      </c>
      <c r="G365" s="4" t="str">
        <f>TEXT(MC[[#This Row],[Date]],"mmm-yy")</f>
        <v>Jan-26</v>
      </c>
      <c r="H365" s="4">
        <f>DAY(EOMONTH(MC[[#This Row],[Month Year]],0))</f>
        <v>31</v>
      </c>
      <c r="I365" s="132"/>
      <c r="J365" s="132"/>
      <c r="K365" s="132"/>
      <c r="L365" s="132"/>
      <c r="M365" s="132"/>
      <c r="N365" s="132"/>
      <c r="O365" s="132"/>
      <c r="P365" s="125"/>
      <c r="Q365" s="125"/>
      <c r="R365" s="4">
        <f>SUM(MC[[#This Row],[ICR1]:[ICR12]])</f>
        <v>0</v>
      </c>
      <c r="S365" s="133"/>
      <c r="T365" s="133"/>
      <c r="U365" s="133"/>
      <c r="V365" s="133"/>
      <c r="W365" s="288"/>
      <c r="X365" s="132"/>
      <c r="Y365" s="132"/>
    </row>
    <row r="366" spans="1:25">
      <c r="A366" s="132">
        <v>364</v>
      </c>
      <c r="B366" s="126">
        <f t="shared" si="5"/>
        <v>46052</v>
      </c>
      <c r="C366" s="209">
        <f>YEAR(MC[[#This Row],[Date]])+IF(MONTH(MC[[#This Row],[Date]])&gt;=4,1,0)</f>
        <v>2026</v>
      </c>
      <c r="D366" s="129">
        <f>YEAR(MC[[#This Row],[Date]])</f>
        <v>2026</v>
      </c>
      <c r="E366" s="287" t="s">
        <v>156</v>
      </c>
      <c r="F366" s="287" t="s">
        <v>156</v>
      </c>
      <c r="G366" s="4" t="str">
        <f>TEXT(MC[[#This Row],[Date]],"mmm-yy")</f>
        <v>Jan-26</v>
      </c>
      <c r="H366" s="4">
        <f>DAY(EOMONTH(MC[[#This Row],[Month Year]],0))</f>
        <v>31</v>
      </c>
      <c r="I366" s="132"/>
      <c r="J366" s="132"/>
      <c r="K366" s="132"/>
      <c r="L366" s="132"/>
      <c r="M366" s="132"/>
      <c r="N366" s="132"/>
      <c r="O366" s="132"/>
      <c r="P366" s="125"/>
      <c r="Q366" s="125"/>
      <c r="R366" s="4">
        <f>SUM(MC[[#This Row],[ICR1]:[ICR12]])</f>
        <v>0</v>
      </c>
      <c r="S366" s="133"/>
      <c r="T366" s="133"/>
      <c r="U366" s="133"/>
      <c r="V366" s="133"/>
      <c r="W366" s="288"/>
      <c r="X366" s="132"/>
      <c r="Y366" s="132"/>
    </row>
    <row r="367" spans="1:25">
      <c r="A367" s="132">
        <v>365</v>
      </c>
      <c r="B367" s="126">
        <f t="shared" si="5"/>
        <v>46053</v>
      </c>
      <c r="C367" s="209">
        <f>YEAR(MC[[#This Row],[Date]])+IF(MONTH(MC[[#This Row],[Date]])&gt;=4,1,0)</f>
        <v>2026</v>
      </c>
      <c r="D367" s="129">
        <f>YEAR(MC[[#This Row],[Date]])</f>
        <v>2026</v>
      </c>
      <c r="E367" s="287" t="s">
        <v>156</v>
      </c>
      <c r="F367" s="287" t="s">
        <v>156</v>
      </c>
      <c r="G367" s="4" t="str">
        <f>TEXT(MC[[#This Row],[Date]],"mmm-yy")</f>
        <v>Jan-26</v>
      </c>
      <c r="H367" s="4">
        <f>DAY(EOMONTH(MC[[#This Row],[Month Year]],0))</f>
        <v>31</v>
      </c>
      <c r="I367" s="132"/>
      <c r="J367" s="132"/>
      <c r="K367" s="132"/>
      <c r="L367" s="132"/>
      <c r="M367" s="132"/>
      <c r="N367" s="132"/>
      <c r="O367" s="132"/>
      <c r="P367" s="125"/>
      <c r="Q367" s="125"/>
      <c r="R367" s="4">
        <f>SUM(MC[[#This Row],[ICR1]:[ICR12]])</f>
        <v>0</v>
      </c>
      <c r="S367" s="133"/>
      <c r="T367" s="133"/>
      <c r="U367" s="133"/>
      <c r="V367" s="133"/>
      <c r="W367" s="288"/>
      <c r="X367" s="132"/>
      <c r="Y367" s="132"/>
    </row>
    <row r="368" spans="1:25">
      <c r="A368" s="132">
        <v>366</v>
      </c>
      <c r="B368" s="126">
        <f t="shared" si="5"/>
        <v>46054</v>
      </c>
      <c r="C368" s="209">
        <f>YEAR(MC[[#This Row],[Date]])+IF(MONTH(MC[[#This Row],[Date]])&gt;=4,1,0)</f>
        <v>2026</v>
      </c>
      <c r="D368" s="129">
        <f>YEAR(MC[[#This Row],[Date]])</f>
        <v>2026</v>
      </c>
      <c r="E368" s="287" t="s">
        <v>156</v>
      </c>
      <c r="F368" s="287" t="s">
        <v>156</v>
      </c>
      <c r="G368" s="4" t="str">
        <f>TEXT(MC[[#This Row],[Date]],"mmm-yy")</f>
        <v>Feb-26</v>
      </c>
      <c r="H368" s="4">
        <f>DAY(EOMONTH(MC[[#This Row],[Month Year]],0))</f>
        <v>28</v>
      </c>
      <c r="I368" s="132"/>
      <c r="J368" s="132"/>
      <c r="K368" s="132"/>
      <c r="L368" s="132"/>
      <c r="M368" s="132"/>
      <c r="N368" s="132"/>
      <c r="O368" s="132"/>
      <c r="P368" s="125"/>
      <c r="Q368" s="125"/>
      <c r="R368" s="4">
        <f>SUM(MC[[#This Row],[ICR1]:[ICR12]])</f>
        <v>0</v>
      </c>
      <c r="S368" s="133"/>
      <c r="T368" s="133"/>
      <c r="U368" s="133"/>
      <c r="V368" s="133"/>
      <c r="W368" s="288"/>
      <c r="X368" s="132"/>
      <c r="Y368" s="132"/>
    </row>
    <row r="369" spans="1:25">
      <c r="A369" s="132">
        <v>367</v>
      </c>
      <c r="B369" s="126">
        <f t="shared" si="5"/>
        <v>46055</v>
      </c>
      <c r="C369" s="209">
        <f>YEAR(MC[[#This Row],[Date]])+IF(MONTH(MC[[#This Row],[Date]])&gt;=4,1,0)</f>
        <v>2026</v>
      </c>
      <c r="D369" s="129">
        <f>YEAR(MC[[#This Row],[Date]])</f>
        <v>2026</v>
      </c>
      <c r="E369" s="287" t="s">
        <v>156</v>
      </c>
      <c r="F369" s="287" t="s">
        <v>156</v>
      </c>
      <c r="G369" s="4" t="str">
        <f>TEXT(MC[[#This Row],[Date]],"mmm-yy")</f>
        <v>Feb-26</v>
      </c>
      <c r="H369" s="4">
        <f>DAY(EOMONTH(MC[[#This Row],[Month Year]],0))</f>
        <v>28</v>
      </c>
      <c r="I369" s="132"/>
      <c r="J369" s="132"/>
      <c r="K369" s="132"/>
      <c r="L369" s="132"/>
      <c r="M369" s="132"/>
      <c r="N369" s="132"/>
      <c r="O369" s="132"/>
      <c r="P369" s="125"/>
      <c r="Q369" s="125"/>
      <c r="R369" s="4">
        <f>SUM(MC[[#This Row],[ICR1]:[ICR12]])</f>
        <v>0</v>
      </c>
      <c r="S369" s="133"/>
      <c r="T369" s="133"/>
      <c r="U369" s="133"/>
      <c r="V369" s="133"/>
      <c r="W369" s="288"/>
      <c r="X369" s="132"/>
      <c r="Y369" s="132"/>
    </row>
    <row r="370" spans="1:25">
      <c r="A370" s="132">
        <v>368</v>
      </c>
      <c r="B370" s="126">
        <f t="shared" si="5"/>
        <v>46056</v>
      </c>
      <c r="C370" s="209">
        <f>YEAR(MC[[#This Row],[Date]])+IF(MONTH(MC[[#This Row],[Date]])&gt;=4,1,0)</f>
        <v>2026</v>
      </c>
      <c r="D370" s="129">
        <f>YEAR(MC[[#This Row],[Date]])</f>
        <v>2026</v>
      </c>
      <c r="E370" s="287" t="s">
        <v>156</v>
      </c>
      <c r="F370" s="287" t="s">
        <v>156</v>
      </c>
      <c r="G370" s="4" t="str">
        <f>TEXT(MC[[#This Row],[Date]],"mmm-yy")</f>
        <v>Feb-26</v>
      </c>
      <c r="H370" s="4">
        <f>DAY(EOMONTH(MC[[#This Row],[Month Year]],0))</f>
        <v>28</v>
      </c>
      <c r="I370" s="132"/>
      <c r="J370" s="132"/>
      <c r="K370" s="132"/>
      <c r="L370" s="132"/>
      <c r="M370" s="132"/>
      <c r="N370" s="132"/>
      <c r="O370" s="132"/>
      <c r="P370" s="125"/>
      <c r="Q370" s="125"/>
      <c r="R370" s="4">
        <f>SUM(MC[[#This Row],[ICR1]:[ICR12]])</f>
        <v>0</v>
      </c>
      <c r="S370" s="133"/>
      <c r="T370" s="133"/>
      <c r="U370" s="133"/>
      <c r="V370" s="133"/>
      <c r="W370" s="288"/>
      <c r="X370" s="132"/>
      <c r="Y370" s="132"/>
    </row>
    <row r="371" spans="1:25">
      <c r="A371" s="132">
        <v>369</v>
      </c>
      <c r="B371" s="126">
        <f t="shared" si="5"/>
        <v>46057</v>
      </c>
      <c r="C371" s="209">
        <f>YEAR(MC[[#This Row],[Date]])+IF(MONTH(MC[[#This Row],[Date]])&gt;=4,1,0)</f>
        <v>2026</v>
      </c>
      <c r="D371" s="129">
        <f>YEAR(MC[[#This Row],[Date]])</f>
        <v>2026</v>
      </c>
      <c r="E371" s="287" t="s">
        <v>156</v>
      </c>
      <c r="F371" s="287" t="s">
        <v>156</v>
      </c>
      <c r="G371" s="4" t="str">
        <f>TEXT(MC[[#This Row],[Date]],"mmm-yy")</f>
        <v>Feb-26</v>
      </c>
      <c r="H371" s="4">
        <f>DAY(EOMONTH(MC[[#This Row],[Month Year]],0))</f>
        <v>28</v>
      </c>
      <c r="I371" s="132"/>
      <c r="J371" s="132"/>
      <c r="K371" s="132"/>
      <c r="L371" s="132"/>
      <c r="M371" s="132"/>
      <c r="N371" s="132"/>
      <c r="O371" s="132"/>
      <c r="P371" s="125"/>
      <c r="Q371" s="125"/>
      <c r="R371" s="4">
        <f>SUM(MC[[#This Row],[ICR1]:[ICR12]])</f>
        <v>0</v>
      </c>
      <c r="S371" s="133"/>
      <c r="T371" s="133"/>
      <c r="U371" s="133"/>
      <c r="V371" s="133"/>
      <c r="W371" s="288"/>
      <c r="X371" s="132"/>
      <c r="Y371" s="132"/>
    </row>
    <row r="372" spans="1:25">
      <c r="A372" s="132">
        <v>370</v>
      </c>
      <c r="B372" s="126">
        <f t="shared" si="5"/>
        <v>46058</v>
      </c>
      <c r="C372" s="209">
        <f>YEAR(MC[[#This Row],[Date]])+IF(MONTH(MC[[#This Row],[Date]])&gt;=4,1,0)</f>
        <v>2026</v>
      </c>
      <c r="D372" s="129">
        <f>YEAR(MC[[#This Row],[Date]])</f>
        <v>2026</v>
      </c>
      <c r="E372" s="287" t="s">
        <v>156</v>
      </c>
      <c r="F372" s="287" t="s">
        <v>156</v>
      </c>
      <c r="G372" s="4" t="str">
        <f>TEXT(MC[[#This Row],[Date]],"mmm-yy")</f>
        <v>Feb-26</v>
      </c>
      <c r="H372" s="4">
        <f>DAY(EOMONTH(MC[[#This Row],[Month Year]],0))</f>
        <v>28</v>
      </c>
      <c r="I372" s="132"/>
      <c r="J372" s="132"/>
      <c r="K372" s="132"/>
      <c r="L372" s="132"/>
      <c r="M372" s="132"/>
      <c r="N372" s="132"/>
      <c r="O372" s="132"/>
      <c r="P372" s="125"/>
      <c r="Q372" s="125"/>
      <c r="R372" s="4">
        <f>SUM(MC[[#This Row],[ICR1]:[ICR12]])</f>
        <v>0</v>
      </c>
      <c r="S372" s="133"/>
      <c r="T372" s="133"/>
      <c r="U372" s="133"/>
      <c r="V372" s="133"/>
      <c r="W372" s="288"/>
      <c r="X372" s="132"/>
      <c r="Y372" s="132"/>
    </row>
    <row r="373" spans="1:25">
      <c r="A373" s="132">
        <v>371</v>
      </c>
      <c r="B373" s="126">
        <f t="shared" si="5"/>
        <v>46059</v>
      </c>
      <c r="C373" s="209">
        <f>YEAR(MC[[#This Row],[Date]])+IF(MONTH(MC[[#This Row],[Date]])&gt;=4,1,0)</f>
        <v>2026</v>
      </c>
      <c r="D373" s="129">
        <f>YEAR(MC[[#This Row],[Date]])</f>
        <v>2026</v>
      </c>
      <c r="E373" s="287" t="s">
        <v>156</v>
      </c>
      <c r="F373" s="287" t="s">
        <v>156</v>
      </c>
      <c r="G373" s="4" t="str">
        <f>TEXT(MC[[#This Row],[Date]],"mmm-yy")</f>
        <v>Feb-26</v>
      </c>
      <c r="H373" s="4">
        <f>DAY(EOMONTH(MC[[#This Row],[Month Year]],0))</f>
        <v>28</v>
      </c>
      <c r="I373" s="132"/>
      <c r="J373" s="132"/>
      <c r="K373" s="132"/>
      <c r="L373" s="132"/>
      <c r="M373" s="132"/>
      <c r="N373" s="132"/>
      <c r="O373" s="132"/>
      <c r="P373" s="125"/>
      <c r="Q373" s="125"/>
      <c r="R373" s="4">
        <f>SUM(MC[[#This Row],[ICR1]:[ICR12]])</f>
        <v>0</v>
      </c>
      <c r="S373" s="133"/>
      <c r="T373" s="133"/>
      <c r="U373" s="133"/>
      <c r="V373" s="133"/>
      <c r="W373" s="288"/>
      <c r="X373" s="132"/>
      <c r="Y373" s="132"/>
    </row>
    <row r="374" spans="1:25">
      <c r="A374" s="132">
        <v>372</v>
      </c>
      <c r="B374" s="126">
        <f t="shared" si="5"/>
        <v>46060</v>
      </c>
      <c r="C374" s="209">
        <f>YEAR(MC[[#This Row],[Date]])+IF(MONTH(MC[[#This Row],[Date]])&gt;=4,1,0)</f>
        <v>2026</v>
      </c>
      <c r="D374" s="129">
        <f>YEAR(MC[[#This Row],[Date]])</f>
        <v>2026</v>
      </c>
      <c r="E374" s="287" t="s">
        <v>156</v>
      </c>
      <c r="F374" s="287" t="s">
        <v>156</v>
      </c>
      <c r="G374" s="4" t="str">
        <f>TEXT(MC[[#This Row],[Date]],"mmm-yy")</f>
        <v>Feb-26</v>
      </c>
      <c r="H374" s="4">
        <f>DAY(EOMONTH(MC[[#This Row],[Month Year]],0))</f>
        <v>28</v>
      </c>
      <c r="I374" s="132"/>
      <c r="J374" s="132"/>
      <c r="K374" s="132"/>
      <c r="L374" s="132"/>
      <c r="M374" s="132"/>
      <c r="N374" s="132"/>
      <c r="O374" s="132"/>
      <c r="P374" s="125"/>
      <c r="Q374" s="125"/>
      <c r="R374" s="4">
        <f>SUM(MC[[#This Row],[ICR1]:[ICR12]])</f>
        <v>0</v>
      </c>
      <c r="S374" s="133"/>
      <c r="T374" s="133"/>
      <c r="U374" s="133"/>
      <c r="V374" s="133"/>
      <c r="W374" s="288"/>
      <c r="X374" s="132"/>
      <c r="Y374" s="132"/>
    </row>
    <row r="375" spans="1:25">
      <c r="A375" s="132">
        <v>373</v>
      </c>
      <c r="B375" s="126">
        <f t="shared" si="5"/>
        <v>46061</v>
      </c>
      <c r="C375" s="209">
        <f>YEAR(MC[[#This Row],[Date]])+IF(MONTH(MC[[#This Row],[Date]])&gt;=4,1,0)</f>
        <v>2026</v>
      </c>
      <c r="D375" s="129">
        <f>YEAR(MC[[#This Row],[Date]])</f>
        <v>2026</v>
      </c>
      <c r="E375" s="287" t="s">
        <v>156</v>
      </c>
      <c r="F375" s="287" t="s">
        <v>156</v>
      </c>
      <c r="G375" s="4" t="str">
        <f>TEXT(MC[[#This Row],[Date]],"mmm-yy")</f>
        <v>Feb-26</v>
      </c>
      <c r="H375" s="4">
        <f>DAY(EOMONTH(MC[[#This Row],[Month Year]],0))</f>
        <v>28</v>
      </c>
      <c r="I375" s="132"/>
      <c r="J375" s="132"/>
      <c r="K375" s="132"/>
      <c r="L375" s="132"/>
      <c r="M375" s="132"/>
      <c r="N375" s="132"/>
      <c r="O375" s="132"/>
      <c r="P375" s="125"/>
      <c r="Q375" s="125"/>
      <c r="R375" s="4">
        <f>SUM(MC[[#This Row],[ICR1]:[ICR12]])</f>
        <v>0</v>
      </c>
      <c r="S375" s="133"/>
      <c r="T375" s="133"/>
      <c r="U375" s="133"/>
      <c r="V375" s="133"/>
      <c r="W375" s="288"/>
      <c r="X375" s="132"/>
      <c r="Y375" s="132"/>
    </row>
    <row r="376" spans="1:25">
      <c r="A376" s="132">
        <v>374</v>
      </c>
      <c r="B376" s="126">
        <f t="shared" si="5"/>
        <v>46062</v>
      </c>
      <c r="C376" s="209">
        <f>YEAR(MC[[#This Row],[Date]])+IF(MONTH(MC[[#This Row],[Date]])&gt;=4,1,0)</f>
        <v>2026</v>
      </c>
      <c r="D376" s="129">
        <f>YEAR(MC[[#This Row],[Date]])</f>
        <v>2026</v>
      </c>
      <c r="E376" s="287" t="s">
        <v>156</v>
      </c>
      <c r="F376" s="287" t="s">
        <v>156</v>
      </c>
      <c r="G376" s="4" t="str">
        <f>TEXT(MC[[#This Row],[Date]],"mmm-yy")</f>
        <v>Feb-26</v>
      </c>
      <c r="H376" s="4">
        <f>DAY(EOMONTH(MC[[#This Row],[Month Year]],0))</f>
        <v>28</v>
      </c>
      <c r="I376" s="132"/>
      <c r="J376" s="132"/>
      <c r="K376" s="132"/>
      <c r="L376" s="132"/>
      <c r="M376" s="132"/>
      <c r="N376" s="132"/>
      <c r="O376" s="132"/>
      <c r="P376" s="125"/>
      <c r="Q376" s="125"/>
      <c r="R376" s="4">
        <f>SUM(MC[[#This Row],[ICR1]:[ICR12]])</f>
        <v>0</v>
      </c>
      <c r="S376" s="133"/>
      <c r="T376" s="133"/>
      <c r="U376" s="133"/>
      <c r="V376" s="133"/>
      <c r="W376" s="288"/>
      <c r="X376" s="132"/>
      <c r="Y376" s="132"/>
    </row>
    <row r="377" spans="1:25">
      <c r="A377" s="132">
        <v>375</v>
      </c>
      <c r="B377" s="126">
        <f t="shared" si="5"/>
        <v>46063</v>
      </c>
      <c r="C377" s="209">
        <f>YEAR(MC[[#This Row],[Date]])+IF(MONTH(MC[[#This Row],[Date]])&gt;=4,1,0)</f>
        <v>2026</v>
      </c>
      <c r="D377" s="129">
        <f>YEAR(MC[[#This Row],[Date]])</f>
        <v>2026</v>
      </c>
      <c r="E377" s="287" t="s">
        <v>156</v>
      </c>
      <c r="F377" s="287" t="s">
        <v>156</v>
      </c>
      <c r="G377" s="4" t="str">
        <f>TEXT(MC[[#This Row],[Date]],"mmm-yy")</f>
        <v>Feb-26</v>
      </c>
      <c r="H377" s="4">
        <f>DAY(EOMONTH(MC[[#This Row],[Month Year]],0))</f>
        <v>28</v>
      </c>
      <c r="I377" s="132"/>
      <c r="J377" s="132"/>
      <c r="K377" s="132"/>
      <c r="L377" s="132"/>
      <c r="M377" s="132"/>
      <c r="N377" s="132"/>
      <c r="O377" s="132"/>
      <c r="P377" s="125"/>
      <c r="Q377" s="125"/>
      <c r="R377" s="4">
        <f>SUM(MC[[#This Row],[ICR1]:[ICR12]])</f>
        <v>0</v>
      </c>
      <c r="S377" s="133"/>
      <c r="T377" s="133"/>
      <c r="U377" s="133"/>
      <c r="V377" s="133"/>
      <c r="W377" s="288"/>
      <c r="X377" s="132"/>
      <c r="Y377" s="132"/>
    </row>
    <row r="378" spans="1:25">
      <c r="A378" s="132">
        <v>376</v>
      </c>
      <c r="B378" s="126">
        <f t="shared" si="5"/>
        <v>46064</v>
      </c>
      <c r="C378" s="209">
        <f>YEAR(MC[[#This Row],[Date]])+IF(MONTH(MC[[#This Row],[Date]])&gt;=4,1,0)</f>
        <v>2026</v>
      </c>
      <c r="D378" s="129">
        <f>YEAR(MC[[#This Row],[Date]])</f>
        <v>2026</v>
      </c>
      <c r="E378" s="287" t="s">
        <v>156</v>
      </c>
      <c r="F378" s="287" t="s">
        <v>156</v>
      </c>
      <c r="G378" s="4" t="str">
        <f>TEXT(MC[[#This Row],[Date]],"mmm-yy")</f>
        <v>Feb-26</v>
      </c>
      <c r="H378" s="4">
        <f>DAY(EOMONTH(MC[[#This Row],[Month Year]],0))</f>
        <v>28</v>
      </c>
      <c r="I378" s="132"/>
      <c r="J378" s="132"/>
      <c r="K378" s="132"/>
      <c r="L378" s="132"/>
      <c r="M378" s="132"/>
      <c r="N378" s="132"/>
      <c r="O378" s="132"/>
      <c r="P378" s="125"/>
      <c r="Q378" s="125"/>
      <c r="R378" s="4">
        <f>SUM(MC[[#This Row],[ICR1]:[ICR12]])</f>
        <v>0</v>
      </c>
      <c r="S378" s="133"/>
      <c r="T378" s="133"/>
      <c r="U378" s="133"/>
      <c r="V378" s="133"/>
      <c r="W378" s="288"/>
      <c r="X378" s="132"/>
      <c r="Y378" s="132"/>
    </row>
    <row r="379" spans="1:25">
      <c r="A379" s="132">
        <v>377</v>
      </c>
      <c r="B379" s="126">
        <f t="shared" si="5"/>
        <v>46065</v>
      </c>
      <c r="C379" s="209">
        <f>YEAR(MC[[#This Row],[Date]])+IF(MONTH(MC[[#This Row],[Date]])&gt;=4,1,0)</f>
        <v>2026</v>
      </c>
      <c r="D379" s="129">
        <f>YEAR(MC[[#This Row],[Date]])</f>
        <v>2026</v>
      </c>
      <c r="E379" s="287" t="s">
        <v>156</v>
      </c>
      <c r="F379" s="287" t="s">
        <v>156</v>
      </c>
      <c r="G379" s="4" t="str">
        <f>TEXT(MC[[#This Row],[Date]],"mmm-yy")</f>
        <v>Feb-26</v>
      </c>
      <c r="H379" s="4">
        <f>DAY(EOMONTH(MC[[#This Row],[Month Year]],0))</f>
        <v>28</v>
      </c>
      <c r="I379" s="132"/>
      <c r="J379" s="132"/>
      <c r="K379" s="132"/>
      <c r="L379" s="132"/>
      <c r="M379" s="132"/>
      <c r="N379" s="132"/>
      <c r="O379" s="132"/>
      <c r="P379" s="125"/>
      <c r="Q379" s="125"/>
      <c r="R379" s="4">
        <f>SUM(MC[[#This Row],[ICR1]:[ICR12]])</f>
        <v>0</v>
      </c>
      <c r="S379" s="132"/>
      <c r="T379" s="132"/>
      <c r="U379" s="132"/>
      <c r="V379" s="132"/>
      <c r="W379" s="132"/>
      <c r="X379" s="132"/>
      <c r="Y379" s="132"/>
    </row>
    <row r="380" spans="1:25">
      <c r="A380" s="132">
        <v>378</v>
      </c>
      <c r="B380" s="126">
        <f t="shared" si="5"/>
        <v>46066</v>
      </c>
      <c r="C380" s="209">
        <f>YEAR(MC[[#This Row],[Date]])+IF(MONTH(MC[[#This Row],[Date]])&gt;=4,1,0)</f>
        <v>2026</v>
      </c>
      <c r="D380" s="129">
        <f>YEAR(MC[[#This Row],[Date]])</f>
        <v>2026</v>
      </c>
      <c r="E380" s="287" t="s">
        <v>156</v>
      </c>
      <c r="F380" s="287" t="s">
        <v>156</v>
      </c>
      <c r="G380" s="4" t="str">
        <f>TEXT(MC[[#This Row],[Date]],"mmm-yy")</f>
        <v>Feb-26</v>
      </c>
      <c r="H380" s="4">
        <f>DAY(EOMONTH(MC[[#This Row],[Month Year]],0))</f>
        <v>28</v>
      </c>
      <c r="I380" s="132"/>
      <c r="J380" s="132"/>
      <c r="K380" s="132"/>
      <c r="L380" s="132"/>
      <c r="M380" s="132"/>
      <c r="N380" s="132"/>
      <c r="O380" s="132"/>
      <c r="P380" s="125"/>
      <c r="Q380" s="125"/>
      <c r="R380" s="4">
        <f>SUM(MC[[#This Row],[ICR1]:[ICR12]])</f>
        <v>0</v>
      </c>
      <c r="S380" s="132"/>
      <c r="T380" s="132"/>
      <c r="U380" s="132"/>
      <c r="V380" s="132"/>
      <c r="W380" s="132"/>
      <c r="X380" s="132"/>
      <c r="Y380" s="132"/>
    </row>
    <row r="381" spans="1:25">
      <c r="A381" s="132">
        <v>379</v>
      </c>
      <c r="B381" s="126">
        <f t="shared" si="5"/>
        <v>46067</v>
      </c>
      <c r="C381" s="209">
        <f>YEAR(MC[[#This Row],[Date]])+IF(MONTH(MC[[#This Row],[Date]])&gt;=4,1,0)</f>
        <v>2026</v>
      </c>
      <c r="D381" s="129">
        <f>YEAR(MC[[#This Row],[Date]])</f>
        <v>2026</v>
      </c>
      <c r="E381" s="287" t="s">
        <v>156</v>
      </c>
      <c r="F381" s="287" t="s">
        <v>156</v>
      </c>
      <c r="G381" s="4" t="str">
        <f>TEXT(MC[[#This Row],[Date]],"mmm-yy")</f>
        <v>Feb-26</v>
      </c>
      <c r="H381" s="4">
        <f>DAY(EOMONTH(MC[[#This Row],[Month Year]],0))</f>
        <v>28</v>
      </c>
      <c r="I381" s="132"/>
      <c r="J381" s="132"/>
      <c r="K381" s="132"/>
      <c r="L381" s="132"/>
      <c r="M381" s="132"/>
      <c r="N381" s="132"/>
      <c r="O381" s="132"/>
      <c r="P381" s="125"/>
      <c r="Q381" s="125"/>
      <c r="R381" s="4">
        <f>SUM(MC[[#This Row],[ICR1]:[ICR12]])</f>
        <v>0</v>
      </c>
      <c r="S381" s="132"/>
      <c r="T381" s="132"/>
      <c r="U381" s="132"/>
      <c r="V381" s="132"/>
      <c r="W381" s="132"/>
      <c r="X381" s="132"/>
      <c r="Y381" s="132"/>
    </row>
    <row r="382" spans="1:25">
      <c r="P382" s="125"/>
      <c r="Q382" s="125"/>
    </row>
    <row r="383" spans="1:25">
      <c r="P383" s="125"/>
      <c r="Q383" s="125"/>
    </row>
    <row r="384" spans="1:25">
      <c r="P384" s="125"/>
      <c r="Q384" s="125"/>
    </row>
    <row r="385" spans="16:17">
      <c r="P385" s="125"/>
      <c r="Q385" s="125"/>
    </row>
    <row r="386" spans="16:17">
      <c r="P386" s="125"/>
      <c r="Q386" s="125"/>
    </row>
    <row r="387" spans="16:17">
      <c r="P387" s="125"/>
      <c r="Q387" s="125"/>
    </row>
    <row r="388" spans="16:17">
      <c r="P388" s="125"/>
      <c r="Q388" s="125"/>
    </row>
    <row r="389" spans="16:17">
      <c r="P389" s="125"/>
      <c r="Q389" s="125"/>
    </row>
    <row r="390" spans="16:17">
      <c r="P390" s="125"/>
      <c r="Q390" s="125"/>
    </row>
    <row r="391" spans="16:17">
      <c r="P391" s="125"/>
      <c r="Q391" s="125"/>
    </row>
  </sheetData>
  <phoneticPr fontId="37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390"/>
  <sheetViews>
    <sheetView topLeftCell="B2" zoomScale="85" zoomScaleNormal="85" workbookViewId="0">
      <pane xSplit="1" ySplit="1" topLeftCell="C3" activePane="bottomRight" state="frozen"/>
      <selection pane="topRight" activeCell="C2" sqref="C2"/>
      <selection pane="bottomLeft" activeCell="B3" sqref="B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9" max="9" width="9.1796875" customWidth="1"/>
    <col min="10" max="11" width="13.453125" customWidth="1"/>
    <col min="12" max="12" width="14" customWidth="1"/>
    <col min="13" max="13" width="11.453125" bestFit="1" customWidth="1"/>
    <col min="14" max="16" width="13.453125" customWidth="1"/>
    <col min="17" max="18" width="11.1796875" style="4" customWidth="1"/>
    <col min="19" max="21" width="13.453125" customWidth="1"/>
    <col min="22" max="22" width="11.81640625" customWidth="1"/>
    <col min="23" max="24" width="13.453125" customWidth="1"/>
    <col min="25" max="25" width="48.453125" customWidth="1"/>
  </cols>
  <sheetData>
    <row r="1" spans="1:26" hidden="1">
      <c r="P1" s="4"/>
      <c r="Q1"/>
      <c r="R1"/>
    </row>
    <row r="2" spans="1:26" s="52" customFormat="1" ht="39">
      <c r="A2" s="123" t="s">
        <v>5</v>
      </c>
      <c r="B2" s="124" t="s">
        <v>77</v>
      </c>
      <c r="C2" s="123" t="s">
        <v>121</v>
      </c>
      <c r="D2" s="123" t="s">
        <v>122</v>
      </c>
      <c r="E2" s="123" t="s">
        <v>331</v>
      </c>
      <c r="F2" s="123" t="s">
        <v>141</v>
      </c>
      <c r="G2" s="123" t="s">
        <v>80</v>
      </c>
      <c r="H2" s="123" t="s">
        <v>40</v>
      </c>
      <c r="I2" s="123" t="s">
        <v>332</v>
      </c>
      <c r="J2" s="123" t="s">
        <v>333</v>
      </c>
      <c r="K2" s="123" t="s">
        <v>334</v>
      </c>
      <c r="L2" s="123" t="s">
        <v>335</v>
      </c>
      <c r="M2" s="123" t="s">
        <v>336</v>
      </c>
      <c r="N2" s="123" t="s">
        <v>337</v>
      </c>
      <c r="O2" s="123" t="s">
        <v>349</v>
      </c>
      <c r="P2" s="123" t="s">
        <v>350</v>
      </c>
      <c r="Q2" s="123" t="s">
        <v>351</v>
      </c>
      <c r="R2" s="123" t="s">
        <v>352</v>
      </c>
      <c r="S2" s="123" t="s">
        <v>341</v>
      </c>
      <c r="T2" s="123" t="s">
        <v>342</v>
      </c>
      <c r="U2" s="123" t="s">
        <v>343</v>
      </c>
      <c r="V2" s="123" t="s">
        <v>344</v>
      </c>
      <c r="W2" s="123" t="s">
        <v>345</v>
      </c>
      <c r="X2" s="123" t="s">
        <v>346</v>
      </c>
      <c r="Y2" s="123" t="s">
        <v>347</v>
      </c>
      <c r="Z2" s="123" t="s">
        <v>348</v>
      </c>
    </row>
    <row r="3" spans="1:26">
      <c r="A3" s="125">
        <v>1</v>
      </c>
      <c r="B3" s="126">
        <v>45689</v>
      </c>
      <c r="C3" s="127">
        <f>YEAR(MC_2[[#This Row],[Date]])+IF(MONTH(MC_2[[#This Row],[Date]])&gt;=4,1,0)</f>
        <v>2025</v>
      </c>
      <c r="D3" s="128">
        <f>YEAR(MC_2[[#This Row],[Date]])</f>
        <v>2025</v>
      </c>
      <c r="E3" s="125" t="s">
        <v>157</v>
      </c>
      <c r="F3" s="125" t="s">
        <v>157</v>
      </c>
      <c r="G3" s="129" t="str">
        <f>TEXT(MC_2[[#This Row],[Date]],"mmm-yy")</f>
        <v>Feb-25</v>
      </c>
      <c r="H3" s="129">
        <f>DAY(EOMONTH(MC_2[[#This Row],[Month Year]],0))</f>
        <v>28</v>
      </c>
      <c r="I3" s="125"/>
      <c r="J3" s="125"/>
      <c r="K3" s="125">
        <v>522</v>
      </c>
      <c r="L3" s="125">
        <v>0</v>
      </c>
      <c r="M3" s="125">
        <v>0</v>
      </c>
      <c r="N3" s="125">
        <v>0</v>
      </c>
      <c r="O3" s="125"/>
      <c r="P3" s="132"/>
      <c r="Q3" s="132"/>
      <c r="R3" s="132"/>
      <c r="S3" s="4"/>
      <c r="T3" s="130"/>
      <c r="U3" s="130"/>
      <c r="V3" s="130"/>
      <c r="W3" s="130"/>
      <c r="X3" s="125"/>
      <c r="Y3" s="125"/>
      <c r="Z3" s="131"/>
    </row>
    <row r="4" spans="1:26">
      <c r="A4" s="132">
        <v>2</v>
      </c>
      <c r="B4" s="126">
        <f>B3+1</f>
        <v>45690</v>
      </c>
      <c r="C4" s="127">
        <f>YEAR(MC_2[[#This Row],[Date]])+IF(MONTH(MC_2[[#This Row],[Date]])&gt;=4,1,0)</f>
        <v>2025</v>
      </c>
      <c r="D4" s="128">
        <f>YEAR(MC_2[[#This Row],[Date]])</f>
        <v>2025</v>
      </c>
      <c r="E4" s="125" t="s">
        <v>157</v>
      </c>
      <c r="F4" s="125" t="s">
        <v>157</v>
      </c>
      <c r="G4" s="129" t="str">
        <f>TEXT(MC_2[[#This Row],[Date]],"mmm-yy")</f>
        <v>Feb-25</v>
      </c>
      <c r="H4" s="129">
        <f>DAY(EOMONTH(MC_2[[#This Row],[Month Year]],0))</f>
        <v>28</v>
      </c>
      <c r="I4" s="132"/>
      <c r="J4" s="132"/>
      <c r="K4" s="132">
        <v>1044</v>
      </c>
      <c r="L4" s="132">
        <v>0</v>
      </c>
      <c r="M4" s="132">
        <v>0</v>
      </c>
      <c r="N4" s="132">
        <v>0</v>
      </c>
      <c r="O4" s="132"/>
      <c r="P4" s="132"/>
      <c r="Q4" s="132"/>
      <c r="R4" s="132"/>
      <c r="S4" s="4"/>
      <c r="T4" s="133"/>
      <c r="U4" s="133"/>
      <c r="V4" s="133"/>
      <c r="W4" s="133"/>
      <c r="X4" s="132"/>
      <c r="Y4" s="132"/>
      <c r="Z4" s="131"/>
    </row>
    <row r="5" spans="1:26">
      <c r="A5" s="132">
        <v>3</v>
      </c>
      <c r="B5" s="126">
        <f t="shared" ref="B5:B68" si="0">B4+1</f>
        <v>45691</v>
      </c>
      <c r="C5" s="127">
        <f>YEAR(MC_2[[#This Row],[Date]])+IF(MONTH(MC_2[[#This Row],[Date]])&gt;=4,1,0)</f>
        <v>2025</v>
      </c>
      <c r="D5" s="128">
        <f>YEAR(MC_2[[#This Row],[Date]])</f>
        <v>2025</v>
      </c>
      <c r="E5" s="125" t="s">
        <v>157</v>
      </c>
      <c r="F5" s="125" t="s">
        <v>157</v>
      </c>
      <c r="G5" s="129" t="str">
        <f>TEXT(MC_2[[#This Row],[Date]],"mmm-yy")</f>
        <v>Feb-25</v>
      </c>
      <c r="H5" s="129">
        <f>DAY(EOMONTH(MC_2[[#This Row],[Month Year]],0))</f>
        <v>28</v>
      </c>
      <c r="I5" s="132"/>
      <c r="J5" s="132"/>
      <c r="K5" s="132">
        <v>1450</v>
      </c>
      <c r="L5" s="132">
        <v>0</v>
      </c>
      <c r="M5" s="132">
        <v>0</v>
      </c>
      <c r="N5" s="132">
        <v>0</v>
      </c>
      <c r="O5" s="132"/>
      <c r="P5" s="132"/>
      <c r="Q5" s="132"/>
      <c r="R5" s="132"/>
      <c r="S5" s="4"/>
      <c r="T5" s="132"/>
      <c r="U5" s="132"/>
      <c r="V5" s="133"/>
      <c r="W5" s="133"/>
      <c r="X5" s="132"/>
      <c r="Y5" s="132"/>
      <c r="Z5" s="132"/>
    </row>
    <row r="6" spans="1:26">
      <c r="A6" s="132">
        <v>4</v>
      </c>
      <c r="B6" s="126">
        <f t="shared" si="0"/>
        <v>45692</v>
      </c>
      <c r="C6" s="127">
        <f>YEAR(MC_2[[#This Row],[Date]])+IF(MONTH(MC_2[[#This Row],[Date]])&gt;=4,1,0)</f>
        <v>2025</v>
      </c>
      <c r="D6" s="128">
        <f>YEAR(MC_2[[#This Row],[Date]])</f>
        <v>2025</v>
      </c>
      <c r="E6" s="125" t="s">
        <v>157</v>
      </c>
      <c r="F6" s="125" t="s">
        <v>157</v>
      </c>
      <c r="G6" s="129" t="str">
        <f>TEXT(MC_2[[#This Row],[Date]],"mmm-yy")</f>
        <v>Feb-25</v>
      </c>
      <c r="H6" s="129">
        <f>DAY(EOMONTH(MC_2[[#This Row],[Month Year]],0))</f>
        <v>28</v>
      </c>
      <c r="I6" s="132"/>
      <c r="J6" s="132"/>
      <c r="K6" s="132">
        <v>1392</v>
      </c>
      <c r="L6" s="132">
        <v>0</v>
      </c>
      <c r="M6" s="132">
        <v>0</v>
      </c>
      <c r="N6" s="132">
        <v>0</v>
      </c>
      <c r="O6" s="132"/>
      <c r="P6" s="132"/>
      <c r="Q6" s="132"/>
      <c r="R6" s="132"/>
      <c r="S6" s="4"/>
      <c r="T6" s="133"/>
      <c r="U6" s="133"/>
      <c r="V6" s="133"/>
      <c r="W6" s="133"/>
      <c r="X6" s="132"/>
      <c r="Y6" s="132"/>
      <c r="Z6" s="132"/>
    </row>
    <row r="7" spans="1:26">
      <c r="A7" s="132">
        <v>5</v>
      </c>
      <c r="B7" s="126">
        <f t="shared" si="0"/>
        <v>45693</v>
      </c>
      <c r="C7" s="127">
        <f>YEAR(MC_2[[#This Row],[Date]])+IF(MONTH(MC_2[[#This Row],[Date]])&gt;=4,1,0)</f>
        <v>2025</v>
      </c>
      <c r="D7" s="128">
        <f>YEAR(MC_2[[#This Row],[Date]])</f>
        <v>2025</v>
      </c>
      <c r="E7" s="125" t="s">
        <v>157</v>
      </c>
      <c r="F7" s="125" t="s">
        <v>157</v>
      </c>
      <c r="G7" s="129" t="str">
        <f>TEXT(MC_2[[#This Row],[Date]],"mmm-yy")</f>
        <v>Feb-25</v>
      </c>
      <c r="H7" s="129">
        <f>DAY(EOMONTH(MC_2[[#This Row],[Month Year]],0))</f>
        <v>28</v>
      </c>
      <c r="I7" s="132"/>
      <c r="J7" s="132"/>
      <c r="K7" s="132">
        <v>1450</v>
      </c>
      <c r="L7" s="132">
        <v>0</v>
      </c>
      <c r="M7" s="132">
        <v>0</v>
      </c>
      <c r="N7" s="132">
        <v>0</v>
      </c>
      <c r="O7" s="132"/>
      <c r="P7" s="132"/>
      <c r="Q7" s="132"/>
      <c r="R7" s="132"/>
      <c r="S7" s="4"/>
      <c r="T7" s="133"/>
      <c r="U7" s="133"/>
      <c r="V7" s="133"/>
      <c r="W7" s="133"/>
      <c r="X7" s="132"/>
      <c r="Y7" s="132"/>
      <c r="Z7" s="132"/>
    </row>
    <row r="8" spans="1:26">
      <c r="A8" s="132">
        <v>6</v>
      </c>
      <c r="B8" s="126">
        <f t="shared" si="0"/>
        <v>45694</v>
      </c>
      <c r="C8" s="127">
        <f>YEAR(MC_2[[#This Row],[Date]])+IF(MONTH(MC_2[[#This Row],[Date]])&gt;=4,1,0)</f>
        <v>2025</v>
      </c>
      <c r="D8" s="128">
        <f>YEAR(MC_2[[#This Row],[Date]])</f>
        <v>2025</v>
      </c>
      <c r="E8" s="125" t="s">
        <v>157</v>
      </c>
      <c r="F8" s="125" t="s">
        <v>157</v>
      </c>
      <c r="G8" s="129" t="str">
        <f>TEXT(MC_2[[#This Row],[Date]],"mmm-yy")</f>
        <v>Feb-25</v>
      </c>
      <c r="H8" s="129">
        <f>DAY(EOMONTH(MC_2[[#This Row],[Month Year]],0))</f>
        <v>28</v>
      </c>
      <c r="I8" s="132"/>
      <c r="J8" s="132"/>
      <c r="K8" s="132">
        <v>1102</v>
      </c>
      <c r="L8" s="132">
        <v>0</v>
      </c>
      <c r="M8" s="132">
        <v>0</v>
      </c>
      <c r="N8" s="132">
        <v>0</v>
      </c>
      <c r="O8" s="132"/>
      <c r="P8" s="132"/>
      <c r="Q8" s="132"/>
      <c r="R8" s="132"/>
      <c r="S8" s="4"/>
      <c r="T8" s="132"/>
      <c r="U8" s="132"/>
      <c r="V8" s="132"/>
      <c r="W8" s="132"/>
      <c r="X8" s="132"/>
      <c r="Y8" s="132"/>
      <c r="Z8" s="132"/>
    </row>
    <row r="9" spans="1:26">
      <c r="A9" s="132">
        <v>7</v>
      </c>
      <c r="B9" s="126">
        <f t="shared" si="0"/>
        <v>45695</v>
      </c>
      <c r="C9" s="127">
        <f>YEAR(MC_2[[#This Row],[Date]])+IF(MONTH(MC_2[[#This Row],[Date]])&gt;=4,1,0)</f>
        <v>2025</v>
      </c>
      <c r="D9" s="128">
        <f>YEAR(MC_2[[#This Row],[Date]])</f>
        <v>2025</v>
      </c>
      <c r="E9" s="125" t="s">
        <v>157</v>
      </c>
      <c r="F9" s="125" t="s">
        <v>157</v>
      </c>
      <c r="G9" s="129" t="str">
        <f>TEXT(MC_2[[#This Row],[Date]],"mmm-yy")</f>
        <v>Feb-25</v>
      </c>
      <c r="H9" s="129">
        <f>DAY(EOMONTH(MC_2[[#This Row],[Month Year]],0))</f>
        <v>28</v>
      </c>
      <c r="I9" s="132"/>
      <c r="J9" s="132"/>
      <c r="K9" s="132">
        <v>1682</v>
      </c>
      <c r="L9" s="132">
        <v>0</v>
      </c>
      <c r="M9" s="132">
        <v>0</v>
      </c>
      <c r="N9" s="132">
        <v>0</v>
      </c>
      <c r="O9" s="132"/>
      <c r="P9" s="132"/>
      <c r="Q9" s="132"/>
      <c r="R9" s="132"/>
      <c r="S9" s="4"/>
      <c r="T9" s="132"/>
      <c r="U9" s="132"/>
      <c r="V9" s="133"/>
      <c r="W9" s="133"/>
      <c r="X9" s="132"/>
      <c r="Y9" s="132"/>
      <c r="Z9" s="132"/>
    </row>
    <row r="10" spans="1:26">
      <c r="A10" s="132">
        <v>8</v>
      </c>
      <c r="B10" s="126">
        <f t="shared" si="0"/>
        <v>45696</v>
      </c>
      <c r="C10" s="127">
        <f>YEAR(MC_2[[#This Row],[Date]])+IF(MONTH(MC_2[[#This Row],[Date]])&gt;=4,1,0)</f>
        <v>2025</v>
      </c>
      <c r="D10" s="128">
        <f>YEAR(MC_2[[#This Row],[Date]])</f>
        <v>2025</v>
      </c>
      <c r="E10" s="125" t="s">
        <v>157</v>
      </c>
      <c r="F10" s="125" t="s">
        <v>157</v>
      </c>
      <c r="G10" s="129" t="str">
        <f>TEXT(MC_2[[#This Row],[Date]],"mmm-yy")</f>
        <v>Feb-25</v>
      </c>
      <c r="H10" s="129">
        <f>DAY(EOMONTH(MC_2[[#This Row],[Month Year]],0))</f>
        <v>28</v>
      </c>
      <c r="I10" s="132"/>
      <c r="J10" s="132"/>
      <c r="K10" s="132">
        <v>0</v>
      </c>
      <c r="L10" s="132">
        <v>1450</v>
      </c>
      <c r="M10" s="132">
        <v>0</v>
      </c>
      <c r="N10" s="132">
        <v>0</v>
      </c>
      <c r="O10" s="132"/>
      <c r="P10" s="132"/>
      <c r="Q10" s="132"/>
      <c r="R10" s="132"/>
      <c r="S10" s="4"/>
      <c r="T10" s="133"/>
      <c r="U10" s="133"/>
      <c r="V10" s="133"/>
      <c r="W10" s="133"/>
      <c r="X10" s="132"/>
      <c r="Y10" s="132"/>
      <c r="Z10" s="132"/>
    </row>
    <row r="11" spans="1:26">
      <c r="A11" s="132">
        <v>9</v>
      </c>
      <c r="B11" s="126">
        <f t="shared" si="0"/>
        <v>45697</v>
      </c>
      <c r="C11" s="127">
        <f>YEAR(MC_2[[#This Row],[Date]])+IF(MONTH(MC_2[[#This Row],[Date]])&gt;=4,1,0)</f>
        <v>2025</v>
      </c>
      <c r="D11" s="128">
        <f>YEAR(MC_2[[#This Row],[Date]])</f>
        <v>2025</v>
      </c>
      <c r="E11" s="125" t="s">
        <v>157</v>
      </c>
      <c r="F11" s="125" t="s">
        <v>157</v>
      </c>
      <c r="G11" s="129" t="str">
        <f>TEXT(MC_2[[#This Row],[Date]],"mmm-yy")</f>
        <v>Feb-25</v>
      </c>
      <c r="H11" s="129">
        <f>DAY(EOMONTH(MC_2[[#This Row],[Month Year]],0))</f>
        <v>28</v>
      </c>
      <c r="I11" s="132"/>
      <c r="J11" s="132"/>
      <c r="K11" s="132">
        <v>0</v>
      </c>
      <c r="L11" s="132">
        <v>1247</v>
      </c>
      <c r="M11" s="132">
        <v>0</v>
      </c>
      <c r="N11" s="132">
        <v>0</v>
      </c>
      <c r="O11" s="132"/>
      <c r="P11" s="132"/>
      <c r="Q11" s="132"/>
      <c r="R11" s="132"/>
      <c r="S11" s="4"/>
      <c r="T11" s="133"/>
      <c r="U11" s="133"/>
      <c r="V11" s="133"/>
      <c r="W11" s="133"/>
      <c r="X11" s="132"/>
      <c r="Y11" s="132"/>
      <c r="Z11" s="132"/>
    </row>
    <row r="12" spans="1:26">
      <c r="A12" s="132">
        <v>10</v>
      </c>
      <c r="B12" s="126">
        <f t="shared" si="0"/>
        <v>45698</v>
      </c>
      <c r="C12" s="127">
        <f>YEAR(MC_2[[#This Row],[Date]])+IF(MONTH(MC_2[[#This Row],[Date]])&gt;=4,1,0)</f>
        <v>2025</v>
      </c>
      <c r="D12" s="128">
        <f>YEAR(MC_2[[#This Row],[Date]])</f>
        <v>2025</v>
      </c>
      <c r="E12" s="125" t="s">
        <v>157</v>
      </c>
      <c r="F12" s="125" t="s">
        <v>157</v>
      </c>
      <c r="G12" s="129" t="str">
        <f>TEXT(MC_2[[#This Row],[Date]],"mmm-yy")</f>
        <v>Feb-25</v>
      </c>
      <c r="H12" s="129">
        <f>DAY(EOMONTH(MC_2[[#This Row],[Month Year]],0))</f>
        <v>28</v>
      </c>
      <c r="I12" s="132"/>
      <c r="J12" s="132"/>
      <c r="K12" s="132">
        <v>0</v>
      </c>
      <c r="L12" s="132">
        <v>0</v>
      </c>
      <c r="M12" s="132">
        <v>870</v>
      </c>
      <c r="N12" s="132">
        <v>580</v>
      </c>
      <c r="O12" s="132"/>
      <c r="P12" s="132"/>
      <c r="Q12" s="132"/>
      <c r="R12" s="132"/>
      <c r="S12" s="4"/>
      <c r="T12" s="132"/>
      <c r="U12" s="132"/>
      <c r="V12" s="133"/>
      <c r="W12" s="133"/>
      <c r="X12" s="132"/>
      <c r="Y12" s="132"/>
      <c r="Z12" s="132"/>
    </row>
    <row r="13" spans="1:26">
      <c r="A13" s="132">
        <v>11</v>
      </c>
      <c r="B13" s="126">
        <f t="shared" si="0"/>
        <v>45699</v>
      </c>
      <c r="C13" s="127">
        <f>YEAR(MC_2[[#This Row],[Date]])+IF(MONTH(MC_2[[#This Row],[Date]])&gt;=4,1,0)</f>
        <v>2025</v>
      </c>
      <c r="D13" s="128">
        <f>YEAR(MC_2[[#This Row],[Date]])</f>
        <v>2025</v>
      </c>
      <c r="E13" s="125" t="s">
        <v>157</v>
      </c>
      <c r="F13" s="125" t="s">
        <v>157</v>
      </c>
      <c r="G13" s="129" t="str">
        <f>TEXT(MC_2[[#This Row],[Date]],"mmm-yy")</f>
        <v>Feb-25</v>
      </c>
      <c r="H13" s="129">
        <f>DAY(EOMONTH(MC_2[[#This Row],[Month Year]],0))</f>
        <v>28</v>
      </c>
      <c r="I13" s="132"/>
      <c r="J13" s="132"/>
      <c r="K13" s="132">
        <v>0</v>
      </c>
      <c r="L13" s="132">
        <v>0</v>
      </c>
      <c r="M13" s="132">
        <v>0</v>
      </c>
      <c r="N13" s="132">
        <v>1102</v>
      </c>
      <c r="O13" s="132"/>
      <c r="P13" s="132"/>
      <c r="Q13" s="132"/>
      <c r="R13" s="132"/>
      <c r="S13" s="4"/>
      <c r="T13" s="133"/>
      <c r="U13" s="133"/>
      <c r="V13" s="133"/>
      <c r="W13" s="133"/>
      <c r="X13" s="132"/>
      <c r="Y13" s="132"/>
      <c r="Z13" s="132"/>
    </row>
    <row r="14" spans="1:26">
      <c r="A14" s="132">
        <v>12</v>
      </c>
      <c r="B14" s="126">
        <f t="shared" si="0"/>
        <v>45700</v>
      </c>
      <c r="C14" s="127">
        <f>YEAR(MC_2[[#This Row],[Date]])+IF(MONTH(MC_2[[#This Row],[Date]])&gt;=4,1,0)</f>
        <v>2025</v>
      </c>
      <c r="D14" s="128">
        <f>YEAR(MC_2[[#This Row],[Date]])</f>
        <v>2025</v>
      </c>
      <c r="E14" s="125" t="s">
        <v>157</v>
      </c>
      <c r="F14" s="125" t="s">
        <v>157</v>
      </c>
      <c r="G14" s="129" t="str">
        <f>TEXT(MC_2[[#This Row],[Date]],"mmm-yy")</f>
        <v>Feb-25</v>
      </c>
      <c r="H14" s="129">
        <f>DAY(EOMONTH(MC_2[[#This Row],[Month Year]],0))</f>
        <v>28</v>
      </c>
      <c r="I14" s="132"/>
      <c r="J14" s="132"/>
      <c r="K14" s="132">
        <v>0</v>
      </c>
      <c r="L14" s="132">
        <v>0</v>
      </c>
      <c r="M14" s="132">
        <v>0</v>
      </c>
      <c r="N14" s="132">
        <v>435</v>
      </c>
      <c r="O14" s="132"/>
      <c r="P14" s="132"/>
      <c r="Q14" s="132"/>
      <c r="R14" s="132"/>
      <c r="S14" s="4"/>
      <c r="T14" s="133"/>
      <c r="U14" s="133"/>
      <c r="V14" s="133"/>
      <c r="W14" s="133"/>
      <c r="X14" s="132"/>
      <c r="Y14" s="132"/>
      <c r="Z14" s="132"/>
    </row>
    <row r="15" spans="1:26">
      <c r="A15" s="132">
        <v>13</v>
      </c>
      <c r="B15" s="126">
        <f t="shared" si="0"/>
        <v>45701</v>
      </c>
      <c r="C15" s="127">
        <f>YEAR(MC_2[[#This Row],[Date]])+IF(MONTH(MC_2[[#This Row],[Date]])&gt;=4,1,0)</f>
        <v>2025</v>
      </c>
      <c r="D15" s="128">
        <f>YEAR(MC_2[[#This Row],[Date]])</f>
        <v>2025</v>
      </c>
      <c r="E15" s="125" t="s">
        <v>157</v>
      </c>
      <c r="F15" s="125" t="s">
        <v>157</v>
      </c>
      <c r="G15" s="129" t="str">
        <f>TEXT(MC_2[[#This Row],[Date]],"mmm-yy")</f>
        <v>Feb-25</v>
      </c>
      <c r="H15" s="129">
        <f>DAY(EOMONTH(MC_2[[#This Row],[Month Year]],0))</f>
        <v>28</v>
      </c>
      <c r="I15" s="132"/>
      <c r="J15" s="132"/>
      <c r="K15" s="132">
        <v>0</v>
      </c>
      <c r="L15" s="132">
        <v>0</v>
      </c>
      <c r="M15" s="132">
        <v>0</v>
      </c>
      <c r="N15" s="132">
        <v>0</v>
      </c>
      <c r="O15" s="132"/>
      <c r="P15" s="132"/>
      <c r="Q15" s="132"/>
      <c r="R15" s="132"/>
      <c r="S15" s="4"/>
      <c r="T15" s="133"/>
      <c r="U15" s="133"/>
      <c r="V15" s="133"/>
      <c r="W15" s="133"/>
      <c r="X15" s="132"/>
      <c r="Y15" s="132"/>
      <c r="Z15" s="132"/>
    </row>
    <row r="16" spans="1:26">
      <c r="A16" s="132">
        <v>14</v>
      </c>
      <c r="B16" s="126">
        <f t="shared" si="0"/>
        <v>45702</v>
      </c>
      <c r="C16" s="127">
        <f>YEAR(MC_2[[#This Row],[Date]])+IF(MONTH(MC_2[[#This Row],[Date]])&gt;=4,1,0)</f>
        <v>2025</v>
      </c>
      <c r="D16" s="128">
        <f>YEAR(MC_2[[#This Row],[Date]])</f>
        <v>2025</v>
      </c>
      <c r="E16" s="125" t="s">
        <v>157</v>
      </c>
      <c r="F16" s="125" t="s">
        <v>157</v>
      </c>
      <c r="G16" s="129" t="str">
        <f>TEXT(MC_2[[#This Row],[Date]],"mmm-yy")</f>
        <v>Feb-25</v>
      </c>
      <c r="H16" s="129">
        <f>DAY(EOMONTH(MC_2[[#This Row],[Month Year]],0))</f>
        <v>28</v>
      </c>
      <c r="I16" s="132"/>
      <c r="J16" s="132"/>
      <c r="K16" s="132">
        <v>0</v>
      </c>
      <c r="L16" s="132">
        <v>0</v>
      </c>
      <c r="M16" s="132">
        <v>0</v>
      </c>
      <c r="N16" s="132">
        <v>812</v>
      </c>
      <c r="O16" s="132"/>
      <c r="P16" s="132"/>
      <c r="Q16" s="132"/>
      <c r="R16" s="132"/>
      <c r="S16" s="4"/>
      <c r="T16" s="133"/>
      <c r="U16" s="133"/>
      <c r="V16" s="133"/>
      <c r="W16" s="133"/>
      <c r="X16" s="132"/>
      <c r="Y16" s="132"/>
      <c r="Z16" s="132"/>
    </row>
    <row r="17" spans="1:26">
      <c r="A17" s="132">
        <v>15</v>
      </c>
      <c r="B17" s="126">
        <f t="shared" si="0"/>
        <v>45703</v>
      </c>
      <c r="C17" s="127">
        <f>YEAR(MC_2[[#This Row],[Date]])+IF(MONTH(MC_2[[#This Row],[Date]])&gt;=4,1,0)</f>
        <v>2025</v>
      </c>
      <c r="D17" s="128">
        <f>YEAR(MC_2[[#This Row],[Date]])</f>
        <v>2025</v>
      </c>
      <c r="E17" s="125" t="s">
        <v>157</v>
      </c>
      <c r="F17" s="125" t="s">
        <v>157</v>
      </c>
      <c r="G17" s="129" t="str">
        <f>TEXT(MC_2[[#This Row],[Date]],"mmm-yy")</f>
        <v>Feb-25</v>
      </c>
      <c r="H17" s="129">
        <f>DAY(EOMONTH(MC_2[[#This Row],[Month Year]],0))</f>
        <v>28</v>
      </c>
      <c r="I17" s="132"/>
      <c r="J17" s="132"/>
      <c r="K17" s="132">
        <v>1276</v>
      </c>
      <c r="L17" s="132">
        <v>0</v>
      </c>
      <c r="M17" s="132">
        <v>0</v>
      </c>
      <c r="N17" s="132">
        <v>0</v>
      </c>
      <c r="O17" s="132"/>
      <c r="P17" s="132"/>
      <c r="Q17" s="132"/>
      <c r="R17" s="132"/>
      <c r="S17" s="4"/>
      <c r="T17" s="133"/>
      <c r="U17" s="133"/>
      <c r="V17" s="133"/>
      <c r="W17" s="133"/>
      <c r="X17" s="132"/>
      <c r="Y17" s="132"/>
      <c r="Z17" s="132"/>
    </row>
    <row r="18" spans="1:26">
      <c r="A18" s="132">
        <v>16</v>
      </c>
      <c r="B18" s="126">
        <f t="shared" si="0"/>
        <v>45704</v>
      </c>
      <c r="C18" s="127">
        <f>YEAR(MC_2[[#This Row],[Date]])+IF(MONTH(MC_2[[#This Row],[Date]])&gt;=4,1,0)</f>
        <v>2025</v>
      </c>
      <c r="D18" s="128">
        <f>YEAR(MC_2[[#This Row],[Date]])</f>
        <v>2025</v>
      </c>
      <c r="E18" s="125" t="s">
        <v>157</v>
      </c>
      <c r="F18" s="125" t="s">
        <v>157</v>
      </c>
      <c r="G18" s="129" t="str">
        <f>TEXT(MC_2[[#This Row],[Date]],"mmm-yy")</f>
        <v>Feb-25</v>
      </c>
      <c r="H18" s="129">
        <f>DAY(EOMONTH(MC_2[[#This Row],[Month Year]],0))</f>
        <v>28</v>
      </c>
      <c r="I18" s="132"/>
      <c r="J18" s="132"/>
      <c r="K18" s="132">
        <v>1160</v>
      </c>
      <c r="L18" s="132">
        <v>725</v>
      </c>
      <c r="M18" s="132">
        <v>0</v>
      </c>
      <c r="N18" s="132">
        <v>0</v>
      </c>
      <c r="O18" s="132"/>
      <c r="P18" s="132"/>
      <c r="Q18" s="132"/>
      <c r="R18" s="132"/>
      <c r="S18" s="4"/>
      <c r="T18" s="133"/>
      <c r="U18" s="133"/>
      <c r="V18" s="133"/>
      <c r="W18" s="133"/>
      <c r="X18" s="132"/>
      <c r="Y18" s="132"/>
      <c r="Z18" s="132"/>
    </row>
    <row r="19" spans="1:26">
      <c r="A19" s="132">
        <v>17</v>
      </c>
      <c r="B19" s="126">
        <f t="shared" si="0"/>
        <v>45705</v>
      </c>
      <c r="C19" s="127">
        <f>YEAR(MC_2[[#This Row],[Date]])+IF(MONTH(MC_2[[#This Row],[Date]])&gt;=4,1,0)</f>
        <v>2025</v>
      </c>
      <c r="D19" s="128">
        <f>YEAR(MC_2[[#This Row],[Date]])</f>
        <v>2025</v>
      </c>
      <c r="E19" s="125" t="s">
        <v>157</v>
      </c>
      <c r="F19" s="125" t="s">
        <v>157</v>
      </c>
      <c r="G19" s="129" t="str">
        <f>TEXT(MC_2[[#This Row],[Date]],"mmm-yy")</f>
        <v>Feb-25</v>
      </c>
      <c r="H19" s="129">
        <f>DAY(EOMONTH(MC_2[[#This Row],[Month Year]],0))</f>
        <v>28</v>
      </c>
      <c r="I19" s="132"/>
      <c r="J19" s="132"/>
      <c r="K19" s="132">
        <v>1276</v>
      </c>
      <c r="L19" s="132">
        <v>1218</v>
      </c>
      <c r="M19" s="132">
        <v>0</v>
      </c>
      <c r="N19" s="132">
        <v>0</v>
      </c>
      <c r="O19" s="132"/>
      <c r="P19" s="132"/>
      <c r="Q19" s="132"/>
      <c r="R19" s="132"/>
      <c r="S19" s="4"/>
      <c r="T19" s="133"/>
      <c r="U19" s="133"/>
      <c r="V19" s="133"/>
      <c r="W19" s="133"/>
      <c r="X19" s="132"/>
      <c r="Y19" s="132"/>
      <c r="Z19" s="132"/>
    </row>
    <row r="20" spans="1:26">
      <c r="A20" s="132">
        <v>18</v>
      </c>
      <c r="B20" s="126">
        <f t="shared" si="0"/>
        <v>45706</v>
      </c>
      <c r="C20" s="127">
        <f>YEAR(MC_2[[#This Row],[Date]])+IF(MONTH(MC_2[[#This Row],[Date]])&gt;=4,1,0)</f>
        <v>2025</v>
      </c>
      <c r="D20" s="128">
        <f>YEAR(MC_2[[#This Row],[Date]])</f>
        <v>2025</v>
      </c>
      <c r="E20" s="125" t="s">
        <v>157</v>
      </c>
      <c r="F20" s="125" t="s">
        <v>157</v>
      </c>
      <c r="G20" s="129" t="str">
        <f>TEXT(MC_2[[#This Row],[Date]],"mmm-yy")</f>
        <v>Feb-25</v>
      </c>
      <c r="H20" s="129">
        <f>DAY(EOMONTH(MC_2[[#This Row],[Month Year]],0))</f>
        <v>28</v>
      </c>
      <c r="I20" s="132"/>
      <c r="J20" s="132"/>
      <c r="K20" s="132">
        <v>0</v>
      </c>
      <c r="L20" s="132">
        <v>0</v>
      </c>
      <c r="M20" s="132">
        <v>0</v>
      </c>
      <c r="N20" s="132">
        <v>0</v>
      </c>
      <c r="O20" s="132"/>
      <c r="P20" s="132"/>
      <c r="Q20" s="132"/>
      <c r="R20" s="132"/>
      <c r="S20" s="4"/>
      <c r="T20" s="133"/>
      <c r="U20" s="133"/>
      <c r="V20" s="133"/>
      <c r="W20" s="133"/>
      <c r="X20" s="132"/>
      <c r="Y20" s="132"/>
      <c r="Z20" s="132"/>
    </row>
    <row r="21" spans="1:26">
      <c r="A21" s="132">
        <v>19</v>
      </c>
      <c r="B21" s="126">
        <f t="shared" si="0"/>
        <v>45707</v>
      </c>
      <c r="C21" s="127">
        <f>YEAR(MC_2[[#This Row],[Date]])+IF(MONTH(MC_2[[#This Row],[Date]])&gt;=4,1,0)</f>
        <v>2025</v>
      </c>
      <c r="D21" s="128">
        <f>YEAR(MC_2[[#This Row],[Date]])</f>
        <v>2025</v>
      </c>
      <c r="E21" s="125" t="s">
        <v>157</v>
      </c>
      <c r="F21" s="125" t="s">
        <v>157</v>
      </c>
      <c r="G21" s="129" t="str">
        <f>TEXT(MC_2[[#This Row],[Date]],"mmm-yy")</f>
        <v>Feb-25</v>
      </c>
      <c r="H21" s="129">
        <f>DAY(EOMONTH(MC_2[[#This Row],[Month Year]],0))</f>
        <v>28</v>
      </c>
      <c r="I21" s="132"/>
      <c r="J21" s="132"/>
      <c r="K21" s="132">
        <v>1740</v>
      </c>
      <c r="L21" s="132">
        <v>1015</v>
      </c>
      <c r="M21" s="132">
        <v>0</v>
      </c>
      <c r="N21" s="132">
        <v>0</v>
      </c>
      <c r="O21" s="132"/>
      <c r="P21" s="132"/>
      <c r="Q21" s="132"/>
      <c r="R21" s="132"/>
      <c r="S21" s="4"/>
      <c r="T21" s="133"/>
      <c r="U21" s="133"/>
      <c r="V21" s="132"/>
      <c r="W21" s="132"/>
      <c r="X21" s="132"/>
      <c r="Y21" s="132"/>
      <c r="Z21" s="132"/>
    </row>
    <row r="22" spans="1:26">
      <c r="A22" s="132">
        <v>20</v>
      </c>
      <c r="B22" s="126">
        <f t="shared" si="0"/>
        <v>45708</v>
      </c>
      <c r="C22" s="127">
        <f>YEAR(MC_2[[#This Row],[Date]])+IF(MONTH(MC_2[[#This Row],[Date]])&gt;=4,1,0)</f>
        <v>2025</v>
      </c>
      <c r="D22" s="128">
        <f>YEAR(MC_2[[#This Row],[Date]])</f>
        <v>2025</v>
      </c>
      <c r="E22" s="125" t="s">
        <v>157</v>
      </c>
      <c r="F22" s="125" t="s">
        <v>157</v>
      </c>
      <c r="G22" s="129" t="str">
        <f>TEXT(MC_2[[#This Row],[Date]],"mmm-yy")</f>
        <v>Feb-25</v>
      </c>
      <c r="H22" s="129">
        <f>DAY(EOMONTH(MC_2[[#This Row],[Month Year]],0))</f>
        <v>28</v>
      </c>
      <c r="I22" s="132"/>
      <c r="J22" s="132"/>
      <c r="K22" s="132">
        <v>1508</v>
      </c>
      <c r="L22" s="132">
        <v>1798</v>
      </c>
      <c r="M22" s="132">
        <v>0</v>
      </c>
      <c r="N22" s="132">
        <v>0</v>
      </c>
      <c r="O22" s="132"/>
      <c r="P22" s="132"/>
      <c r="Q22" s="132"/>
      <c r="R22" s="132"/>
      <c r="S22" s="4"/>
      <c r="T22" s="132"/>
      <c r="U22" s="132"/>
      <c r="V22" s="132"/>
      <c r="W22" s="132"/>
      <c r="X22" s="132"/>
      <c r="Y22" s="132"/>
      <c r="Z22" s="132"/>
    </row>
    <row r="23" spans="1:26">
      <c r="A23" s="132">
        <v>21</v>
      </c>
      <c r="B23" s="126">
        <f t="shared" si="0"/>
        <v>45709</v>
      </c>
      <c r="C23" s="127">
        <f>YEAR(MC_2[[#This Row],[Date]])+IF(MONTH(MC_2[[#This Row],[Date]])&gt;=4,1,0)</f>
        <v>2025</v>
      </c>
      <c r="D23" s="128">
        <f>YEAR(MC_2[[#This Row],[Date]])</f>
        <v>2025</v>
      </c>
      <c r="E23" s="125" t="s">
        <v>157</v>
      </c>
      <c r="F23" s="125" t="s">
        <v>157</v>
      </c>
      <c r="G23" s="129" t="str">
        <f>TEXT(MC_2[[#This Row],[Date]],"mmm-yy")</f>
        <v>Feb-25</v>
      </c>
      <c r="H23" s="129">
        <f>DAY(EOMONTH(MC_2[[#This Row],[Month Year]],0))</f>
        <v>28</v>
      </c>
      <c r="I23" s="132"/>
      <c r="J23" s="132"/>
      <c r="K23" s="132">
        <v>0</v>
      </c>
      <c r="L23" s="132">
        <v>2436</v>
      </c>
      <c r="M23" s="132">
        <v>0</v>
      </c>
      <c r="N23" s="132">
        <v>0</v>
      </c>
      <c r="O23" s="132"/>
      <c r="P23" s="132"/>
      <c r="Q23" s="132"/>
      <c r="R23" s="132"/>
      <c r="S23" s="4"/>
      <c r="T23" s="133"/>
      <c r="U23" s="133"/>
      <c r="V23" s="133"/>
      <c r="W23" s="133"/>
      <c r="X23" s="132"/>
      <c r="Y23" s="132"/>
      <c r="Z23" s="132"/>
    </row>
    <row r="24" spans="1:26">
      <c r="A24" s="132">
        <v>22</v>
      </c>
      <c r="B24" s="126">
        <f t="shared" si="0"/>
        <v>45710</v>
      </c>
      <c r="C24" s="127">
        <f>YEAR(MC_2[[#This Row],[Date]])+IF(MONTH(MC_2[[#This Row],[Date]])&gt;=4,1,0)</f>
        <v>2025</v>
      </c>
      <c r="D24" s="128">
        <f>YEAR(MC_2[[#This Row],[Date]])</f>
        <v>2025</v>
      </c>
      <c r="E24" s="125" t="s">
        <v>157</v>
      </c>
      <c r="F24" s="125" t="s">
        <v>157</v>
      </c>
      <c r="G24" s="129" t="str">
        <f>TEXT(MC_2[[#This Row],[Date]],"mmm-yy")</f>
        <v>Feb-25</v>
      </c>
      <c r="H24" s="129">
        <f>DAY(EOMONTH(MC_2[[#This Row],[Month Year]],0))</f>
        <v>28</v>
      </c>
      <c r="I24" s="132"/>
      <c r="J24" s="132"/>
      <c r="K24" s="132">
        <v>0</v>
      </c>
      <c r="L24" s="132">
        <v>2320</v>
      </c>
      <c r="M24" s="132">
        <v>0</v>
      </c>
      <c r="N24" s="132">
        <v>0</v>
      </c>
      <c r="O24" s="132"/>
      <c r="P24" s="132"/>
      <c r="Q24" s="132"/>
      <c r="R24" s="132"/>
      <c r="S24" s="4"/>
      <c r="T24" s="132"/>
      <c r="U24" s="132"/>
      <c r="V24" s="132"/>
      <c r="W24" s="132"/>
      <c r="X24" s="132"/>
      <c r="Y24" s="132"/>
      <c r="Z24" s="132"/>
    </row>
    <row r="25" spans="1:26">
      <c r="A25" s="132">
        <v>23</v>
      </c>
      <c r="B25" s="126">
        <f t="shared" si="0"/>
        <v>45711</v>
      </c>
      <c r="C25" s="127">
        <f>YEAR(MC_2[[#This Row],[Date]])+IF(MONTH(MC_2[[#This Row],[Date]])&gt;=4,1,0)</f>
        <v>2025</v>
      </c>
      <c r="D25" s="128">
        <f>YEAR(MC_2[[#This Row],[Date]])</f>
        <v>2025</v>
      </c>
      <c r="E25" s="125" t="s">
        <v>157</v>
      </c>
      <c r="F25" s="125" t="s">
        <v>157</v>
      </c>
      <c r="G25" s="129" t="str">
        <f>TEXT(MC_2[[#This Row],[Date]],"mmm-yy")</f>
        <v>Feb-25</v>
      </c>
      <c r="H25" s="129">
        <f>DAY(EOMONTH(MC_2[[#This Row],[Month Year]],0))</f>
        <v>28</v>
      </c>
      <c r="I25" s="132"/>
      <c r="J25" s="132"/>
      <c r="K25" s="132">
        <v>0</v>
      </c>
      <c r="L25" s="132">
        <v>2639</v>
      </c>
      <c r="M25" s="132">
        <v>0</v>
      </c>
      <c r="N25" s="132">
        <v>0</v>
      </c>
      <c r="O25" s="132"/>
      <c r="P25" s="132"/>
      <c r="Q25" s="132"/>
      <c r="R25" s="132"/>
      <c r="S25" s="4"/>
      <c r="T25" s="133"/>
      <c r="U25" s="133"/>
      <c r="V25" s="133"/>
      <c r="W25" s="133"/>
      <c r="X25" s="132"/>
      <c r="Y25" s="132"/>
      <c r="Z25" s="132"/>
    </row>
    <row r="26" spans="1:26">
      <c r="A26" s="132">
        <v>24</v>
      </c>
      <c r="B26" s="126">
        <f t="shared" si="0"/>
        <v>45712</v>
      </c>
      <c r="C26" s="127">
        <f>YEAR(MC_2[[#This Row],[Date]])+IF(MONTH(MC_2[[#This Row],[Date]])&gt;=4,1,0)</f>
        <v>2025</v>
      </c>
      <c r="D26" s="128">
        <f>YEAR(MC_2[[#This Row],[Date]])</f>
        <v>2025</v>
      </c>
      <c r="E26" s="125" t="s">
        <v>157</v>
      </c>
      <c r="F26" s="125" t="s">
        <v>157</v>
      </c>
      <c r="G26" s="129" t="str">
        <f>TEXT(MC_2[[#This Row],[Date]],"mmm-yy")</f>
        <v>Feb-25</v>
      </c>
      <c r="H26" s="129">
        <f>DAY(EOMONTH(MC_2[[#This Row],[Month Year]],0))</f>
        <v>28</v>
      </c>
      <c r="I26" s="132"/>
      <c r="J26" s="132"/>
      <c r="K26" s="132">
        <v>0</v>
      </c>
      <c r="L26" s="132">
        <v>2378</v>
      </c>
      <c r="M26" s="132">
        <v>0</v>
      </c>
      <c r="N26" s="132">
        <v>0</v>
      </c>
      <c r="O26" s="132"/>
      <c r="P26" s="132"/>
      <c r="Q26" s="132"/>
      <c r="R26" s="132"/>
      <c r="S26" s="4"/>
      <c r="T26" s="133"/>
      <c r="U26" s="133"/>
      <c r="V26" s="133"/>
      <c r="W26" s="133"/>
      <c r="X26" s="132"/>
      <c r="Y26" s="132"/>
      <c r="Z26" s="132"/>
    </row>
    <row r="27" spans="1:26">
      <c r="A27" s="132">
        <v>25</v>
      </c>
      <c r="B27" s="126">
        <f t="shared" si="0"/>
        <v>45713</v>
      </c>
      <c r="C27" s="127">
        <f>YEAR(MC_2[[#This Row],[Date]])+IF(MONTH(MC_2[[#This Row],[Date]])&gt;=4,1,0)</f>
        <v>2025</v>
      </c>
      <c r="D27" s="128">
        <f>YEAR(MC_2[[#This Row],[Date]])</f>
        <v>2025</v>
      </c>
      <c r="E27" s="125" t="s">
        <v>157</v>
      </c>
      <c r="F27" s="125" t="s">
        <v>157</v>
      </c>
      <c r="G27" s="129" t="str">
        <f>TEXT(MC_2[[#This Row],[Date]],"mmm-yy")</f>
        <v>Feb-25</v>
      </c>
      <c r="H27" s="129">
        <f>DAY(EOMONTH(MC_2[[#This Row],[Month Year]],0))</f>
        <v>28</v>
      </c>
      <c r="I27" s="132"/>
      <c r="J27" s="132"/>
      <c r="K27" s="132">
        <v>1450</v>
      </c>
      <c r="L27" s="132">
        <v>0</v>
      </c>
      <c r="M27" s="132">
        <v>0</v>
      </c>
      <c r="N27" s="132">
        <v>0</v>
      </c>
      <c r="O27" s="132"/>
      <c r="P27" s="132"/>
      <c r="Q27" s="132"/>
      <c r="R27" s="132"/>
      <c r="S27" s="4"/>
      <c r="T27" s="133"/>
      <c r="U27" s="133"/>
      <c r="V27" s="133"/>
      <c r="W27" s="133"/>
      <c r="X27" s="132"/>
      <c r="Y27" s="132"/>
      <c r="Z27" s="132"/>
    </row>
    <row r="28" spans="1:26">
      <c r="A28" s="132">
        <v>26</v>
      </c>
      <c r="B28" s="126">
        <f t="shared" si="0"/>
        <v>45714</v>
      </c>
      <c r="C28" s="127">
        <f>YEAR(MC_2[[#This Row],[Date]])+IF(MONTH(MC_2[[#This Row],[Date]])&gt;=4,1,0)</f>
        <v>2025</v>
      </c>
      <c r="D28" s="128">
        <f>YEAR(MC_2[[#This Row],[Date]])</f>
        <v>2025</v>
      </c>
      <c r="E28" s="125" t="s">
        <v>157</v>
      </c>
      <c r="F28" s="125" t="s">
        <v>157</v>
      </c>
      <c r="G28" s="129" t="str">
        <f>TEXT(MC_2[[#This Row],[Date]],"mmm-yy")</f>
        <v>Feb-25</v>
      </c>
      <c r="H28" s="129">
        <f>DAY(EOMONTH(MC_2[[#This Row],[Month Year]],0))</f>
        <v>28</v>
      </c>
      <c r="I28" s="132"/>
      <c r="J28" s="132"/>
      <c r="K28" s="132">
        <v>3712</v>
      </c>
      <c r="L28" s="132">
        <v>0</v>
      </c>
      <c r="M28" s="132">
        <v>0</v>
      </c>
      <c r="N28" s="132">
        <v>0</v>
      </c>
      <c r="O28" s="132"/>
      <c r="P28" s="132"/>
      <c r="Q28" s="132"/>
      <c r="R28" s="132"/>
      <c r="S28" s="4"/>
      <c r="T28" s="133"/>
      <c r="U28" s="133"/>
      <c r="V28" s="133"/>
      <c r="W28" s="133"/>
      <c r="X28" s="132"/>
      <c r="Y28" s="132"/>
      <c r="Z28" s="132"/>
    </row>
    <row r="29" spans="1:26">
      <c r="A29" s="132">
        <v>27</v>
      </c>
      <c r="B29" s="126">
        <f t="shared" si="0"/>
        <v>45715</v>
      </c>
      <c r="C29" s="127">
        <f>YEAR(MC_2[[#This Row],[Date]])+IF(MONTH(MC_2[[#This Row],[Date]])&gt;=4,1,0)</f>
        <v>2025</v>
      </c>
      <c r="D29" s="128">
        <f>YEAR(MC_2[[#This Row],[Date]])</f>
        <v>2025</v>
      </c>
      <c r="E29" s="125" t="s">
        <v>157</v>
      </c>
      <c r="F29" s="125" t="s">
        <v>157</v>
      </c>
      <c r="G29" s="129" t="str">
        <f>TEXT(MC_2[[#This Row],[Date]],"mmm-yy")</f>
        <v>Feb-25</v>
      </c>
      <c r="H29" s="129">
        <f>DAY(EOMONTH(MC_2[[#This Row],[Month Year]],0))</f>
        <v>28</v>
      </c>
      <c r="I29" s="132"/>
      <c r="J29" s="132"/>
      <c r="K29" s="132">
        <v>0</v>
      </c>
      <c r="L29" s="132">
        <v>0</v>
      </c>
      <c r="M29" s="132">
        <v>0</v>
      </c>
      <c r="N29" s="132">
        <v>0</v>
      </c>
      <c r="O29" s="132"/>
      <c r="P29" s="132"/>
      <c r="Q29" s="132"/>
      <c r="R29" s="132"/>
      <c r="S29" s="4"/>
      <c r="T29" s="133"/>
      <c r="U29" s="133"/>
      <c r="V29" s="133"/>
      <c r="W29" s="133"/>
      <c r="X29" s="132"/>
      <c r="Y29" s="132"/>
      <c r="Z29" s="132"/>
    </row>
    <row r="30" spans="1:26">
      <c r="A30" s="132">
        <v>28</v>
      </c>
      <c r="B30" s="126">
        <f t="shared" si="0"/>
        <v>45716</v>
      </c>
      <c r="C30" s="127">
        <f>YEAR(MC_2[[#This Row],[Date]])+IF(MONTH(MC_2[[#This Row],[Date]])&gt;=4,1,0)</f>
        <v>2025</v>
      </c>
      <c r="D30" s="128">
        <f>YEAR(MC_2[[#This Row],[Date]])</f>
        <v>2025</v>
      </c>
      <c r="E30" s="125" t="s">
        <v>157</v>
      </c>
      <c r="F30" s="125" t="s">
        <v>157</v>
      </c>
      <c r="G30" s="129" t="str">
        <f>TEXT(MC_2[[#This Row],[Date]],"mmm-yy")</f>
        <v>Feb-25</v>
      </c>
      <c r="H30" s="129">
        <f>DAY(EOMONTH(MC_2[[#This Row],[Month Year]],0))</f>
        <v>28</v>
      </c>
      <c r="I30" s="132"/>
      <c r="J30" s="132"/>
      <c r="K30" s="132">
        <v>1276</v>
      </c>
      <c r="L30" s="132">
        <v>580</v>
      </c>
      <c r="M30" s="132">
        <v>0</v>
      </c>
      <c r="N30" s="132">
        <v>0</v>
      </c>
      <c r="O30" s="132"/>
      <c r="P30" s="132"/>
      <c r="Q30" s="132"/>
      <c r="R30" s="132"/>
      <c r="S30" s="4"/>
      <c r="T30" s="133"/>
      <c r="U30" s="133"/>
      <c r="V30" s="133"/>
      <c r="W30" s="133"/>
      <c r="X30" s="132"/>
      <c r="Y30" s="132"/>
      <c r="Z30" s="132"/>
    </row>
    <row r="31" spans="1:26">
      <c r="A31" s="132">
        <v>29</v>
      </c>
      <c r="B31" s="126">
        <f t="shared" si="0"/>
        <v>45717</v>
      </c>
      <c r="C31" s="127">
        <f>YEAR(MC_2[[#This Row],[Date]])+IF(MONTH(MC_2[[#This Row],[Date]])&gt;=4,1,0)</f>
        <v>2025</v>
      </c>
      <c r="D31" s="128">
        <f>YEAR(MC_2[[#This Row],[Date]])</f>
        <v>2025</v>
      </c>
      <c r="E31" s="125" t="s">
        <v>157</v>
      </c>
      <c r="F31" s="125" t="s">
        <v>157</v>
      </c>
      <c r="G31" s="129" t="str">
        <f>TEXT(MC_2[[#This Row],[Date]],"mmm-yy")</f>
        <v>Mar-25</v>
      </c>
      <c r="H31" s="129">
        <f>DAY(EOMONTH(MC_2[[#This Row],[Month Year]],0))</f>
        <v>31</v>
      </c>
      <c r="I31" s="132"/>
      <c r="J31" s="132"/>
      <c r="K31" s="132">
        <v>580</v>
      </c>
      <c r="L31" s="132">
        <v>2378</v>
      </c>
      <c r="M31" s="132">
        <v>0</v>
      </c>
      <c r="N31" s="132">
        <v>0</v>
      </c>
      <c r="O31" s="132"/>
      <c r="P31" s="132"/>
      <c r="Q31" s="132"/>
      <c r="R31" s="132"/>
      <c r="S31" s="4"/>
      <c r="T31" s="133"/>
      <c r="U31" s="133"/>
      <c r="V31" s="132"/>
      <c r="W31" s="132"/>
      <c r="X31" s="132"/>
      <c r="Y31" s="132"/>
      <c r="Z31" s="132"/>
    </row>
    <row r="32" spans="1:26">
      <c r="A32" s="132">
        <v>30</v>
      </c>
      <c r="B32" s="126">
        <f t="shared" si="0"/>
        <v>45718</v>
      </c>
      <c r="C32" s="127">
        <f>YEAR(MC_2[[#This Row],[Date]])+IF(MONTH(MC_2[[#This Row],[Date]])&gt;=4,1,0)</f>
        <v>2025</v>
      </c>
      <c r="D32" s="128">
        <f>YEAR(MC_2[[#This Row],[Date]])</f>
        <v>2025</v>
      </c>
      <c r="E32" s="125" t="s">
        <v>157</v>
      </c>
      <c r="F32" s="125" t="s">
        <v>157</v>
      </c>
      <c r="G32" s="129" t="str">
        <f>TEXT(MC_2[[#This Row],[Date]],"mmm-yy")</f>
        <v>Mar-25</v>
      </c>
      <c r="H32" s="129">
        <f>DAY(EOMONTH(MC_2[[#This Row],[Month Year]],0))</f>
        <v>31</v>
      </c>
      <c r="I32" s="132"/>
      <c r="J32" s="132"/>
      <c r="K32" s="132">
        <v>0</v>
      </c>
      <c r="L32" s="132">
        <v>435</v>
      </c>
      <c r="M32" s="132">
        <v>1769</v>
      </c>
      <c r="N32" s="132">
        <v>0</v>
      </c>
      <c r="O32" s="132"/>
      <c r="P32" s="132"/>
      <c r="Q32" s="132"/>
      <c r="R32" s="132"/>
      <c r="S32" s="4"/>
      <c r="T32" s="132"/>
      <c r="U32" s="132"/>
      <c r="V32" s="132"/>
      <c r="W32" s="132"/>
      <c r="X32" s="132"/>
      <c r="Y32" s="132"/>
      <c r="Z32" s="132"/>
    </row>
    <row r="33" spans="1:26">
      <c r="A33" s="132">
        <v>31</v>
      </c>
      <c r="B33" s="126">
        <f t="shared" si="0"/>
        <v>45719</v>
      </c>
      <c r="C33" s="127">
        <f>YEAR(MC_2[[#This Row],[Date]])+IF(MONTH(MC_2[[#This Row],[Date]])&gt;=4,1,0)</f>
        <v>2025</v>
      </c>
      <c r="D33" s="128">
        <f>YEAR(MC_2[[#This Row],[Date]])</f>
        <v>2025</v>
      </c>
      <c r="E33" s="125" t="s">
        <v>157</v>
      </c>
      <c r="F33" s="125" t="s">
        <v>157</v>
      </c>
      <c r="G33" s="129" t="str">
        <f>TEXT(MC_2[[#This Row],[Date]],"mmm-yy")</f>
        <v>Mar-25</v>
      </c>
      <c r="H33" s="129">
        <f>DAY(EOMONTH(MC_2[[#This Row],[Month Year]],0))</f>
        <v>31</v>
      </c>
      <c r="I33" s="132"/>
      <c r="J33" s="132"/>
      <c r="K33" s="132">
        <v>2784</v>
      </c>
      <c r="L33" s="132">
        <v>0</v>
      </c>
      <c r="M33" s="132">
        <v>0</v>
      </c>
      <c r="N33" s="132">
        <v>0</v>
      </c>
      <c r="O33" s="132"/>
      <c r="P33" s="132"/>
      <c r="Q33" s="132"/>
      <c r="R33" s="132"/>
      <c r="S33" s="4"/>
      <c r="T33" s="132"/>
      <c r="U33" s="132"/>
      <c r="V33" s="132"/>
      <c r="W33" s="132"/>
      <c r="X33" s="132"/>
      <c r="Y33" s="132"/>
      <c r="Z33" s="132"/>
    </row>
    <row r="34" spans="1:26">
      <c r="A34" s="132">
        <v>32</v>
      </c>
      <c r="B34" s="126">
        <f t="shared" si="0"/>
        <v>45720</v>
      </c>
      <c r="C34" s="127">
        <f>YEAR(MC_2[[#This Row],[Date]])+IF(MONTH(MC_2[[#This Row],[Date]])&gt;=4,1,0)</f>
        <v>2025</v>
      </c>
      <c r="D34" s="128">
        <f>YEAR(MC_2[[#This Row],[Date]])</f>
        <v>2025</v>
      </c>
      <c r="E34" s="125" t="s">
        <v>157</v>
      </c>
      <c r="F34" s="125" t="s">
        <v>157</v>
      </c>
      <c r="G34" s="129" t="str">
        <f>TEXT(MC_2[[#This Row],[Date]],"mmm-yy")</f>
        <v>Mar-25</v>
      </c>
      <c r="H34" s="129">
        <f>DAY(EOMONTH(MC_2[[#This Row],[Month Year]],0))</f>
        <v>31</v>
      </c>
      <c r="I34" s="132"/>
      <c r="J34" s="132"/>
      <c r="K34" s="132">
        <v>0</v>
      </c>
      <c r="L34" s="132">
        <v>0</v>
      </c>
      <c r="M34" s="132">
        <v>0</v>
      </c>
      <c r="N34" s="132">
        <v>0</v>
      </c>
      <c r="O34" s="132"/>
      <c r="P34" s="132"/>
      <c r="Q34" s="132"/>
      <c r="R34" s="132"/>
      <c r="S34" s="4"/>
      <c r="T34" s="132"/>
      <c r="U34" s="132"/>
      <c r="V34" s="132"/>
      <c r="W34" s="132"/>
      <c r="X34" s="132"/>
      <c r="Y34" s="132"/>
      <c r="Z34" s="132"/>
    </row>
    <row r="35" spans="1:26">
      <c r="A35" s="132">
        <v>33</v>
      </c>
      <c r="B35" s="126">
        <f t="shared" si="0"/>
        <v>45721</v>
      </c>
      <c r="C35" s="127">
        <f>YEAR(MC_2[[#This Row],[Date]])+IF(MONTH(MC_2[[#This Row],[Date]])&gt;=4,1,0)</f>
        <v>2025</v>
      </c>
      <c r="D35" s="128">
        <f>YEAR(MC_2[[#This Row],[Date]])</f>
        <v>2025</v>
      </c>
      <c r="E35" s="125" t="s">
        <v>157</v>
      </c>
      <c r="F35" s="125" t="s">
        <v>157</v>
      </c>
      <c r="G35" s="129" t="str">
        <f>TEXT(MC_2[[#This Row],[Date]],"mmm-yy")</f>
        <v>Mar-25</v>
      </c>
      <c r="H35" s="129">
        <f>DAY(EOMONTH(MC_2[[#This Row],[Month Year]],0))</f>
        <v>31</v>
      </c>
      <c r="I35" s="132"/>
      <c r="J35" s="132"/>
      <c r="K35" s="132">
        <v>696</v>
      </c>
      <c r="L35" s="132">
        <v>0</v>
      </c>
      <c r="M35" s="132">
        <v>0</v>
      </c>
      <c r="N35" s="132">
        <v>986</v>
      </c>
      <c r="O35" s="132"/>
      <c r="P35" s="132"/>
      <c r="Q35" s="132"/>
      <c r="R35" s="132"/>
      <c r="S35" s="4"/>
      <c r="T35" s="132"/>
      <c r="U35" s="132"/>
      <c r="V35" s="132"/>
      <c r="W35" s="132"/>
      <c r="X35" s="132"/>
      <c r="Y35" s="132"/>
      <c r="Z35" s="132"/>
    </row>
    <row r="36" spans="1:26">
      <c r="A36" s="132">
        <v>34</v>
      </c>
      <c r="B36" s="126">
        <f t="shared" si="0"/>
        <v>45722</v>
      </c>
      <c r="C36" s="127">
        <f>YEAR(MC_2[[#This Row],[Date]])+IF(MONTH(MC_2[[#This Row],[Date]])&gt;=4,1,0)</f>
        <v>2025</v>
      </c>
      <c r="D36" s="128">
        <f>YEAR(MC_2[[#This Row],[Date]])</f>
        <v>2025</v>
      </c>
      <c r="E36" s="125" t="s">
        <v>157</v>
      </c>
      <c r="F36" s="125" t="s">
        <v>157</v>
      </c>
      <c r="G36" s="129" t="str">
        <f>TEXT(MC_2[[#This Row],[Date]],"mmm-yy")</f>
        <v>Mar-25</v>
      </c>
      <c r="H36" s="129">
        <f>DAY(EOMONTH(MC_2[[#This Row],[Month Year]],0))</f>
        <v>31</v>
      </c>
      <c r="I36" s="132"/>
      <c r="J36" s="132"/>
      <c r="K36" s="132">
        <v>0</v>
      </c>
      <c r="L36" s="132">
        <v>0</v>
      </c>
      <c r="M36" s="132">
        <v>0</v>
      </c>
      <c r="N36" s="132">
        <v>1972</v>
      </c>
      <c r="O36" s="132"/>
      <c r="P36" s="132"/>
      <c r="Q36" s="132"/>
      <c r="R36" s="132"/>
      <c r="S36" s="4"/>
      <c r="T36" s="132"/>
      <c r="U36" s="132"/>
      <c r="V36" s="132"/>
      <c r="W36" s="132"/>
      <c r="X36" s="132"/>
      <c r="Y36" s="132"/>
      <c r="Z36" s="132"/>
    </row>
    <row r="37" spans="1:26">
      <c r="A37" s="132">
        <v>35</v>
      </c>
      <c r="B37" s="126">
        <f t="shared" si="0"/>
        <v>45723</v>
      </c>
      <c r="C37" s="127">
        <f>YEAR(MC_2[[#This Row],[Date]])+IF(MONTH(MC_2[[#This Row],[Date]])&gt;=4,1,0)</f>
        <v>2025</v>
      </c>
      <c r="D37" s="128">
        <f>YEAR(MC_2[[#This Row],[Date]])</f>
        <v>2025</v>
      </c>
      <c r="E37" s="125" t="s">
        <v>157</v>
      </c>
      <c r="F37" s="125" t="s">
        <v>157</v>
      </c>
      <c r="G37" s="129" t="str">
        <f>TEXT(MC_2[[#This Row],[Date]],"mmm-yy")</f>
        <v>Mar-25</v>
      </c>
      <c r="H37" s="129">
        <f>DAY(EOMONTH(MC_2[[#This Row],[Month Year]],0))</f>
        <v>31</v>
      </c>
      <c r="I37" s="132"/>
      <c r="J37" s="132"/>
      <c r="K37" s="132">
        <v>928</v>
      </c>
      <c r="L37" s="132">
        <v>0</v>
      </c>
      <c r="M37" s="132">
        <v>0</v>
      </c>
      <c r="N37" s="132">
        <v>58</v>
      </c>
      <c r="O37" s="132"/>
      <c r="P37" s="132"/>
      <c r="Q37" s="132"/>
      <c r="R37" s="132"/>
      <c r="S37" s="4"/>
      <c r="T37" s="132"/>
      <c r="U37" s="132"/>
      <c r="V37" s="132"/>
      <c r="W37" s="132"/>
      <c r="X37" s="132"/>
      <c r="Y37" s="132"/>
      <c r="Z37" s="132"/>
    </row>
    <row r="38" spans="1:26">
      <c r="A38" s="132">
        <v>36</v>
      </c>
      <c r="B38" s="126">
        <f t="shared" si="0"/>
        <v>45724</v>
      </c>
      <c r="C38" s="127">
        <f>YEAR(MC_2[[#This Row],[Date]])+IF(MONTH(MC_2[[#This Row],[Date]])&gt;=4,1,0)</f>
        <v>2025</v>
      </c>
      <c r="D38" s="128">
        <f>YEAR(MC_2[[#This Row],[Date]])</f>
        <v>2025</v>
      </c>
      <c r="E38" s="125" t="s">
        <v>157</v>
      </c>
      <c r="F38" s="125" t="s">
        <v>157</v>
      </c>
      <c r="G38" s="129" t="str">
        <f>TEXT(MC_2[[#This Row],[Date]],"mmm-yy")</f>
        <v>Mar-25</v>
      </c>
      <c r="H38" s="129">
        <f>DAY(EOMONTH(MC_2[[#This Row],[Month Year]],0))</f>
        <v>31</v>
      </c>
      <c r="I38" s="132"/>
      <c r="J38" s="132"/>
      <c r="K38" s="132">
        <v>0</v>
      </c>
      <c r="L38" s="132">
        <v>1943</v>
      </c>
      <c r="M38" s="132">
        <v>0</v>
      </c>
      <c r="N38" s="132">
        <v>0</v>
      </c>
      <c r="O38" s="132"/>
      <c r="P38" s="132"/>
      <c r="Q38" s="132"/>
      <c r="R38" s="132"/>
      <c r="S38" s="4"/>
      <c r="T38" s="133"/>
      <c r="U38" s="133"/>
      <c r="V38" s="132"/>
      <c r="W38" s="133"/>
      <c r="X38" s="132"/>
      <c r="Y38" s="132"/>
      <c r="Z38" s="132"/>
    </row>
    <row r="39" spans="1:26">
      <c r="A39" s="132">
        <v>37</v>
      </c>
      <c r="B39" s="126">
        <f t="shared" si="0"/>
        <v>45725</v>
      </c>
      <c r="C39" s="127">
        <f>YEAR(MC_2[[#This Row],[Date]])+IF(MONTH(MC_2[[#This Row],[Date]])&gt;=4,1,0)</f>
        <v>2025</v>
      </c>
      <c r="D39" s="128">
        <f>YEAR(MC_2[[#This Row],[Date]])</f>
        <v>2025</v>
      </c>
      <c r="E39" s="125" t="s">
        <v>157</v>
      </c>
      <c r="F39" s="125" t="s">
        <v>157</v>
      </c>
      <c r="G39" s="129" t="str">
        <f>TEXT(MC_2[[#This Row],[Date]],"mmm-yy")</f>
        <v>Mar-25</v>
      </c>
      <c r="H39" s="129">
        <f>DAY(EOMONTH(MC_2[[#This Row],[Month Year]],0))</f>
        <v>31</v>
      </c>
      <c r="I39" s="132"/>
      <c r="J39" s="132"/>
      <c r="K39" s="132">
        <v>0</v>
      </c>
      <c r="L39" s="132">
        <v>1769</v>
      </c>
      <c r="M39" s="132">
        <v>0</v>
      </c>
      <c r="N39" s="132">
        <v>0</v>
      </c>
      <c r="O39" s="132"/>
      <c r="P39" s="132"/>
      <c r="Q39" s="132"/>
      <c r="R39" s="132"/>
      <c r="S39" s="4"/>
      <c r="T39" s="133"/>
      <c r="U39" s="132"/>
      <c r="V39" s="132"/>
      <c r="W39" s="133"/>
      <c r="X39" s="132"/>
      <c r="Y39" s="132"/>
      <c r="Z39" s="132"/>
    </row>
    <row r="40" spans="1:26">
      <c r="A40" s="132">
        <v>38</v>
      </c>
      <c r="B40" s="126">
        <f t="shared" si="0"/>
        <v>45726</v>
      </c>
      <c r="C40" s="127">
        <f>YEAR(MC_2[[#This Row],[Date]])+IF(MONTH(MC_2[[#This Row],[Date]])&gt;=4,1,0)</f>
        <v>2025</v>
      </c>
      <c r="D40" s="128">
        <f>YEAR(MC_2[[#This Row],[Date]])</f>
        <v>2025</v>
      </c>
      <c r="E40" s="125" t="s">
        <v>157</v>
      </c>
      <c r="F40" s="125" t="s">
        <v>157</v>
      </c>
      <c r="G40" s="129" t="str">
        <f>TEXT(MC_2[[#This Row],[Date]],"mmm-yy")</f>
        <v>Mar-25</v>
      </c>
      <c r="H40" s="129">
        <f>DAY(EOMONTH(MC_2[[#This Row],[Month Year]],0))</f>
        <v>31</v>
      </c>
      <c r="I40" s="132"/>
      <c r="J40" s="132"/>
      <c r="K40" s="132">
        <v>0</v>
      </c>
      <c r="L40" s="132">
        <v>1740</v>
      </c>
      <c r="M40" s="132">
        <v>0</v>
      </c>
      <c r="N40" s="132">
        <v>0</v>
      </c>
      <c r="O40" s="132"/>
      <c r="P40" s="132"/>
      <c r="Q40" s="132"/>
      <c r="R40" s="132"/>
      <c r="S40" s="4"/>
      <c r="T40" s="133"/>
      <c r="U40" s="133"/>
      <c r="V40" s="132"/>
      <c r="W40" s="132"/>
      <c r="X40" s="132"/>
      <c r="Y40" s="132"/>
      <c r="Z40" s="132"/>
    </row>
    <row r="41" spans="1:26">
      <c r="A41" s="132">
        <v>39</v>
      </c>
      <c r="B41" s="126">
        <f t="shared" si="0"/>
        <v>45727</v>
      </c>
      <c r="C41" s="127">
        <f>YEAR(MC_2[[#This Row],[Date]])+IF(MONTH(MC_2[[#This Row],[Date]])&gt;=4,1,0)</f>
        <v>2025</v>
      </c>
      <c r="D41" s="128">
        <f>YEAR(MC_2[[#This Row],[Date]])</f>
        <v>2025</v>
      </c>
      <c r="E41" s="125" t="s">
        <v>157</v>
      </c>
      <c r="F41" s="125" t="s">
        <v>157</v>
      </c>
      <c r="G41" s="129" t="str">
        <f>TEXT(MC_2[[#This Row],[Date]],"mmm-yy")</f>
        <v>Mar-25</v>
      </c>
      <c r="H41" s="129">
        <f>DAY(EOMONTH(MC_2[[#This Row],[Month Year]],0))</f>
        <v>31</v>
      </c>
      <c r="I41" s="132"/>
      <c r="J41" s="132"/>
      <c r="K41" s="132">
        <v>0</v>
      </c>
      <c r="L41" s="132">
        <v>3103</v>
      </c>
      <c r="M41" s="132">
        <v>0</v>
      </c>
      <c r="N41" s="132">
        <v>0</v>
      </c>
      <c r="O41" s="132"/>
      <c r="P41" s="132"/>
      <c r="Q41" s="132"/>
      <c r="R41" s="132"/>
      <c r="S41" s="4"/>
      <c r="T41" s="132"/>
      <c r="U41" s="132"/>
      <c r="V41" s="132"/>
      <c r="W41" s="132"/>
      <c r="X41" s="132"/>
      <c r="Y41" s="132"/>
      <c r="Z41" s="132"/>
    </row>
    <row r="42" spans="1:26">
      <c r="A42" s="132">
        <v>40</v>
      </c>
      <c r="B42" s="126">
        <f t="shared" si="0"/>
        <v>45728</v>
      </c>
      <c r="C42" s="127">
        <f>YEAR(MC_2[[#This Row],[Date]])+IF(MONTH(MC_2[[#This Row],[Date]])&gt;=4,1,0)</f>
        <v>2025</v>
      </c>
      <c r="D42" s="128">
        <f>YEAR(MC_2[[#This Row],[Date]])</f>
        <v>2025</v>
      </c>
      <c r="E42" s="125" t="s">
        <v>157</v>
      </c>
      <c r="F42" s="125" t="s">
        <v>157</v>
      </c>
      <c r="G42" s="129" t="str">
        <f>TEXT(MC_2[[#This Row],[Date]],"mmm-yy")</f>
        <v>Mar-25</v>
      </c>
      <c r="H42" s="129">
        <f>DAY(EOMONTH(MC_2[[#This Row],[Month Year]],0))</f>
        <v>31</v>
      </c>
      <c r="I42" s="132"/>
      <c r="J42" s="132"/>
      <c r="K42" s="132">
        <v>0</v>
      </c>
      <c r="L42" s="132">
        <v>4002</v>
      </c>
      <c r="M42" s="132">
        <v>0</v>
      </c>
      <c r="N42" s="132">
        <v>0</v>
      </c>
      <c r="O42" s="132"/>
      <c r="P42" s="132"/>
      <c r="Q42" s="132"/>
      <c r="R42" s="132"/>
      <c r="S42" s="4"/>
      <c r="T42" s="133"/>
      <c r="U42" s="133"/>
      <c r="V42" s="132"/>
      <c r="W42" s="132"/>
      <c r="X42" s="132"/>
      <c r="Y42" s="132"/>
      <c r="Z42" s="132"/>
    </row>
    <row r="43" spans="1:26">
      <c r="A43" s="132">
        <v>41</v>
      </c>
      <c r="B43" s="126">
        <f t="shared" si="0"/>
        <v>45729</v>
      </c>
      <c r="C43" s="127">
        <f>YEAR(MC_2[[#This Row],[Date]])+IF(MONTH(MC_2[[#This Row],[Date]])&gt;=4,1,0)</f>
        <v>2025</v>
      </c>
      <c r="D43" s="128">
        <f>YEAR(MC_2[[#This Row],[Date]])</f>
        <v>2025</v>
      </c>
      <c r="E43" s="125" t="s">
        <v>157</v>
      </c>
      <c r="F43" s="125" t="s">
        <v>157</v>
      </c>
      <c r="G43" s="129" t="str">
        <f>TEXT(MC_2[[#This Row],[Date]],"mmm-yy")</f>
        <v>Mar-25</v>
      </c>
      <c r="H43" s="129">
        <f>DAY(EOMONTH(MC_2[[#This Row],[Month Year]],0))</f>
        <v>31</v>
      </c>
      <c r="I43" s="132"/>
      <c r="J43" s="132"/>
      <c r="K43" s="132">
        <v>0</v>
      </c>
      <c r="L43" s="132">
        <v>0</v>
      </c>
      <c r="M43" s="132">
        <v>0</v>
      </c>
      <c r="N43" s="132">
        <v>0</v>
      </c>
      <c r="O43" s="132"/>
      <c r="P43" s="132"/>
      <c r="Q43" s="132"/>
      <c r="R43" s="132"/>
      <c r="S43" s="4"/>
      <c r="T43" s="132"/>
      <c r="U43" s="132"/>
      <c r="V43" s="132"/>
      <c r="W43" s="132"/>
      <c r="X43" s="132"/>
      <c r="Y43" s="132"/>
      <c r="Z43" s="132"/>
    </row>
    <row r="44" spans="1:26">
      <c r="A44" s="132">
        <v>42</v>
      </c>
      <c r="B44" s="126">
        <f t="shared" si="0"/>
        <v>45730</v>
      </c>
      <c r="C44" s="127">
        <f>YEAR(MC_2[[#This Row],[Date]])+IF(MONTH(MC_2[[#This Row],[Date]])&gt;=4,1,0)</f>
        <v>2025</v>
      </c>
      <c r="D44" s="128">
        <f>YEAR(MC_2[[#This Row],[Date]])</f>
        <v>2025</v>
      </c>
      <c r="E44" s="125" t="s">
        <v>157</v>
      </c>
      <c r="F44" s="125" t="s">
        <v>157</v>
      </c>
      <c r="G44" s="129" t="str">
        <f>TEXT(MC_2[[#This Row],[Date]],"mmm-yy")</f>
        <v>Mar-25</v>
      </c>
      <c r="H44" s="129">
        <f>DAY(EOMONTH(MC_2[[#This Row],[Month Year]],0))</f>
        <v>31</v>
      </c>
      <c r="I44" s="132"/>
      <c r="J44" s="132"/>
      <c r="K44" s="132">
        <v>0</v>
      </c>
      <c r="L44" s="132">
        <v>0</v>
      </c>
      <c r="M44" s="132">
        <v>0</v>
      </c>
      <c r="N44" s="132">
        <v>0</v>
      </c>
      <c r="O44" s="132"/>
      <c r="P44" s="132"/>
      <c r="Q44" s="132"/>
      <c r="R44" s="132"/>
      <c r="S44" s="4"/>
      <c r="T44" s="132"/>
      <c r="U44" s="132"/>
      <c r="V44" s="132"/>
      <c r="W44" s="132"/>
      <c r="X44" s="132"/>
      <c r="Y44" s="132"/>
      <c r="Z44" s="132"/>
    </row>
    <row r="45" spans="1:26">
      <c r="A45" s="132">
        <v>43</v>
      </c>
      <c r="B45" s="126">
        <f t="shared" si="0"/>
        <v>45731</v>
      </c>
      <c r="C45" s="127">
        <f>YEAR(MC_2[[#This Row],[Date]])+IF(MONTH(MC_2[[#This Row],[Date]])&gt;=4,1,0)</f>
        <v>2025</v>
      </c>
      <c r="D45" s="128">
        <f>YEAR(MC_2[[#This Row],[Date]])</f>
        <v>2025</v>
      </c>
      <c r="E45" s="125" t="s">
        <v>157</v>
      </c>
      <c r="F45" s="125" t="s">
        <v>157</v>
      </c>
      <c r="G45" s="129" t="str">
        <f>TEXT(MC_2[[#This Row],[Date]],"mmm-yy")</f>
        <v>Mar-25</v>
      </c>
      <c r="H45" s="129">
        <f>DAY(EOMONTH(MC_2[[#This Row],[Month Year]],0))</f>
        <v>31</v>
      </c>
      <c r="I45" s="132"/>
      <c r="J45" s="132"/>
      <c r="K45" s="132">
        <v>0</v>
      </c>
      <c r="L45" s="132">
        <v>0</v>
      </c>
      <c r="M45" s="132">
        <v>0</v>
      </c>
      <c r="N45" s="132">
        <v>0</v>
      </c>
      <c r="O45" s="132"/>
      <c r="P45" s="132"/>
      <c r="Q45" s="132"/>
      <c r="R45" s="132"/>
      <c r="S45" s="4"/>
      <c r="T45" s="133"/>
      <c r="U45" s="133"/>
      <c r="V45" s="132"/>
      <c r="W45" s="132"/>
      <c r="X45" s="132"/>
      <c r="Y45" s="132"/>
      <c r="Z45" s="132"/>
    </row>
    <row r="46" spans="1:26">
      <c r="A46" s="132">
        <v>44</v>
      </c>
      <c r="B46" s="126">
        <f t="shared" si="0"/>
        <v>45732</v>
      </c>
      <c r="C46" s="127">
        <f>YEAR(MC_2[[#This Row],[Date]])+IF(MONTH(MC_2[[#This Row],[Date]])&gt;=4,1,0)</f>
        <v>2025</v>
      </c>
      <c r="D46" s="128">
        <f>YEAR(MC_2[[#This Row],[Date]])</f>
        <v>2025</v>
      </c>
      <c r="E46" s="125" t="s">
        <v>157</v>
      </c>
      <c r="F46" s="125" t="s">
        <v>157</v>
      </c>
      <c r="G46" s="129" t="str">
        <f>TEXT(MC_2[[#This Row],[Date]],"mmm-yy")</f>
        <v>Mar-25</v>
      </c>
      <c r="H46" s="129">
        <f>DAY(EOMONTH(MC_2[[#This Row],[Month Year]],0))</f>
        <v>31</v>
      </c>
      <c r="I46" s="132"/>
      <c r="J46" s="132"/>
      <c r="K46" s="132">
        <v>0</v>
      </c>
      <c r="L46" s="132">
        <v>0</v>
      </c>
      <c r="M46" s="132">
        <v>0</v>
      </c>
      <c r="N46" s="132">
        <v>0</v>
      </c>
      <c r="O46" s="132"/>
      <c r="P46" s="132"/>
      <c r="Q46" s="132"/>
      <c r="R46" s="132"/>
      <c r="S46" s="4"/>
      <c r="T46" s="132"/>
      <c r="U46" s="132"/>
      <c r="V46" s="132"/>
      <c r="W46" s="132"/>
      <c r="X46" s="132"/>
      <c r="Y46" s="132"/>
      <c r="Z46" s="132"/>
    </row>
    <row r="47" spans="1:26">
      <c r="A47" s="132">
        <v>45</v>
      </c>
      <c r="B47" s="126">
        <f t="shared" si="0"/>
        <v>45733</v>
      </c>
      <c r="C47" s="127">
        <f>YEAR(MC_2[[#This Row],[Date]])+IF(MONTH(MC_2[[#This Row],[Date]])&gt;=4,1,0)</f>
        <v>2025</v>
      </c>
      <c r="D47" s="128">
        <f>YEAR(MC_2[[#This Row],[Date]])</f>
        <v>2025</v>
      </c>
      <c r="E47" s="125" t="s">
        <v>157</v>
      </c>
      <c r="F47" s="125" t="s">
        <v>157</v>
      </c>
      <c r="G47" s="129" t="str">
        <f>TEXT(MC_2[[#This Row],[Date]],"mmm-yy")</f>
        <v>Mar-25</v>
      </c>
      <c r="H47" s="129">
        <f>DAY(EOMONTH(MC_2[[#This Row],[Month Year]],0))</f>
        <v>31</v>
      </c>
      <c r="I47" s="132"/>
      <c r="J47" s="132"/>
      <c r="K47" s="132">
        <v>2726</v>
      </c>
      <c r="L47" s="132">
        <v>0</v>
      </c>
      <c r="M47" s="132">
        <v>0</v>
      </c>
      <c r="N47" s="132">
        <v>0</v>
      </c>
      <c r="O47" s="132"/>
      <c r="P47" s="132"/>
      <c r="Q47" s="132"/>
      <c r="R47" s="132"/>
      <c r="S47" s="4"/>
      <c r="T47" s="132"/>
      <c r="U47" s="132"/>
      <c r="V47" s="132"/>
      <c r="W47" s="132"/>
      <c r="X47" s="132"/>
      <c r="Y47" s="132"/>
      <c r="Z47" s="132"/>
    </row>
    <row r="48" spans="1:26">
      <c r="A48" s="132">
        <v>46</v>
      </c>
      <c r="B48" s="126">
        <f t="shared" si="0"/>
        <v>45734</v>
      </c>
      <c r="C48" s="127">
        <f>YEAR(MC_2[[#This Row],[Date]])+IF(MONTH(MC_2[[#This Row],[Date]])&gt;=4,1,0)</f>
        <v>2025</v>
      </c>
      <c r="D48" s="128">
        <f>YEAR(MC_2[[#This Row],[Date]])</f>
        <v>2025</v>
      </c>
      <c r="E48" s="125" t="s">
        <v>157</v>
      </c>
      <c r="F48" s="125" t="s">
        <v>157</v>
      </c>
      <c r="G48" s="129" t="str">
        <f>TEXT(MC_2[[#This Row],[Date]],"mmm-yy")</f>
        <v>Mar-25</v>
      </c>
      <c r="H48" s="129">
        <f>DAY(EOMONTH(MC_2[[#This Row],[Month Year]],0))</f>
        <v>31</v>
      </c>
      <c r="I48" s="132"/>
      <c r="J48" s="132"/>
      <c r="K48" s="132">
        <v>0</v>
      </c>
      <c r="L48" s="132">
        <v>2117</v>
      </c>
      <c r="M48" s="132">
        <v>580</v>
      </c>
      <c r="N48" s="132">
        <v>754</v>
      </c>
      <c r="O48" s="132"/>
      <c r="P48" s="132"/>
      <c r="Q48" s="132"/>
      <c r="R48" s="132"/>
      <c r="S48" s="4"/>
      <c r="T48" s="132"/>
      <c r="U48" s="132"/>
      <c r="V48" s="132"/>
      <c r="W48" s="132"/>
      <c r="X48" s="132"/>
      <c r="Y48" s="132"/>
      <c r="Z48" s="132"/>
    </row>
    <row r="49" spans="1:26">
      <c r="A49" s="132">
        <v>47</v>
      </c>
      <c r="B49" s="126">
        <f t="shared" si="0"/>
        <v>45735</v>
      </c>
      <c r="C49" s="127">
        <f>YEAR(MC_2[[#This Row],[Date]])+IF(MONTH(MC_2[[#This Row],[Date]])&gt;=4,1,0)</f>
        <v>2025</v>
      </c>
      <c r="D49" s="128">
        <f>YEAR(MC_2[[#This Row],[Date]])</f>
        <v>2025</v>
      </c>
      <c r="E49" s="125" t="s">
        <v>157</v>
      </c>
      <c r="F49" s="125" t="s">
        <v>157</v>
      </c>
      <c r="G49" s="129" t="str">
        <f>TEXT(MC_2[[#This Row],[Date]],"mmm-yy")</f>
        <v>Mar-25</v>
      </c>
      <c r="H49" s="129">
        <f>DAY(EOMONTH(MC_2[[#This Row],[Month Year]],0))</f>
        <v>31</v>
      </c>
      <c r="I49" s="132"/>
      <c r="J49" s="132"/>
      <c r="K49" s="132">
        <v>2900</v>
      </c>
      <c r="L49" s="132">
        <v>0</v>
      </c>
      <c r="M49" s="132">
        <v>348</v>
      </c>
      <c r="N49" s="132">
        <v>0</v>
      </c>
      <c r="O49" s="132"/>
      <c r="P49" s="132"/>
      <c r="Q49" s="132"/>
      <c r="R49" s="132"/>
      <c r="S49" s="4"/>
      <c r="T49" s="132"/>
      <c r="U49" s="132"/>
      <c r="V49" s="132"/>
      <c r="W49" s="132"/>
      <c r="X49" s="132"/>
      <c r="Y49" s="132"/>
      <c r="Z49" s="132"/>
    </row>
    <row r="50" spans="1:26">
      <c r="A50" s="132">
        <v>48</v>
      </c>
      <c r="B50" s="126">
        <f t="shared" si="0"/>
        <v>45736</v>
      </c>
      <c r="C50" s="127">
        <f>YEAR(MC_2[[#This Row],[Date]])+IF(MONTH(MC_2[[#This Row],[Date]])&gt;=4,1,0)</f>
        <v>2025</v>
      </c>
      <c r="D50" s="128">
        <f>YEAR(MC_2[[#This Row],[Date]])</f>
        <v>2025</v>
      </c>
      <c r="E50" s="125" t="s">
        <v>157</v>
      </c>
      <c r="F50" s="125" t="s">
        <v>157</v>
      </c>
      <c r="G50" s="129" t="str">
        <f>TEXT(MC_2[[#This Row],[Date]],"mmm-yy")</f>
        <v>Mar-25</v>
      </c>
      <c r="H50" s="129">
        <f>DAY(EOMONTH(MC_2[[#This Row],[Month Year]],0))</f>
        <v>31</v>
      </c>
      <c r="I50" s="132"/>
      <c r="J50" s="132"/>
      <c r="K50" s="132">
        <v>3161</v>
      </c>
      <c r="L50" s="132">
        <v>0</v>
      </c>
      <c r="M50" s="132">
        <v>0</v>
      </c>
      <c r="N50" s="132">
        <v>0</v>
      </c>
      <c r="O50" s="132"/>
      <c r="P50" s="132"/>
      <c r="Q50" s="132"/>
      <c r="R50" s="132"/>
      <c r="S50" s="4"/>
      <c r="T50" s="132"/>
      <c r="U50" s="132"/>
      <c r="V50" s="132"/>
      <c r="W50" s="132"/>
      <c r="X50" s="132"/>
      <c r="Y50" s="132"/>
      <c r="Z50" s="132"/>
    </row>
    <row r="51" spans="1:26">
      <c r="A51" s="132">
        <v>49</v>
      </c>
      <c r="B51" s="126">
        <f t="shared" si="0"/>
        <v>45737</v>
      </c>
      <c r="C51" s="127">
        <f>YEAR(MC_2[[#This Row],[Date]])+IF(MONTH(MC_2[[#This Row],[Date]])&gt;=4,1,0)</f>
        <v>2025</v>
      </c>
      <c r="D51" s="128">
        <f>YEAR(MC_2[[#This Row],[Date]])</f>
        <v>2025</v>
      </c>
      <c r="E51" s="125" t="s">
        <v>157</v>
      </c>
      <c r="F51" s="125" t="s">
        <v>157</v>
      </c>
      <c r="G51" s="129" t="str">
        <f>TEXT(MC_2[[#This Row],[Date]],"mmm-yy")</f>
        <v>Mar-25</v>
      </c>
      <c r="H51" s="129">
        <f>DAY(EOMONTH(MC_2[[#This Row],[Month Year]],0))</f>
        <v>31</v>
      </c>
      <c r="I51" s="132"/>
      <c r="J51" s="132"/>
      <c r="K51" s="132">
        <v>0</v>
      </c>
      <c r="L51" s="132">
        <v>0</v>
      </c>
      <c r="M51" s="132">
        <v>0</v>
      </c>
      <c r="N51" s="132">
        <v>0</v>
      </c>
      <c r="O51" s="132"/>
      <c r="P51" s="132"/>
      <c r="Q51" s="132"/>
      <c r="R51" s="132"/>
      <c r="S51" s="4"/>
      <c r="T51" s="132"/>
      <c r="U51" s="132"/>
      <c r="V51" s="132"/>
      <c r="W51" s="132"/>
      <c r="X51" s="132"/>
      <c r="Y51" s="132"/>
      <c r="Z51" s="132"/>
    </row>
    <row r="52" spans="1:26">
      <c r="A52" s="132">
        <v>50</v>
      </c>
      <c r="B52" s="126">
        <f t="shared" si="0"/>
        <v>45738</v>
      </c>
      <c r="C52" s="127">
        <f>YEAR(MC_2[[#This Row],[Date]])+IF(MONTH(MC_2[[#This Row],[Date]])&gt;=4,1,0)</f>
        <v>2025</v>
      </c>
      <c r="D52" s="128">
        <f>YEAR(MC_2[[#This Row],[Date]])</f>
        <v>2025</v>
      </c>
      <c r="E52" s="125" t="s">
        <v>157</v>
      </c>
      <c r="F52" s="125" t="s">
        <v>157</v>
      </c>
      <c r="G52" s="129" t="str">
        <f>TEXT(MC_2[[#This Row],[Date]],"mmm-yy")</f>
        <v>Mar-25</v>
      </c>
      <c r="H52" s="129">
        <f>DAY(EOMONTH(MC_2[[#This Row],[Month Year]],0))</f>
        <v>31</v>
      </c>
      <c r="I52" s="132"/>
      <c r="J52" s="132"/>
      <c r="K52" s="132">
        <v>4524</v>
      </c>
      <c r="L52" s="132">
        <v>0</v>
      </c>
      <c r="M52" s="132">
        <v>0</v>
      </c>
      <c r="N52" s="132">
        <v>0</v>
      </c>
      <c r="O52" s="132"/>
      <c r="P52" s="132"/>
      <c r="Q52" s="132"/>
      <c r="R52" s="132"/>
      <c r="S52" s="4"/>
      <c r="T52" s="132"/>
      <c r="U52" s="132"/>
      <c r="V52" s="132"/>
      <c r="W52" s="132"/>
      <c r="X52" s="132"/>
      <c r="Y52" s="132"/>
      <c r="Z52" s="132"/>
    </row>
    <row r="53" spans="1:26">
      <c r="A53" s="132">
        <v>51</v>
      </c>
      <c r="B53" s="126">
        <f t="shared" si="0"/>
        <v>45739</v>
      </c>
      <c r="C53" s="127">
        <f>YEAR(MC_2[[#This Row],[Date]])+IF(MONTH(MC_2[[#This Row],[Date]])&gt;=4,1,0)</f>
        <v>2025</v>
      </c>
      <c r="D53" s="128">
        <f>YEAR(MC_2[[#This Row],[Date]])</f>
        <v>2025</v>
      </c>
      <c r="E53" s="125" t="s">
        <v>157</v>
      </c>
      <c r="F53" s="125" t="s">
        <v>157</v>
      </c>
      <c r="G53" s="129" t="str">
        <f>TEXT(MC_2[[#This Row],[Date]],"mmm-yy")</f>
        <v>Mar-25</v>
      </c>
      <c r="H53" s="129">
        <f>DAY(EOMONTH(MC_2[[#This Row],[Month Year]],0))</f>
        <v>31</v>
      </c>
      <c r="I53" s="132"/>
      <c r="J53" s="132"/>
      <c r="K53" s="132">
        <v>0</v>
      </c>
      <c r="L53" s="132">
        <v>0</v>
      </c>
      <c r="M53" s="132">
        <v>0</v>
      </c>
      <c r="N53" s="132">
        <v>3509</v>
      </c>
      <c r="O53" s="132"/>
      <c r="P53" s="132"/>
      <c r="Q53" s="132"/>
      <c r="R53" s="132"/>
      <c r="S53" s="4"/>
      <c r="T53" s="132"/>
      <c r="U53" s="132"/>
      <c r="V53" s="132"/>
      <c r="W53" s="132"/>
      <c r="X53" s="132"/>
      <c r="Y53" s="132"/>
      <c r="Z53" s="132"/>
    </row>
    <row r="54" spans="1:26">
      <c r="A54" s="132">
        <v>52</v>
      </c>
      <c r="B54" s="126">
        <f t="shared" si="0"/>
        <v>45740</v>
      </c>
      <c r="C54" s="127">
        <f>YEAR(MC_2[[#This Row],[Date]])+IF(MONTH(MC_2[[#This Row],[Date]])&gt;=4,1,0)</f>
        <v>2025</v>
      </c>
      <c r="D54" s="128">
        <f>YEAR(MC_2[[#This Row],[Date]])</f>
        <v>2025</v>
      </c>
      <c r="E54" s="125" t="s">
        <v>157</v>
      </c>
      <c r="F54" s="125" t="s">
        <v>157</v>
      </c>
      <c r="G54" s="129" t="str">
        <f>TEXT(MC_2[[#This Row],[Date]],"mmm-yy")</f>
        <v>Mar-25</v>
      </c>
      <c r="H54" s="129">
        <f>DAY(EOMONTH(MC_2[[#This Row],[Month Year]],0))</f>
        <v>31</v>
      </c>
      <c r="I54" s="132"/>
      <c r="J54" s="132"/>
      <c r="K54" s="132">
        <v>0</v>
      </c>
      <c r="L54" s="132">
        <v>2233</v>
      </c>
      <c r="M54" s="132">
        <v>1653</v>
      </c>
      <c r="N54" s="132">
        <v>2233</v>
      </c>
      <c r="O54" s="132"/>
      <c r="P54" s="132"/>
      <c r="Q54" s="132"/>
      <c r="R54" s="132"/>
      <c r="S54" s="4"/>
      <c r="T54" s="132"/>
      <c r="U54" s="132"/>
      <c r="V54" s="132"/>
      <c r="W54" s="132"/>
      <c r="X54" s="132"/>
      <c r="Y54" s="132"/>
      <c r="Z54" s="132"/>
    </row>
    <row r="55" spans="1:26">
      <c r="A55" s="132">
        <v>53</v>
      </c>
      <c r="B55" s="126">
        <f t="shared" si="0"/>
        <v>45741</v>
      </c>
      <c r="C55" s="127">
        <f>YEAR(MC_2[[#This Row],[Date]])+IF(MONTH(MC_2[[#This Row],[Date]])&gt;=4,1,0)</f>
        <v>2025</v>
      </c>
      <c r="D55" s="128">
        <f>YEAR(MC_2[[#This Row],[Date]])</f>
        <v>2025</v>
      </c>
      <c r="E55" s="125" t="s">
        <v>157</v>
      </c>
      <c r="F55" s="125" t="s">
        <v>157</v>
      </c>
      <c r="G55" s="129" t="str">
        <f>TEXT(MC_2[[#This Row],[Date]],"mmm-yy")</f>
        <v>Mar-25</v>
      </c>
      <c r="H55" s="129">
        <f>DAY(EOMONTH(MC_2[[#This Row],[Month Year]],0))</f>
        <v>31</v>
      </c>
      <c r="I55" s="132"/>
      <c r="J55" s="132"/>
      <c r="K55" s="132">
        <v>0</v>
      </c>
      <c r="L55" s="132">
        <v>3364</v>
      </c>
      <c r="M55" s="132">
        <v>0</v>
      </c>
      <c r="N55" s="132">
        <v>0</v>
      </c>
      <c r="O55" s="132"/>
      <c r="P55" s="132"/>
      <c r="Q55" s="132"/>
      <c r="R55" s="132"/>
      <c r="S55" s="4"/>
      <c r="T55" s="133"/>
      <c r="U55" s="132"/>
      <c r="V55" s="132"/>
      <c r="W55" s="133"/>
      <c r="X55" s="132"/>
      <c r="Y55" s="132"/>
      <c r="Z55" s="132"/>
    </row>
    <row r="56" spans="1:26">
      <c r="A56" s="132">
        <v>54</v>
      </c>
      <c r="B56" s="126">
        <f t="shared" si="0"/>
        <v>45742</v>
      </c>
      <c r="C56" s="127">
        <f>YEAR(MC_2[[#This Row],[Date]])+IF(MONTH(MC_2[[#This Row],[Date]])&gt;=4,1,0)</f>
        <v>2025</v>
      </c>
      <c r="D56" s="128">
        <f>YEAR(MC_2[[#This Row],[Date]])</f>
        <v>2025</v>
      </c>
      <c r="E56" s="125" t="s">
        <v>157</v>
      </c>
      <c r="F56" s="125" t="s">
        <v>157</v>
      </c>
      <c r="G56" s="129" t="str">
        <f>TEXT(MC_2[[#This Row],[Date]],"mmm-yy")</f>
        <v>Mar-25</v>
      </c>
      <c r="H56" s="129">
        <f>DAY(EOMONTH(MC_2[[#This Row],[Month Year]],0))</f>
        <v>31</v>
      </c>
      <c r="I56" s="132"/>
      <c r="J56" s="132"/>
      <c r="K56" s="132">
        <v>0</v>
      </c>
      <c r="L56" s="132">
        <v>3132</v>
      </c>
      <c r="M56" s="132">
        <v>0</v>
      </c>
      <c r="N56" s="132">
        <v>0</v>
      </c>
      <c r="O56" s="132"/>
      <c r="P56" s="132"/>
      <c r="Q56" s="132"/>
      <c r="R56" s="132"/>
      <c r="S56" s="4"/>
      <c r="T56" s="133"/>
      <c r="U56" s="132"/>
      <c r="V56" s="132"/>
      <c r="W56" s="133"/>
      <c r="X56" s="132"/>
      <c r="Y56" s="132"/>
      <c r="Z56" s="132"/>
    </row>
    <row r="57" spans="1:26">
      <c r="A57" s="132">
        <v>55</v>
      </c>
      <c r="B57" s="126">
        <f t="shared" si="0"/>
        <v>45743</v>
      </c>
      <c r="C57" s="127">
        <f>YEAR(MC_2[[#This Row],[Date]])+IF(MONTH(MC_2[[#This Row],[Date]])&gt;=4,1,0)</f>
        <v>2025</v>
      </c>
      <c r="D57" s="128">
        <f>YEAR(MC_2[[#This Row],[Date]])</f>
        <v>2025</v>
      </c>
      <c r="E57" s="125" t="s">
        <v>157</v>
      </c>
      <c r="F57" s="125" t="s">
        <v>157</v>
      </c>
      <c r="G57" s="129" t="str">
        <f>TEXT(MC_2[[#This Row],[Date]],"mmm-yy")</f>
        <v>Mar-25</v>
      </c>
      <c r="H57" s="129">
        <f>DAY(EOMONTH(MC_2[[#This Row],[Month Year]],0))</f>
        <v>31</v>
      </c>
      <c r="I57" s="132"/>
      <c r="J57" s="132"/>
      <c r="K57" s="132">
        <v>0</v>
      </c>
      <c r="L57" s="132">
        <v>1218</v>
      </c>
      <c r="M57" s="132">
        <v>1218</v>
      </c>
      <c r="N57" s="132">
        <v>0</v>
      </c>
      <c r="O57" s="132"/>
      <c r="P57" s="132"/>
      <c r="Q57" s="132"/>
      <c r="R57" s="132"/>
      <c r="S57" s="4"/>
      <c r="T57" s="133"/>
      <c r="U57" s="132"/>
      <c r="V57" s="132"/>
      <c r="W57" s="133"/>
      <c r="X57" s="132"/>
      <c r="Y57" s="132"/>
      <c r="Z57" s="132"/>
    </row>
    <row r="58" spans="1:26">
      <c r="A58" s="132">
        <v>56</v>
      </c>
      <c r="B58" s="126">
        <f t="shared" si="0"/>
        <v>45744</v>
      </c>
      <c r="C58" s="127">
        <f>YEAR(MC_2[[#This Row],[Date]])+IF(MONTH(MC_2[[#This Row],[Date]])&gt;=4,1,0)</f>
        <v>2025</v>
      </c>
      <c r="D58" s="128">
        <f>YEAR(MC_2[[#This Row],[Date]])</f>
        <v>2025</v>
      </c>
      <c r="E58" s="125" t="s">
        <v>157</v>
      </c>
      <c r="F58" s="125" t="s">
        <v>157</v>
      </c>
      <c r="G58" s="129" t="str">
        <f>TEXT(MC_2[[#This Row],[Date]],"mmm-yy")</f>
        <v>Mar-25</v>
      </c>
      <c r="H58" s="129">
        <f>DAY(EOMONTH(MC_2[[#This Row],[Month Year]],0))</f>
        <v>31</v>
      </c>
      <c r="I58" s="132"/>
      <c r="J58" s="132"/>
      <c r="K58" s="132">
        <v>2088</v>
      </c>
      <c r="L58" s="132">
        <v>0</v>
      </c>
      <c r="M58" s="132">
        <v>696</v>
      </c>
      <c r="N58" s="132">
        <v>1450</v>
      </c>
      <c r="O58" s="132"/>
      <c r="P58" s="132"/>
      <c r="Q58" s="132"/>
      <c r="R58" s="132"/>
      <c r="S58" s="4"/>
      <c r="T58" s="133"/>
      <c r="U58" s="132"/>
      <c r="V58" s="132"/>
      <c r="W58" s="133"/>
      <c r="X58" s="132"/>
      <c r="Y58" s="132"/>
      <c r="Z58" s="132"/>
    </row>
    <row r="59" spans="1:26">
      <c r="A59" s="132">
        <v>57</v>
      </c>
      <c r="B59" s="126">
        <f t="shared" si="0"/>
        <v>45745</v>
      </c>
      <c r="C59" s="127">
        <f>YEAR(MC_2[[#This Row],[Date]])+IF(MONTH(MC_2[[#This Row],[Date]])&gt;=4,1,0)</f>
        <v>2025</v>
      </c>
      <c r="D59" s="128">
        <f>YEAR(MC_2[[#This Row],[Date]])</f>
        <v>2025</v>
      </c>
      <c r="E59" s="125" t="s">
        <v>157</v>
      </c>
      <c r="F59" s="125" t="s">
        <v>157</v>
      </c>
      <c r="G59" s="129" t="str">
        <f>TEXT(MC_2[[#This Row],[Date]],"mmm-yy")</f>
        <v>Mar-25</v>
      </c>
      <c r="H59" s="129">
        <f>DAY(EOMONTH(MC_2[[#This Row],[Month Year]],0))</f>
        <v>31</v>
      </c>
      <c r="I59" s="132"/>
      <c r="J59" s="132"/>
      <c r="K59" s="132">
        <v>754</v>
      </c>
      <c r="L59" s="132">
        <v>0</v>
      </c>
      <c r="M59" s="132">
        <v>0</v>
      </c>
      <c r="N59" s="132">
        <v>0</v>
      </c>
      <c r="O59" s="132"/>
      <c r="P59" s="132"/>
      <c r="Q59" s="132"/>
      <c r="R59" s="132"/>
      <c r="S59" s="4"/>
      <c r="T59" s="133"/>
      <c r="U59" s="132"/>
      <c r="V59" s="132"/>
      <c r="W59" s="133"/>
      <c r="X59" s="132"/>
      <c r="Y59" s="132"/>
      <c r="Z59" s="132"/>
    </row>
    <row r="60" spans="1:26">
      <c r="A60" s="132">
        <v>58</v>
      </c>
      <c r="B60" s="126">
        <f t="shared" si="0"/>
        <v>45746</v>
      </c>
      <c r="C60" s="127">
        <f>YEAR(MC_2[[#This Row],[Date]])+IF(MONTH(MC_2[[#This Row],[Date]])&gt;=4,1,0)</f>
        <v>2025</v>
      </c>
      <c r="D60" s="128">
        <f>YEAR(MC_2[[#This Row],[Date]])</f>
        <v>2025</v>
      </c>
      <c r="E60" s="125" t="s">
        <v>157</v>
      </c>
      <c r="F60" s="125" t="s">
        <v>157</v>
      </c>
      <c r="G60" s="129" t="str">
        <f>TEXT(MC_2[[#This Row],[Date]],"mmm-yy")</f>
        <v>Mar-25</v>
      </c>
      <c r="H60" s="129">
        <f>DAY(EOMONTH(MC_2[[#This Row],[Month Year]],0))</f>
        <v>31</v>
      </c>
      <c r="I60" s="132"/>
      <c r="J60" s="132"/>
      <c r="K60" s="132">
        <v>1566</v>
      </c>
      <c r="L60" s="132">
        <v>0</v>
      </c>
      <c r="M60" s="132">
        <v>0</v>
      </c>
      <c r="N60" s="132">
        <v>2726</v>
      </c>
      <c r="O60" s="132"/>
      <c r="P60" s="132"/>
      <c r="Q60" s="132"/>
      <c r="R60" s="132"/>
      <c r="S60" s="4"/>
      <c r="T60" s="133"/>
      <c r="U60" s="132"/>
      <c r="V60" s="132"/>
      <c r="W60" s="133"/>
      <c r="X60" s="132"/>
      <c r="Y60" s="132"/>
      <c r="Z60" s="132"/>
    </row>
    <row r="61" spans="1:26">
      <c r="A61" s="132">
        <v>59</v>
      </c>
      <c r="B61" s="126">
        <f t="shared" si="0"/>
        <v>45747</v>
      </c>
      <c r="C61" s="127">
        <f>YEAR(MC_2[[#This Row],[Date]])+IF(MONTH(MC_2[[#This Row],[Date]])&gt;=4,1,0)</f>
        <v>2025</v>
      </c>
      <c r="D61" s="128">
        <f>YEAR(MC_2[[#This Row],[Date]])</f>
        <v>2025</v>
      </c>
      <c r="E61" s="125" t="s">
        <v>157</v>
      </c>
      <c r="F61" s="125" t="s">
        <v>157</v>
      </c>
      <c r="G61" s="129" t="str">
        <f>TEXT(MC_2[[#This Row],[Date]],"mmm-yy")</f>
        <v>Mar-25</v>
      </c>
      <c r="H61" s="129">
        <f>DAY(EOMONTH(MC_2[[#This Row],[Month Year]],0))</f>
        <v>31</v>
      </c>
      <c r="I61" s="132"/>
      <c r="J61" s="132"/>
      <c r="K61" s="132">
        <v>1566</v>
      </c>
      <c r="L61" s="132">
        <v>0</v>
      </c>
      <c r="M61" s="132">
        <v>0</v>
      </c>
      <c r="N61" s="132">
        <v>4031</v>
      </c>
      <c r="O61" s="132"/>
      <c r="P61" s="132"/>
      <c r="Q61" s="132"/>
      <c r="R61" s="132"/>
      <c r="S61" s="4"/>
      <c r="T61" s="133"/>
      <c r="U61" s="132"/>
      <c r="V61" s="132"/>
      <c r="W61" s="133"/>
      <c r="X61" s="132"/>
      <c r="Y61" s="132"/>
      <c r="Z61" s="132"/>
    </row>
    <row r="62" spans="1:26">
      <c r="A62" s="132">
        <v>60</v>
      </c>
      <c r="B62" s="126">
        <f t="shared" si="0"/>
        <v>45748</v>
      </c>
      <c r="C62" s="127">
        <f>YEAR(MC_2[[#This Row],[Date]])+IF(MONTH(MC_2[[#This Row],[Date]])&gt;=4,1,0)</f>
        <v>2026</v>
      </c>
      <c r="D62" s="128">
        <f>YEAR(MC_2[[#This Row],[Date]])</f>
        <v>2025</v>
      </c>
      <c r="E62" s="125" t="s">
        <v>157</v>
      </c>
      <c r="F62" s="125" t="s">
        <v>157</v>
      </c>
      <c r="G62" s="129" t="str">
        <f>TEXT(MC_2[[#This Row],[Date]],"mmm-yy")</f>
        <v>Apr-25</v>
      </c>
      <c r="H62" s="129">
        <f>DAY(EOMONTH(MC_2[[#This Row],[Month Year]],0))</f>
        <v>30</v>
      </c>
      <c r="I62" s="132"/>
      <c r="J62" s="132"/>
      <c r="K62" s="132">
        <v>0</v>
      </c>
      <c r="L62" s="132">
        <v>0</v>
      </c>
      <c r="M62" s="132">
        <v>0</v>
      </c>
      <c r="N62" s="132">
        <v>3567</v>
      </c>
      <c r="O62" s="132"/>
      <c r="P62" s="132"/>
      <c r="Q62" s="132"/>
      <c r="R62" s="132"/>
      <c r="S62" s="4"/>
      <c r="T62" s="133"/>
      <c r="U62" s="132"/>
      <c r="V62" s="132"/>
      <c r="W62" s="133"/>
      <c r="X62" s="132"/>
      <c r="Y62" s="132"/>
      <c r="Z62" s="132"/>
    </row>
    <row r="63" spans="1:26">
      <c r="A63" s="132">
        <v>61</v>
      </c>
      <c r="B63" s="126">
        <f t="shared" si="0"/>
        <v>45749</v>
      </c>
      <c r="C63" s="127">
        <f>YEAR(MC_2[[#This Row],[Date]])+IF(MONTH(MC_2[[#This Row],[Date]])&gt;=4,1,0)</f>
        <v>2026</v>
      </c>
      <c r="D63" s="128">
        <f>YEAR(MC_2[[#This Row],[Date]])</f>
        <v>2025</v>
      </c>
      <c r="E63" s="125" t="s">
        <v>157</v>
      </c>
      <c r="F63" s="125" t="s">
        <v>157</v>
      </c>
      <c r="G63" s="129" t="str">
        <f>TEXT(MC_2[[#This Row],[Date]],"mmm-yy")</f>
        <v>Apr-25</v>
      </c>
      <c r="H63" s="129">
        <f>DAY(EOMONTH(MC_2[[#This Row],[Month Year]],0))</f>
        <v>30</v>
      </c>
      <c r="I63" s="132"/>
      <c r="J63" s="132"/>
      <c r="K63" s="132">
        <v>0</v>
      </c>
      <c r="L63" s="132">
        <v>0</v>
      </c>
      <c r="M63" s="132">
        <v>0</v>
      </c>
      <c r="N63" s="132">
        <v>4321</v>
      </c>
      <c r="O63" s="132"/>
      <c r="P63" s="132"/>
      <c r="Q63" s="132"/>
      <c r="R63" s="132"/>
      <c r="S63" s="4"/>
      <c r="T63" s="132"/>
      <c r="U63" s="132"/>
      <c r="V63" s="132"/>
      <c r="W63" s="132"/>
      <c r="X63" s="132"/>
      <c r="Y63" s="132"/>
      <c r="Z63" s="132"/>
    </row>
    <row r="64" spans="1:26">
      <c r="A64" s="132">
        <v>62</v>
      </c>
      <c r="B64" s="126">
        <f t="shared" si="0"/>
        <v>45750</v>
      </c>
      <c r="C64" s="127">
        <f>YEAR(MC_2[[#This Row],[Date]])+IF(MONTH(MC_2[[#This Row],[Date]])&gt;=4,1,0)</f>
        <v>2026</v>
      </c>
      <c r="D64" s="128">
        <f>YEAR(MC_2[[#This Row],[Date]])</f>
        <v>2025</v>
      </c>
      <c r="E64" s="125" t="s">
        <v>157</v>
      </c>
      <c r="F64" s="125" t="s">
        <v>157</v>
      </c>
      <c r="G64" s="129" t="str">
        <f>TEXT(MC_2[[#This Row],[Date]],"mmm-yy")</f>
        <v>Apr-25</v>
      </c>
      <c r="H64" s="129">
        <f>DAY(EOMONTH(MC_2[[#This Row],[Month Year]],0))</f>
        <v>30</v>
      </c>
      <c r="I64" s="132"/>
      <c r="J64" s="132"/>
      <c r="K64" s="132">
        <v>5829</v>
      </c>
      <c r="L64" s="132">
        <v>0</v>
      </c>
      <c r="M64" s="132">
        <v>0</v>
      </c>
      <c r="N64" s="132">
        <v>0</v>
      </c>
      <c r="O64" s="132"/>
      <c r="P64" s="132"/>
      <c r="Q64" s="132"/>
      <c r="R64" s="132"/>
      <c r="S64" s="4"/>
      <c r="T64" s="133"/>
      <c r="U64" s="132"/>
      <c r="V64" s="132"/>
      <c r="W64" s="133"/>
      <c r="X64" s="132"/>
      <c r="Y64" s="132"/>
      <c r="Z64" s="132"/>
    </row>
    <row r="65" spans="1:26">
      <c r="A65" s="132">
        <v>63</v>
      </c>
      <c r="B65" s="126">
        <f t="shared" si="0"/>
        <v>45751</v>
      </c>
      <c r="C65" s="127">
        <f>YEAR(MC_2[[#This Row],[Date]])+IF(MONTH(MC_2[[#This Row],[Date]])&gt;=4,1,0)</f>
        <v>2026</v>
      </c>
      <c r="D65" s="128">
        <f>YEAR(MC_2[[#This Row],[Date]])</f>
        <v>2025</v>
      </c>
      <c r="E65" s="125" t="s">
        <v>157</v>
      </c>
      <c r="F65" s="125" t="s">
        <v>157</v>
      </c>
      <c r="G65" s="129" t="str">
        <f>TEXT(MC_2[[#This Row],[Date]],"mmm-yy")</f>
        <v>Apr-25</v>
      </c>
      <c r="H65" s="129">
        <f>DAY(EOMONTH(MC_2[[#This Row],[Month Year]],0))</f>
        <v>30</v>
      </c>
      <c r="I65" s="132"/>
      <c r="J65" s="132"/>
      <c r="K65" s="132">
        <v>4234</v>
      </c>
      <c r="L65" s="132">
        <v>1276</v>
      </c>
      <c r="M65" s="132">
        <v>0</v>
      </c>
      <c r="N65" s="132">
        <v>0</v>
      </c>
      <c r="O65" s="132"/>
      <c r="P65" s="132"/>
      <c r="Q65" s="132"/>
      <c r="R65" s="132"/>
      <c r="S65" s="4"/>
      <c r="T65" s="133"/>
      <c r="U65" s="132"/>
      <c r="V65" s="132"/>
      <c r="W65" s="133"/>
      <c r="X65" s="132"/>
      <c r="Y65" s="132"/>
      <c r="Z65" s="132"/>
    </row>
    <row r="66" spans="1:26">
      <c r="A66" s="132">
        <v>64</v>
      </c>
      <c r="B66" s="126">
        <f t="shared" si="0"/>
        <v>45752</v>
      </c>
      <c r="C66" s="127">
        <f>YEAR(MC_2[[#This Row],[Date]])+IF(MONTH(MC_2[[#This Row],[Date]])&gt;=4,1,0)</f>
        <v>2026</v>
      </c>
      <c r="D66" s="128">
        <f>YEAR(MC_2[[#This Row],[Date]])</f>
        <v>2025</v>
      </c>
      <c r="E66" s="125" t="s">
        <v>157</v>
      </c>
      <c r="F66" s="125" t="s">
        <v>157</v>
      </c>
      <c r="G66" s="129" t="str">
        <f>TEXT(MC_2[[#This Row],[Date]],"mmm-yy")</f>
        <v>Apr-25</v>
      </c>
      <c r="H66" s="129">
        <f>DAY(EOMONTH(MC_2[[#This Row],[Month Year]],0))</f>
        <v>30</v>
      </c>
      <c r="I66" s="132"/>
      <c r="J66" s="132"/>
      <c r="K66" s="132">
        <v>0</v>
      </c>
      <c r="L66" s="132">
        <v>0</v>
      </c>
      <c r="M66" s="132">
        <v>3509</v>
      </c>
      <c r="N66" s="132">
        <v>0</v>
      </c>
      <c r="O66" s="132"/>
      <c r="P66" s="132"/>
      <c r="Q66" s="132"/>
      <c r="R66" s="132"/>
      <c r="S66" s="4"/>
      <c r="T66" s="133"/>
      <c r="U66" s="132"/>
      <c r="V66" s="132"/>
      <c r="W66" s="133"/>
      <c r="X66" s="132"/>
      <c r="Y66" s="132"/>
      <c r="Z66" s="132"/>
    </row>
    <row r="67" spans="1:26">
      <c r="A67" s="132">
        <v>65</v>
      </c>
      <c r="B67" s="126">
        <f t="shared" si="0"/>
        <v>45753</v>
      </c>
      <c r="C67" s="127">
        <f>YEAR(MC_2[[#This Row],[Date]])+IF(MONTH(MC_2[[#This Row],[Date]])&gt;=4,1,0)</f>
        <v>2026</v>
      </c>
      <c r="D67" s="128">
        <f>YEAR(MC_2[[#This Row],[Date]])</f>
        <v>2025</v>
      </c>
      <c r="E67" s="125" t="s">
        <v>157</v>
      </c>
      <c r="F67" s="125" t="s">
        <v>157</v>
      </c>
      <c r="G67" s="129" t="str">
        <f>TEXT(MC_2[[#This Row],[Date]],"mmm-yy")</f>
        <v>Apr-25</v>
      </c>
      <c r="H67" s="129">
        <f>DAY(EOMONTH(MC_2[[#This Row],[Month Year]],0))</f>
        <v>30</v>
      </c>
      <c r="I67" s="132"/>
      <c r="J67" s="132"/>
      <c r="K67" s="132">
        <v>0</v>
      </c>
      <c r="L67" s="132">
        <v>3219</v>
      </c>
      <c r="M67" s="132">
        <v>0</v>
      </c>
      <c r="N67" s="132">
        <v>0</v>
      </c>
      <c r="O67" s="132"/>
      <c r="P67" s="132"/>
      <c r="Q67" s="132"/>
      <c r="R67" s="132"/>
      <c r="S67" s="4"/>
      <c r="T67" s="133"/>
      <c r="U67" s="132"/>
      <c r="V67" s="132"/>
      <c r="W67" s="133"/>
      <c r="X67" s="132"/>
      <c r="Y67" s="132"/>
      <c r="Z67" s="132"/>
    </row>
    <row r="68" spans="1:26">
      <c r="A68" s="132">
        <v>66</v>
      </c>
      <c r="B68" s="126">
        <f t="shared" si="0"/>
        <v>45754</v>
      </c>
      <c r="C68" s="127">
        <f>YEAR(MC_2[[#This Row],[Date]])+IF(MONTH(MC_2[[#This Row],[Date]])&gt;=4,1,0)</f>
        <v>2026</v>
      </c>
      <c r="D68" s="128">
        <f>YEAR(MC_2[[#This Row],[Date]])</f>
        <v>2025</v>
      </c>
      <c r="E68" s="125" t="s">
        <v>157</v>
      </c>
      <c r="F68" s="125" t="s">
        <v>157</v>
      </c>
      <c r="G68" s="129" t="str">
        <f>TEXT(MC_2[[#This Row],[Date]],"mmm-yy")</f>
        <v>Apr-25</v>
      </c>
      <c r="H68" s="129">
        <f>DAY(EOMONTH(MC_2[[#This Row],[Month Year]],0))</f>
        <v>30</v>
      </c>
      <c r="I68" s="132"/>
      <c r="J68" s="132"/>
      <c r="K68" s="132">
        <v>0</v>
      </c>
      <c r="L68" s="132">
        <v>2697</v>
      </c>
      <c r="M68" s="132">
        <v>0</v>
      </c>
      <c r="N68" s="132">
        <v>0</v>
      </c>
      <c r="O68" s="132"/>
      <c r="P68" s="132"/>
      <c r="Q68" s="132"/>
      <c r="R68" s="132"/>
      <c r="S68" s="4">
        <f>SUM( MC_2[[#This Row],[ICR1]:[ICR5]])</f>
        <v>2697</v>
      </c>
      <c r="T68" s="133">
        <v>0.35416666666666669</v>
      </c>
      <c r="U68" s="133">
        <v>0.41666666666666669</v>
      </c>
      <c r="V68" s="133">
        <v>0.66666666666666663</v>
      </c>
      <c r="W68" s="133">
        <v>0.77083333333333337</v>
      </c>
      <c r="X68" s="132"/>
      <c r="Y68" s="132"/>
      <c r="Z68" s="132"/>
    </row>
    <row r="69" spans="1:26">
      <c r="A69" s="132">
        <v>67</v>
      </c>
      <c r="B69" s="126">
        <f t="shared" ref="B69:B132" si="1">B68+1</f>
        <v>45755</v>
      </c>
      <c r="C69" s="127">
        <f>YEAR(MC_2[[#This Row],[Date]])+IF(MONTH(MC_2[[#This Row],[Date]])&gt;=4,1,0)</f>
        <v>2026</v>
      </c>
      <c r="D69" s="128">
        <f>YEAR(MC_2[[#This Row],[Date]])</f>
        <v>2025</v>
      </c>
      <c r="E69" s="125" t="s">
        <v>157</v>
      </c>
      <c r="F69" s="125" t="s">
        <v>157</v>
      </c>
      <c r="G69" s="129" t="str">
        <f>TEXT(MC_2[[#This Row],[Date]],"mmm-yy")</f>
        <v>Apr-25</v>
      </c>
      <c r="H69" s="129">
        <f>DAY(EOMONTH(MC_2[[#This Row],[Month Year]],0))</f>
        <v>30</v>
      </c>
      <c r="I69" s="132"/>
      <c r="J69" s="132"/>
      <c r="K69" s="132">
        <v>1450</v>
      </c>
      <c r="L69" s="132">
        <v>1943</v>
      </c>
      <c r="M69" s="132">
        <v>0</v>
      </c>
      <c r="N69" s="132">
        <v>0</v>
      </c>
      <c r="O69" s="132"/>
      <c r="P69" s="132"/>
      <c r="Q69" s="132"/>
      <c r="R69" s="132"/>
      <c r="S69" s="4">
        <f>SUM(MC_2[[#This Row],[ICR1]:[ICR5]])</f>
        <v>3393</v>
      </c>
      <c r="T69" s="133">
        <v>0.28125</v>
      </c>
      <c r="U69" s="133">
        <v>0.40625</v>
      </c>
      <c r="V69" s="133">
        <v>0.6875</v>
      </c>
      <c r="W69" s="133">
        <v>0.79166666666666663</v>
      </c>
      <c r="X69" s="132"/>
      <c r="Y69" s="132"/>
      <c r="Z69" s="132"/>
    </row>
    <row r="70" spans="1:26">
      <c r="A70" s="132">
        <v>68</v>
      </c>
      <c r="B70" s="126">
        <f t="shared" si="1"/>
        <v>45756</v>
      </c>
      <c r="C70" s="127">
        <f>YEAR(MC_2[[#This Row],[Date]])+IF(MONTH(MC_2[[#This Row],[Date]])&gt;=4,1,0)</f>
        <v>2026</v>
      </c>
      <c r="D70" s="128">
        <f>YEAR(MC_2[[#This Row],[Date]])</f>
        <v>2025</v>
      </c>
      <c r="E70" s="125" t="s">
        <v>157</v>
      </c>
      <c r="F70" s="125" t="s">
        <v>157</v>
      </c>
      <c r="G70" s="129" t="str">
        <f>TEXT(MC_2[[#This Row],[Date]],"mmm-yy")</f>
        <v>Apr-25</v>
      </c>
      <c r="H70" s="129">
        <f>DAY(EOMONTH(MC_2[[#This Row],[Month Year]],0))</f>
        <v>30</v>
      </c>
      <c r="I70" s="132"/>
      <c r="J70" s="132"/>
      <c r="K70" s="132">
        <v>4756</v>
      </c>
      <c r="L70" s="132">
        <v>0</v>
      </c>
      <c r="M70" s="132">
        <v>0</v>
      </c>
      <c r="N70" s="132">
        <v>0</v>
      </c>
      <c r="O70" s="132"/>
      <c r="P70" s="132"/>
      <c r="Q70" s="132"/>
      <c r="R70" s="132"/>
      <c r="S70" s="4">
        <f>SUM(MC_2[[#This Row],[ICR1]:[ICR5]])</f>
        <v>4756</v>
      </c>
      <c r="T70" s="133">
        <v>0.23958333333333334</v>
      </c>
      <c r="U70" s="133">
        <v>0.39583333333333331</v>
      </c>
      <c r="V70" s="133">
        <v>0.64583333333333337</v>
      </c>
      <c r="W70" s="133">
        <v>0.77083333333333337</v>
      </c>
      <c r="X70" s="132"/>
      <c r="Y70" s="132"/>
      <c r="Z70" s="132"/>
    </row>
    <row r="71" spans="1:26">
      <c r="A71" s="132">
        <v>69</v>
      </c>
      <c r="B71" s="126">
        <f t="shared" si="1"/>
        <v>45757</v>
      </c>
      <c r="C71" s="127">
        <f>YEAR(MC_2[[#This Row],[Date]])+IF(MONTH(MC_2[[#This Row],[Date]])&gt;=4,1,0)</f>
        <v>2026</v>
      </c>
      <c r="D71" s="128">
        <f>YEAR(MC_2[[#This Row],[Date]])</f>
        <v>2025</v>
      </c>
      <c r="E71" s="125" t="s">
        <v>157</v>
      </c>
      <c r="F71" s="125" t="s">
        <v>157</v>
      </c>
      <c r="G71" s="129" t="str">
        <f>TEXT(MC_2[[#This Row],[Date]],"mmm-yy")</f>
        <v>Apr-25</v>
      </c>
      <c r="H71" s="129">
        <f>DAY(EOMONTH(MC_2[[#This Row],[Month Year]],0))</f>
        <v>30</v>
      </c>
      <c r="I71" s="132"/>
      <c r="J71" s="132"/>
      <c r="K71" s="132">
        <v>2320</v>
      </c>
      <c r="L71" s="132">
        <v>0</v>
      </c>
      <c r="M71" s="132">
        <v>0</v>
      </c>
      <c r="N71" s="132">
        <v>0</v>
      </c>
      <c r="O71" s="132"/>
      <c r="P71" s="132"/>
      <c r="Q71" s="132"/>
      <c r="R71" s="132"/>
      <c r="S71" s="4">
        <f>SUM(MC_2[[#This Row],[ICR1]:[ICR5]])</f>
        <v>2320</v>
      </c>
      <c r="T71" s="133">
        <v>0.28125</v>
      </c>
      <c r="U71" s="133">
        <v>0.40625</v>
      </c>
      <c r="V71" s="133">
        <v>0.69791666666666663</v>
      </c>
      <c r="W71" s="133">
        <v>0.79166666666666663</v>
      </c>
      <c r="X71" s="132"/>
      <c r="Y71" s="132"/>
      <c r="Z71" s="132"/>
    </row>
    <row r="72" spans="1:26">
      <c r="A72" s="132">
        <v>70</v>
      </c>
      <c r="B72" s="126">
        <f t="shared" si="1"/>
        <v>45758</v>
      </c>
      <c r="C72" s="127">
        <f>YEAR(MC_2[[#This Row],[Date]])+IF(MONTH(MC_2[[#This Row],[Date]])&gt;=4,1,0)</f>
        <v>2026</v>
      </c>
      <c r="D72" s="128">
        <f>YEAR(MC_2[[#This Row],[Date]])</f>
        <v>2025</v>
      </c>
      <c r="E72" s="125" t="s">
        <v>157</v>
      </c>
      <c r="F72" s="125" t="s">
        <v>157</v>
      </c>
      <c r="G72" s="129" t="str">
        <f>TEXT(MC_2[[#This Row],[Date]],"mmm-yy")</f>
        <v>Apr-25</v>
      </c>
      <c r="H72" s="129">
        <f>DAY(EOMONTH(MC_2[[#This Row],[Month Year]],0))</f>
        <v>30</v>
      </c>
      <c r="I72" s="132"/>
      <c r="J72" s="132"/>
      <c r="K72" s="132">
        <v>1972</v>
      </c>
      <c r="L72" s="132">
        <v>0</v>
      </c>
      <c r="M72" s="132">
        <v>0</v>
      </c>
      <c r="N72" s="132">
        <v>1160</v>
      </c>
      <c r="O72" s="132"/>
      <c r="P72" s="132"/>
      <c r="Q72" s="132"/>
      <c r="R72" s="132"/>
      <c r="S72" s="4">
        <f>SUM(MC_2[[#This Row],[ICR1]:[ICR5]])</f>
        <v>3132</v>
      </c>
      <c r="T72" s="133">
        <v>0.22916666666666666</v>
      </c>
      <c r="U72" s="133">
        <v>0.39583333333333331</v>
      </c>
      <c r="V72" s="133">
        <v>0.60416666666666663</v>
      </c>
      <c r="W72" s="133">
        <v>0.6875</v>
      </c>
      <c r="X72" s="132"/>
      <c r="Y72" s="132"/>
      <c r="Z72" s="132"/>
    </row>
    <row r="73" spans="1:26">
      <c r="A73" s="132">
        <v>71</v>
      </c>
      <c r="B73" s="126">
        <f t="shared" si="1"/>
        <v>45759</v>
      </c>
      <c r="C73" s="127">
        <f>YEAR(MC_2[[#This Row],[Date]])+IF(MONTH(MC_2[[#This Row],[Date]])&gt;=4,1,0)</f>
        <v>2026</v>
      </c>
      <c r="D73" s="128">
        <f>YEAR(MC_2[[#This Row],[Date]])</f>
        <v>2025</v>
      </c>
      <c r="E73" s="125" t="s">
        <v>157</v>
      </c>
      <c r="F73" s="125" t="s">
        <v>157</v>
      </c>
      <c r="G73" s="129" t="str">
        <f>TEXT(MC_2[[#This Row],[Date]],"mmm-yy")</f>
        <v>Apr-25</v>
      </c>
      <c r="H73" s="129">
        <f>DAY(EOMONTH(MC_2[[#This Row],[Month Year]],0))</f>
        <v>30</v>
      </c>
      <c r="I73" s="132"/>
      <c r="J73" s="132"/>
      <c r="K73" s="132">
        <v>0</v>
      </c>
      <c r="L73" s="132">
        <v>0</v>
      </c>
      <c r="M73" s="132">
        <v>0</v>
      </c>
      <c r="N73" s="132">
        <v>1392</v>
      </c>
      <c r="O73" s="132"/>
      <c r="P73" s="132"/>
      <c r="Q73" s="132"/>
      <c r="R73" s="132"/>
      <c r="S73" s="4">
        <f>SUM(MC_2[[#This Row],[ICR1]:[ICR5]])</f>
        <v>1392</v>
      </c>
      <c r="T73" s="133">
        <v>0.23958333333333334</v>
      </c>
      <c r="U73" s="133">
        <v>0.39583333333333331</v>
      </c>
      <c r="V73" s="133">
        <v>0.64583333333333337</v>
      </c>
      <c r="W73" s="133">
        <v>0.77083333333333337</v>
      </c>
      <c r="X73" s="132"/>
      <c r="Y73" s="132"/>
      <c r="Z73" s="132"/>
    </row>
    <row r="74" spans="1:26">
      <c r="A74" s="132">
        <v>72</v>
      </c>
      <c r="B74" s="126">
        <f t="shared" si="1"/>
        <v>45760</v>
      </c>
      <c r="C74" s="127">
        <f>YEAR(MC_2[[#This Row],[Date]])+IF(MONTH(MC_2[[#This Row],[Date]])&gt;=4,1,0)</f>
        <v>2026</v>
      </c>
      <c r="D74" s="128">
        <f>YEAR(MC_2[[#This Row],[Date]])</f>
        <v>2025</v>
      </c>
      <c r="E74" s="125" t="s">
        <v>157</v>
      </c>
      <c r="F74" s="125" t="s">
        <v>157</v>
      </c>
      <c r="G74" s="129" t="str">
        <f>TEXT(MC_2[[#This Row],[Date]],"mmm-yy")</f>
        <v>Apr-25</v>
      </c>
      <c r="H74" s="129">
        <f>DAY(EOMONTH(MC_2[[#This Row],[Month Year]],0))</f>
        <v>30</v>
      </c>
      <c r="I74" s="132"/>
      <c r="J74" s="132"/>
      <c r="K74" s="132">
        <v>0</v>
      </c>
      <c r="L74" s="132">
        <v>0</v>
      </c>
      <c r="M74" s="132">
        <v>0</v>
      </c>
      <c r="N74" s="132">
        <v>2030</v>
      </c>
      <c r="O74" s="132"/>
      <c r="P74" s="132"/>
      <c r="Q74" s="132"/>
      <c r="R74" s="132"/>
      <c r="S74" s="4">
        <f>SUM(MC_2[[#This Row],[ICR1]:[ICR5]])</f>
        <v>2030</v>
      </c>
      <c r="T74" s="133">
        <v>0.22916666666666666</v>
      </c>
      <c r="U74" s="133">
        <v>0.39583333333333331</v>
      </c>
      <c r="V74" s="133">
        <v>0.60416666666666663</v>
      </c>
      <c r="W74" s="133">
        <v>0.6875</v>
      </c>
      <c r="X74" s="132"/>
      <c r="Y74" s="132"/>
      <c r="Z74" s="132"/>
    </row>
    <row r="75" spans="1:26">
      <c r="A75" s="132">
        <v>73</v>
      </c>
      <c r="B75" s="126">
        <f t="shared" si="1"/>
        <v>45761</v>
      </c>
      <c r="C75" s="127">
        <f>YEAR(MC_2[[#This Row],[Date]])+IF(MONTH(MC_2[[#This Row],[Date]])&gt;=4,1,0)</f>
        <v>2026</v>
      </c>
      <c r="D75" s="128">
        <f>YEAR(MC_2[[#This Row],[Date]])</f>
        <v>2025</v>
      </c>
      <c r="E75" s="125" t="s">
        <v>157</v>
      </c>
      <c r="F75" s="125" t="s">
        <v>157</v>
      </c>
      <c r="G75" s="129" t="str">
        <f>TEXT(MC_2[[#This Row],[Date]],"mmm-yy")</f>
        <v>Apr-25</v>
      </c>
      <c r="H75" s="129">
        <f>DAY(EOMONTH(MC_2[[#This Row],[Month Year]],0))</f>
        <v>30</v>
      </c>
      <c r="I75" s="132"/>
      <c r="J75" s="132"/>
      <c r="K75" s="132">
        <v>0</v>
      </c>
      <c r="L75" s="132">
        <v>0</v>
      </c>
      <c r="M75" s="132">
        <v>0</v>
      </c>
      <c r="N75" s="132">
        <v>3045</v>
      </c>
      <c r="O75" s="132"/>
      <c r="P75" s="132"/>
      <c r="Q75" s="132"/>
      <c r="R75" s="132"/>
      <c r="S75" s="4">
        <f>SUM(MC_2[[#This Row],[ICR1]:[ICR5]])</f>
        <v>3045</v>
      </c>
      <c r="T75" s="133">
        <v>0.21875</v>
      </c>
      <c r="U75" s="133">
        <v>0.39583333333333331</v>
      </c>
      <c r="V75" s="133">
        <v>0.625</v>
      </c>
      <c r="W75" s="133">
        <v>0.6875</v>
      </c>
      <c r="X75" s="132"/>
      <c r="Y75" s="132"/>
      <c r="Z75" s="132"/>
    </row>
    <row r="76" spans="1:26">
      <c r="A76" s="132">
        <v>74</v>
      </c>
      <c r="B76" s="126">
        <f t="shared" si="1"/>
        <v>45762</v>
      </c>
      <c r="C76" s="127">
        <f>YEAR(MC_2[[#This Row],[Date]])+IF(MONTH(MC_2[[#This Row],[Date]])&gt;=4,1,0)</f>
        <v>2026</v>
      </c>
      <c r="D76" s="128">
        <f>YEAR(MC_2[[#This Row],[Date]])</f>
        <v>2025</v>
      </c>
      <c r="E76" s="125" t="s">
        <v>157</v>
      </c>
      <c r="F76" s="125" t="s">
        <v>157</v>
      </c>
      <c r="G76" s="129" t="str">
        <f>TEXT(MC_2[[#This Row],[Date]],"mmm-yy")</f>
        <v>Apr-25</v>
      </c>
      <c r="H76" s="129">
        <f>DAY(EOMONTH(MC_2[[#This Row],[Month Year]],0))</f>
        <v>30</v>
      </c>
      <c r="I76" s="132"/>
      <c r="J76" s="132"/>
      <c r="K76" s="132">
        <v>0</v>
      </c>
      <c r="L76" s="132">
        <v>0</v>
      </c>
      <c r="M76" s="132">
        <v>0</v>
      </c>
      <c r="N76" s="132">
        <v>2842</v>
      </c>
      <c r="O76" s="132"/>
      <c r="P76" s="132"/>
      <c r="Q76" s="132"/>
      <c r="R76" s="132"/>
      <c r="S76" s="4">
        <f>SUM(MC_2[[#This Row],[ICR1]:[ICR5]])</f>
        <v>2842</v>
      </c>
      <c r="T76" s="133"/>
      <c r="U76" s="132"/>
      <c r="V76" s="132"/>
      <c r="W76" s="133"/>
      <c r="X76" s="132"/>
      <c r="Y76" s="132"/>
      <c r="Z76" s="132"/>
    </row>
    <row r="77" spans="1:26">
      <c r="A77" s="132">
        <v>75</v>
      </c>
      <c r="B77" s="126">
        <f t="shared" si="1"/>
        <v>45763</v>
      </c>
      <c r="C77" s="127">
        <f>YEAR(MC_2[[#This Row],[Date]])+IF(MONTH(MC_2[[#This Row],[Date]])&gt;=4,1,0)</f>
        <v>2026</v>
      </c>
      <c r="D77" s="128">
        <f>YEAR(MC_2[[#This Row],[Date]])</f>
        <v>2025</v>
      </c>
      <c r="E77" s="125" t="s">
        <v>157</v>
      </c>
      <c r="F77" s="125" t="s">
        <v>157</v>
      </c>
      <c r="G77" s="129" t="str">
        <f>TEXT(MC_2[[#This Row],[Date]],"mmm-yy")</f>
        <v>Apr-25</v>
      </c>
      <c r="H77" s="129">
        <f>DAY(EOMONTH(MC_2[[#This Row],[Month Year]],0))</f>
        <v>30</v>
      </c>
      <c r="I77" s="132"/>
      <c r="J77" s="132"/>
      <c r="K77" s="132">
        <v>0</v>
      </c>
      <c r="L77" s="132">
        <v>0</v>
      </c>
      <c r="M77" s="132">
        <v>0</v>
      </c>
      <c r="N77" s="132">
        <v>957</v>
      </c>
      <c r="O77" s="132"/>
      <c r="P77" s="132"/>
      <c r="Q77" s="132"/>
      <c r="R77" s="132"/>
      <c r="S77" s="4">
        <f>SUM(MC_2[[#This Row],[ICR1]:[ICR5]])</f>
        <v>957</v>
      </c>
      <c r="T77" s="133">
        <v>0.22916666666666666</v>
      </c>
      <c r="U77" s="133">
        <v>0.39583333333333331</v>
      </c>
      <c r="V77" s="133">
        <v>0.60416666666666663</v>
      </c>
      <c r="W77" s="133">
        <v>0.6875</v>
      </c>
      <c r="X77" s="132"/>
      <c r="Y77" s="132"/>
      <c r="Z77" s="132"/>
    </row>
    <row r="78" spans="1:26">
      <c r="A78" s="132">
        <v>76</v>
      </c>
      <c r="B78" s="126">
        <f t="shared" si="1"/>
        <v>45764</v>
      </c>
      <c r="C78" s="127">
        <f>YEAR(MC_2[[#This Row],[Date]])+IF(MONTH(MC_2[[#This Row],[Date]])&gt;=4,1,0)</f>
        <v>2026</v>
      </c>
      <c r="D78" s="128">
        <f>YEAR(MC_2[[#This Row],[Date]])</f>
        <v>2025</v>
      </c>
      <c r="E78" s="125" t="s">
        <v>157</v>
      </c>
      <c r="F78" s="125" t="s">
        <v>157</v>
      </c>
      <c r="G78" s="129" t="str">
        <f>TEXT(MC_2[[#This Row],[Date]],"mmm-yy")</f>
        <v>Apr-25</v>
      </c>
      <c r="H78" s="129">
        <f>DAY(EOMONTH(MC_2[[#This Row],[Month Year]],0))</f>
        <v>30</v>
      </c>
      <c r="I78" s="132"/>
      <c r="J78" s="132"/>
      <c r="K78" s="132">
        <v>0</v>
      </c>
      <c r="L78" s="132">
        <v>0</v>
      </c>
      <c r="M78" s="132">
        <v>1102</v>
      </c>
      <c r="N78" s="132">
        <v>1537</v>
      </c>
      <c r="O78" s="132"/>
      <c r="P78" s="132"/>
      <c r="Q78" s="132"/>
      <c r="R78" s="132"/>
      <c r="S78" s="4">
        <f>SUM(MC_2[[#This Row],[ICR1]:[ICR5]])</f>
        <v>2639</v>
      </c>
      <c r="T78" s="133">
        <v>0.22916666666666666</v>
      </c>
      <c r="U78" s="133">
        <v>0.39583333333333331</v>
      </c>
      <c r="V78" s="133">
        <v>0.60416666666666663</v>
      </c>
      <c r="W78" s="133">
        <v>0.6875</v>
      </c>
      <c r="X78" s="132"/>
      <c r="Y78" s="132"/>
      <c r="Z78" s="132"/>
    </row>
    <row r="79" spans="1:26">
      <c r="A79" s="132">
        <v>77</v>
      </c>
      <c r="B79" s="126">
        <f t="shared" si="1"/>
        <v>45765</v>
      </c>
      <c r="C79" s="127">
        <f>YEAR(MC_2[[#This Row],[Date]])+IF(MONTH(MC_2[[#This Row],[Date]])&gt;=4,1,0)</f>
        <v>2026</v>
      </c>
      <c r="D79" s="128">
        <f>YEAR(MC_2[[#This Row],[Date]])</f>
        <v>2025</v>
      </c>
      <c r="E79" s="125" t="s">
        <v>157</v>
      </c>
      <c r="F79" s="125" t="s">
        <v>157</v>
      </c>
      <c r="G79" s="129" t="str">
        <f>TEXT(MC_2[[#This Row],[Date]],"mmm-yy")</f>
        <v>Apr-25</v>
      </c>
      <c r="H79" s="129">
        <f>DAY(EOMONTH(MC_2[[#This Row],[Month Year]],0))</f>
        <v>30</v>
      </c>
      <c r="I79" s="132"/>
      <c r="J79" s="132"/>
      <c r="K79" s="132">
        <v>0</v>
      </c>
      <c r="L79" s="132">
        <v>0</v>
      </c>
      <c r="M79" s="132">
        <v>2320</v>
      </c>
      <c r="N79" s="132">
        <v>0</v>
      </c>
      <c r="O79" s="132"/>
      <c r="P79" s="132"/>
      <c r="Q79" s="132"/>
      <c r="R79" s="132"/>
      <c r="S79" s="4">
        <f>SUM(MC_2[[#This Row],[ICR1]:[ICR5]])</f>
        <v>2320</v>
      </c>
      <c r="T79" s="133">
        <v>0.22916666666666666</v>
      </c>
      <c r="U79" s="133">
        <v>0.39583333333333331</v>
      </c>
      <c r="V79" s="133">
        <v>0.60416666666666663</v>
      </c>
      <c r="W79" s="133">
        <v>0.6875</v>
      </c>
      <c r="X79" s="132"/>
      <c r="Y79" s="132"/>
      <c r="Z79" s="132"/>
    </row>
    <row r="80" spans="1:26">
      <c r="A80" s="132">
        <v>78</v>
      </c>
      <c r="B80" s="126">
        <f t="shared" si="1"/>
        <v>45766</v>
      </c>
      <c r="C80" s="127">
        <f>YEAR(MC_2[[#This Row],[Date]])+IF(MONTH(MC_2[[#This Row],[Date]])&gt;=4,1,0)</f>
        <v>2026</v>
      </c>
      <c r="D80" s="128">
        <f>YEAR(MC_2[[#This Row],[Date]])</f>
        <v>2025</v>
      </c>
      <c r="E80" s="125" t="s">
        <v>157</v>
      </c>
      <c r="F80" s="125" t="s">
        <v>157</v>
      </c>
      <c r="G80" s="129" t="str">
        <f>TEXT(MC_2[[#This Row],[Date]],"mmm-yy")</f>
        <v>Apr-25</v>
      </c>
      <c r="H80" s="129">
        <f>DAY(EOMONTH(MC_2[[#This Row],[Month Year]],0))</f>
        <v>30</v>
      </c>
      <c r="I80" s="132"/>
      <c r="J80" s="132"/>
      <c r="K80" s="132">
        <v>0</v>
      </c>
      <c r="L80" s="132">
        <v>1015</v>
      </c>
      <c r="M80" s="132">
        <v>2871</v>
      </c>
      <c r="N80" s="132">
        <v>0</v>
      </c>
      <c r="O80" s="132"/>
      <c r="P80" s="132"/>
      <c r="Q80" s="132"/>
      <c r="R80" s="132"/>
      <c r="S80" s="4">
        <f>SUM(MC_2[[#This Row],[ICR1]:[ICR5]])</f>
        <v>3886</v>
      </c>
      <c r="T80" s="133"/>
      <c r="U80" s="132"/>
      <c r="V80" s="132"/>
      <c r="W80" s="133"/>
      <c r="X80" s="132"/>
      <c r="Y80" s="132"/>
      <c r="Z80" s="132"/>
    </row>
    <row r="81" spans="1:26">
      <c r="A81" s="132">
        <v>79</v>
      </c>
      <c r="B81" s="126">
        <f t="shared" si="1"/>
        <v>45767</v>
      </c>
      <c r="C81" s="127">
        <f>YEAR(MC_2[[#This Row],[Date]])+IF(MONTH(MC_2[[#This Row],[Date]])&gt;=4,1,0)</f>
        <v>2026</v>
      </c>
      <c r="D81" s="128">
        <f>YEAR(MC_2[[#This Row],[Date]])</f>
        <v>2025</v>
      </c>
      <c r="E81" s="125" t="s">
        <v>157</v>
      </c>
      <c r="F81" s="125" t="s">
        <v>157</v>
      </c>
      <c r="G81" s="129" t="str">
        <f>TEXT(MC_2[[#This Row],[Date]],"mmm-yy")</f>
        <v>Apr-25</v>
      </c>
      <c r="H81" s="129">
        <f>DAY(EOMONTH(MC_2[[#This Row],[Month Year]],0))</f>
        <v>30</v>
      </c>
      <c r="I81" s="132"/>
      <c r="J81" s="132"/>
      <c r="K81" s="132">
        <v>0</v>
      </c>
      <c r="L81" s="132">
        <v>3799</v>
      </c>
      <c r="M81" s="132">
        <v>638</v>
      </c>
      <c r="N81" s="132">
        <v>0</v>
      </c>
      <c r="O81" s="132"/>
      <c r="P81" s="132"/>
      <c r="Q81" s="132"/>
      <c r="R81" s="132"/>
      <c r="S81" s="4">
        <f>SUM(MC_2[[#This Row],[ICR1]:[ICR5]])</f>
        <v>4437</v>
      </c>
      <c r="T81" s="132"/>
      <c r="U81" s="132"/>
      <c r="V81" s="132"/>
      <c r="W81" s="132"/>
      <c r="X81" s="132"/>
      <c r="Y81" s="132"/>
      <c r="Z81" s="132"/>
    </row>
    <row r="82" spans="1:26">
      <c r="A82" s="132">
        <v>80</v>
      </c>
      <c r="B82" s="126">
        <f t="shared" si="1"/>
        <v>45768</v>
      </c>
      <c r="C82" s="127">
        <f>YEAR(MC_2[[#This Row],[Date]])+IF(MONTH(MC_2[[#This Row],[Date]])&gt;=4,1,0)</f>
        <v>2026</v>
      </c>
      <c r="D82" s="128">
        <f>YEAR(MC_2[[#This Row],[Date]])</f>
        <v>2025</v>
      </c>
      <c r="E82" s="125" t="s">
        <v>157</v>
      </c>
      <c r="F82" s="125" t="s">
        <v>157</v>
      </c>
      <c r="G82" s="129" t="str">
        <f>TEXT(MC_2[[#This Row],[Date]],"mmm-yy")</f>
        <v>Apr-25</v>
      </c>
      <c r="H82" s="129">
        <f>DAY(EOMONTH(MC_2[[#This Row],[Month Year]],0))</f>
        <v>30</v>
      </c>
      <c r="I82" s="132"/>
      <c r="J82" s="132"/>
      <c r="K82" s="132">
        <v>0</v>
      </c>
      <c r="L82" s="132">
        <v>3480</v>
      </c>
      <c r="M82" s="132">
        <v>0</v>
      </c>
      <c r="N82" s="132">
        <v>0</v>
      </c>
      <c r="O82" s="132"/>
      <c r="P82" s="132"/>
      <c r="Q82" s="132"/>
      <c r="R82" s="132"/>
      <c r="S82" s="4">
        <f>SUM(MC_2[[#This Row],[ICR1]:[ICR5]])</f>
        <v>3480</v>
      </c>
      <c r="T82" s="132"/>
      <c r="U82" s="132"/>
      <c r="V82" s="132"/>
      <c r="W82" s="132"/>
      <c r="X82" s="132"/>
      <c r="Y82" s="132"/>
      <c r="Z82" s="132"/>
    </row>
    <row r="83" spans="1:26">
      <c r="A83" s="132">
        <v>81</v>
      </c>
      <c r="B83" s="126">
        <f t="shared" si="1"/>
        <v>45769</v>
      </c>
      <c r="C83" s="127">
        <f>YEAR(MC_2[[#This Row],[Date]])+IF(MONTH(MC_2[[#This Row],[Date]])&gt;=4,1,0)</f>
        <v>2026</v>
      </c>
      <c r="D83" s="128">
        <f>YEAR(MC_2[[#This Row],[Date]])</f>
        <v>2025</v>
      </c>
      <c r="E83" s="125" t="s">
        <v>157</v>
      </c>
      <c r="F83" s="125" t="s">
        <v>157</v>
      </c>
      <c r="G83" s="129" t="str">
        <f>TEXT(MC_2[[#This Row],[Date]],"mmm-yy")</f>
        <v>Apr-25</v>
      </c>
      <c r="H83" s="129">
        <f>DAY(EOMONTH(MC_2[[#This Row],[Month Year]],0))</f>
        <v>30</v>
      </c>
      <c r="I83" s="132"/>
      <c r="J83" s="132"/>
      <c r="K83" s="132">
        <v>0</v>
      </c>
      <c r="L83" s="132">
        <v>1856</v>
      </c>
      <c r="M83" s="132">
        <v>0</v>
      </c>
      <c r="N83" s="132">
        <v>0</v>
      </c>
      <c r="O83" s="132"/>
      <c r="P83" s="132"/>
      <c r="Q83" s="132"/>
      <c r="R83" s="132"/>
      <c r="S83" s="4">
        <f>SUM(MC_2[[#This Row],[ICR1]:[ICR5]])</f>
        <v>1856</v>
      </c>
      <c r="T83" s="132"/>
      <c r="U83" s="132"/>
      <c r="V83" s="132"/>
      <c r="W83" s="132"/>
      <c r="X83" s="132"/>
      <c r="Y83" s="132"/>
      <c r="Z83" s="132"/>
    </row>
    <row r="84" spans="1:26">
      <c r="A84" s="132">
        <v>82</v>
      </c>
      <c r="B84" s="126">
        <f t="shared" si="1"/>
        <v>45770</v>
      </c>
      <c r="C84" s="127">
        <f>YEAR(MC_2[[#This Row],[Date]])+IF(MONTH(MC_2[[#This Row],[Date]])&gt;=4,1,0)</f>
        <v>2026</v>
      </c>
      <c r="D84" s="128">
        <f>YEAR(MC_2[[#This Row],[Date]])</f>
        <v>2025</v>
      </c>
      <c r="E84" s="125" t="s">
        <v>157</v>
      </c>
      <c r="F84" s="125" t="s">
        <v>157</v>
      </c>
      <c r="G84" s="129" t="str">
        <f>TEXT(MC_2[[#This Row],[Date]],"mmm-yy")</f>
        <v>Apr-25</v>
      </c>
      <c r="H84" s="129">
        <f>DAY(EOMONTH(MC_2[[#This Row],[Month Year]],0))</f>
        <v>30</v>
      </c>
      <c r="I84" s="132"/>
      <c r="J84" s="132"/>
      <c r="K84" s="132">
        <v>0</v>
      </c>
      <c r="L84" s="132">
        <v>2639</v>
      </c>
      <c r="M84" s="132">
        <v>0</v>
      </c>
      <c r="N84" s="132">
        <v>0</v>
      </c>
      <c r="O84" s="132"/>
      <c r="P84" s="132"/>
      <c r="Q84" s="132"/>
      <c r="R84" s="132"/>
      <c r="S84" s="4">
        <f>SUM(MC_2[[#This Row],[ICR1]:[ICR5]])</f>
        <v>2639</v>
      </c>
      <c r="T84" s="132"/>
      <c r="U84" s="132"/>
      <c r="V84" s="132"/>
      <c r="W84" s="132"/>
      <c r="X84" s="132"/>
      <c r="Y84" s="132"/>
      <c r="Z84" s="132"/>
    </row>
    <row r="85" spans="1:26">
      <c r="A85" s="132">
        <v>83</v>
      </c>
      <c r="B85" s="126">
        <f t="shared" si="1"/>
        <v>45771</v>
      </c>
      <c r="C85" s="127">
        <f>YEAR(MC_2[[#This Row],[Date]])+IF(MONTH(MC_2[[#This Row],[Date]])&gt;=4,1,0)</f>
        <v>2026</v>
      </c>
      <c r="D85" s="128">
        <f>YEAR(MC_2[[#This Row],[Date]])</f>
        <v>2025</v>
      </c>
      <c r="E85" s="125" t="s">
        <v>157</v>
      </c>
      <c r="F85" s="125" t="s">
        <v>157</v>
      </c>
      <c r="G85" s="129" t="str">
        <f>TEXT(MC_2[[#This Row],[Date]],"mmm-yy")</f>
        <v>Apr-25</v>
      </c>
      <c r="H85" s="129">
        <f>DAY(EOMONTH(MC_2[[#This Row],[Month Year]],0))</f>
        <v>30</v>
      </c>
      <c r="I85" s="132"/>
      <c r="J85" s="132"/>
      <c r="K85" s="132">
        <v>0</v>
      </c>
      <c r="L85" s="132">
        <v>0</v>
      </c>
      <c r="M85" s="132">
        <v>0</v>
      </c>
      <c r="N85" s="132">
        <v>0</v>
      </c>
      <c r="O85" s="132"/>
      <c r="P85" s="132"/>
      <c r="Q85" s="132"/>
      <c r="R85" s="132"/>
      <c r="S85" s="4">
        <f>SUM(MC_2[[#This Row],[ICR1]:[ICR5]])</f>
        <v>0</v>
      </c>
      <c r="T85" s="132"/>
      <c r="U85" s="132"/>
      <c r="V85" s="132"/>
      <c r="W85" s="132"/>
      <c r="X85" s="132"/>
      <c r="Y85" s="132"/>
      <c r="Z85" s="132"/>
    </row>
    <row r="86" spans="1:26">
      <c r="A86" s="132">
        <v>84</v>
      </c>
      <c r="B86" s="126">
        <f t="shared" si="1"/>
        <v>45772</v>
      </c>
      <c r="C86" s="127">
        <f>YEAR(MC_2[[#This Row],[Date]])+IF(MONTH(MC_2[[#This Row],[Date]])&gt;=4,1,0)</f>
        <v>2026</v>
      </c>
      <c r="D86" s="128">
        <f>YEAR(MC_2[[#This Row],[Date]])</f>
        <v>2025</v>
      </c>
      <c r="E86" s="125" t="s">
        <v>157</v>
      </c>
      <c r="F86" s="125" t="s">
        <v>157</v>
      </c>
      <c r="G86" s="129" t="str">
        <f>TEXT(MC_2[[#This Row],[Date]],"mmm-yy")</f>
        <v>Apr-25</v>
      </c>
      <c r="H86" s="129">
        <f>DAY(EOMONTH(MC_2[[#This Row],[Month Year]],0))</f>
        <v>30</v>
      </c>
      <c r="I86" s="132"/>
      <c r="J86" s="132"/>
      <c r="K86" s="132">
        <v>0</v>
      </c>
      <c r="L86" s="132">
        <v>3741</v>
      </c>
      <c r="M86" s="132">
        <v>464</v>
      </c>
      <c r="N86" s="132">
        <v>0</v>
      </c>
      <c r="O86" s="132"/>
      <c r="P86" s="132"/>
      <c r="Q86" s="132"/>
      <c r="R86" s="132"/>
      <c r="S86" s="4">
        <f>SUM(MC_2[[#This Row],[ICR1]:[ICR5]])</f>
        <v>4205</v>
      </c>
      <c r="T86" s="133"/>
      <c r="U86" s="132"/>
      <c r="V86" s="132"/>
      <c r="W86" s="133"/>
      <c r="X86" s="132"/>
      <c r="Y86" s="132"/>
      <c r="Z86" s="132"/>
    </row>
    <row r="87" spans="1:26">
      <c r="A87" s="132">
        <v>85</v>
      </c>
      <c r="B87" s="126">
        <f t="shared" si="1"/>
        <v>45773</v>
      </c>
      <c r="C87" s="127">
        <f>YEAR(MC_2[[#This Row],[Date]])+IF(MONTH(MC_2[[#This Row],[Date]])&gt;=4,1,0)</f>
        <v>2026</v>
      </c>
      <c r="D87" s="128">
        <f>YEAR(MC_2[[#This Row],[Date]])</f>
        <v>2025</v>
      </c>
      <c r="E87" s="125" t="s">
        <v>157</v>
      </c>
      <c r="F87" s="125" t="s">
        <v>157</v>
      </c>
      <c r="G87" s="129" t="str">
        <f>TEXT(MC_2[[#This Row],[Date]],"mmm-yy")</f>
        <v>Apr-25</v>
      </c>
      <c r="H87" s="129">
        <f>DAY(EOMONTH(MC_2[[#This Row],[Month Year]],0))</f>
        <v>30</v>
      </c>
      <c r="I87" s="132"/>
      <c r="J87" s="132"/>
      <c r="K87" s="132">
        <v>1102</v>
      </c>
      <c r="L87" s="132">
        <v>2929</v>
      </c>
      <c r="M87" s="132">
        <v>116</v>
      </c>
      <c r="N87" s="132">
        <v>232</v>
      </c>
      <c r="O87" s="132"/>
      <c r="P87" s="132"/>
      <c r="Q87" s="132"/>
      <c r="R87" s="132"/>
      <c r="S87" s="4">
        <f>SUM(MC_2[[#This Row],[ICR1]:[ICR5]])</f>
        <v>4379</v>
      </c>
      <c r="T87" s="133"/>
      <c r="U87" s="132"/>
      <c r="V87" s="132"/>
      <c r="W87" s="133"/>
      <c r="X87" s="132"/>
      <c r="Y87" s="132"/>
      <c r="Z87" s="132"/>
    </row>
    <row r="88" spans="1:26">
      <c r="A88" s="132">
        <v>86</v>
      </c>
      <c r="B88" s="126">
        <f t="shared" si="1"/>
        <v>45774</v>
      </c>
      <c r="C88" s="127">
        <f>YEAR(MC_2[[#This Row],[Date]])+IF(MONTH(MC_2[[#This Row],[Date]])&gt;=4,1,0)</f>
        <v>2026</v>
      </c>
      <c r="D88" s="128">
        <f>YEAR(MC_2[[#This Row],[Date]])</f>
        <v>2025</v>
      </c>
      <c r="E88" s="125" t="s">
        <v>157</v>
      </c>
      <c r="F88" s="125" t="s">
        <v>157</v>
      </c>
      <c r="G88" s="129" t="str">
        <f>TEXT(MC_2[[#This Row],[Date]],"mmm-yy")</f>
        <v>Apr-25</v>
      </c>
      <c r="H88" s="129">
        <f>DAY(EOMONTH(MC_2[[#This Row],[Month Year]],0))</f>
        <v>30</v>
      </c>
      <c r="I88" s="132"/>
      <c r="J88" s="132"/>
      <c r="K88" s="132">
        <v>2668</v>
      </c>
      <c r="L88" s="132">
        <v>174</v>
      </c>
      <c r="M88" s="132">
        <v>0</v>
      </c>
      <c r="N88" s="132">
        <v>2349</v>
      </c>
      <c r="O88" s="132"/>
      <c r="P88" s="132"/>
      <c r="Q88" s="132"/>
      <c r="R88" s="132"/>
      <c r="S88" s="4">
        <f>SUM(MC_2[[#This Row],[ICR1]:[ICR5]])</f>
        <v>5191</v>
      </c>
      <c r="T88" s="132"/>
      <c r="U88" s="132"/>
      <c r="V88" s="132"/>
      <c r="W88" s="132"/>
      <c r="X88" s="132"/>
      <c r="Y88" s="132"/>
      <c r="Z88" s="132"/>
    </row>
    <row r="89" spans="1:26">
      <c r="A89" s="132">
        <v>87</v>
      </c>
      <c r="B89" s="126">
        <f t="shared" si="1"/>
        <v>45775</v>
      </c>
      <c r="C89" s="127">
        <f>YEAR(MC_2[[#This Row],[Date]])+IF(MONTH(MC_2[[#This Row],[Date]])&gt;=4,1,0)</f>
        <v>2026</v>
      </c>
      <c r="D89" s="128">
        <f>YEAR(MC_2[[#This Row],[Date]])</f>
        <v>2025</v>
      </c>
      <c r="E89" s="125" t="s">
        <v>157</v>
      </c>
      <c r="F89" s="125" t="s">
        <v>157</v>
      </c>
      <c r="G89" s="129" t="str">
        <f>TEXT(MC_2[[#This Row],[Date]],"mmm-yy")</f>
        <v>Apr-25</v>
      </c>
      <c r="H89" s="129">
        <f>DAY(EOMONTH(MC_2[[#This Row],[Month Year]],0))</f>
        <v>30</v>
      </c>
      <c r="I89" s="132"/>
      <c r="J89" s="132"/>
      <c r="K89" s="132">
        <v>1102</v>
      </c>
      <c r="L89" s="132">
        <v>2929</v>
      </c>
      <c r="M89" s="132">
        <v>116</v>
      </c>
      <c r="N89" s="132">
        <v>232</v>
      </c>
      <c r="O89" s="132"/>
      <c r="P89" s="132"/>
      <c r="Q89" s="132"/>
      <c r="R89" s="132"/>
      <c r="S89" s="4">
        <f>SUM(MC_2[[#This Row],[ICR1]:[ICR5]])</f>
        <v>4379</v>
      </c>
      <c r="T89" s="132"/>
      <c r="U89" s="132"/>
      <c r="V89" s="132"/>
      <c r="W89" s="132"/>
      <c r="X89" s="132"/>
      <c r="Y89" s="132"/>
      <c r="Z89" s="132"/>
    </row>
    <row r="90" spans="1:26">
      <c r="A90" s="132">
        <v>88</v>
      </c>
      <c r="B90" s="126">
        <f t="shared" si="1"/>
        <v>45776</v>
      </c>
      <c r="C90" s="127">
        <f>YEAR(MC_2[[#This Row],[Date]])+IF(MONTH(MC_2[[#This Row],[Date]])&gt;=4,1,0)</f>
        <v>2026</v>
      </c>
      <c r="D90" s="128">
        <f>YEAR(MC_2[[#This Row],[Date]])</f>
        <v>2025</v>
      </c>
      <c r="E90" s="125" t="s">
        <v>157</v>
      </c>
      <c r="F90" s="125" t="s">
        <v>157</v>
      </c>
      <c r="G90" s="129" t="str">
        <f>TEXT(MC_2[[#This Row],[Date]],"mmm-yy")</f>
        <v>Apr-25</v>
      </c>
      <c r="H90" s="129">
        <f>DAY(EOMONTH(MC_2[[#This Row],[Month Year]],0))</f>
        <v>30</v>
      </c>
      <c r="I90" s="132"/>
      <c r="J90" s="132"/>
      <c r="K90" s="132">
        <v>2668</v>
      </c>
      <c r="L90" s="132">
        <v>174</v>
      </c>
      <c r="M90" s="132">
        <v>2349</v>
      </c>
      <c r="N90" s="132">
        <v>0</v>
      </c>
      <c r="O90" s="132"/>
      <c r="P90" s="132"/>
      <c r="Q90" s="132"/>
      <c r="R90" s="132"/>
      <c r="S90" s="4">
        <f>SUM(MC_2[[#This Row],[ICR1]:[ICR5]])</f>
        <v>5191</v>
      </c>
      <c r="T90" s="132"/>
      <c r="U90" s="132"/>
      <c r="V90" s="132"/>
      <c r="W90" s="132"/>
      <c r="X90" s="132"/>
      <c r="Y90" s="132"/>
      <c r="Z90" s="132"/>
    </row>
    <row r="91" spans="1:26">
      <c r="A91" s="132">
        <v>89</v>
      </c>
      <c r="B91" s="126">
        <f t="shared" si="1"/>
        <v>45777</v>
      </c>
      <c r="C91" s="127">
        <f>YEAR(MC_2[[#This Row],[Date]])+IF(MONTH(MC_2[[#This Row],[Date]])&gt;=4,1,0)</f>
        <v>2026</v>
      </c>
      <c r="D91" s="128">
        <f>YEAR(MC_2[[#This Row],[Date]])</f>
        <v>2025</v>
      </c>
      <c r="E91" s="125" t="s">
        <v>157</v>
      </c>
      <c r="F91" s="125" t="s">
        <v>157</v>
      </c>
      <c r="G91" s="129" t="str">
        <f>TEXT(MC_2[[#This Row],[Date]],"mmm-yy")</f>
        <v>Apr-25</v>
      </c>
      <c r="H91" s="129">
        <f>DAY(EOMONTH(MC_2[[#This Row],[Month Year]],0))</f>
        <v>30</v>
      </c>
      <c r="I91" s="132"/>
      <c r="J91" s="132"/>
      <c r="K91" s="132">
        <v>2494</v>
      </c>
      <c r="L91" s="132">
        <v>1392</v>
      </c>
      <c r="M91" s="132">
        <v>0</v>
      </c>
      <c r="N91" s="132">
        <v>0</v>
      </c>
      <c r="O91" s="132"/>
      <c r="P91" s="132"/>
      <c r="Q91" s="132"/>
      <c r="R91" s="132"/>
      <c r="S91" s="4">
        <f>SUM(MC_2[[#This Row],[ICR1]:[ICR5]])</f>
        <v>3886</v>
      </c>
      <c r="T91" s="132"/>
      <c r="U91" s="132"/>
      <c r="V91" s="133">
        <v>0.70833333333333337</v>
      </c>
      <c r="W91" s="133">
        <v>0.79166666666666663</v>
      </c>
      <c r="X91" s="132"/>
      <c r="Y91" s="132"/>
      <c r="Z91" s="132"/>
    </row>
    <row r="92" spans="1:26">
      <c r="A92" s="132">
        <v>90</v>
      </c>
      <c r="B92" s="126">
        <f t="shared" si="1"/>
        <v>45778</v>
      </c>
      <c r="C92" s="127">
        <f>YEAR(MC_2[[#This Row],[Date]])+IF(MONTH(MC_2[[#This Row],[Date]])&gt;=4,1,0)</f>
        <v>2026</v>
      </c>
      <c r="D92" s="128">
        <f>YEAR(MC_2[[#This Row],[Date]])</f>
        <v>2025</v>
      </c>
      <c r="E92" s="125" t="s">
        <v>157</v>
      </c>
      <c r="F92" s="125" t="s">
        <v>157</v>
      </c>
      <c r="G92" s="129" t="str">
        <f>TEXT(MC_2[[#This Row],[Date]],"mmm-yy")</f>
        <v>May-25</v>
      </c>
      <c r="H92" s="129">
        <f>DAY(EOMONTH(MC_2[[#This Row],[Month Year]],0))</f>
        <v>31</v>
      </c>
      <c r="I92" s="132"/>
      <c r="J92" s="132"/>
      <c r="K92" s="132">
        <v>3654</v>
      </c>
      <c r="L92" s="132">
        <v>0</v>
      </c>
      <c r="M92" s="132">
        <v>0</v>
      </c>
      <c r="N92" s="132">
        <v>0</v>
      </c>
      <c r="O92" s="132"/>
      <c r="P92" s="132"/>
      <c r="Q92" s="132"/>
      <c r="R92" s="132"/>
      <c r="S92" s="4">
        <f>SUM(MC_2[[#This Row],[ICR1]:[ICR5]])</f>
        <v>3654</v>
      </c>
      <c r="T92" s="132"/>
      <c r="U92" s="132"/>
      <c r="V92" s="133">
        <v>0.58333333333333337</v>
      </c>
      <c r="W92" s="133">
        <v>0.8125</v>
      </c>
      <c r="X92" s="132"/>
      <c r="Y92" s="132"/>
      <c r="Z92" s="132"/>
    </row>
    <row r="93" spans="1:26">
      <c r="A93" s="132">
        <v>91</v>
      </c>
      <c r="B93" s="126">
        <f t="shared" si="1"/>
        <v>45779</v>
      </c>
      <c r="C93" s="127">
        <f>YEAR(MC_2[[#This Row],[Date]])+IF(MONTH(MC_2[[#This Row],[Date]])&gt;=4,1,0)</f>
        <v>2026</v>
      </c>
      <c r="D93" s="128">
        <f>YEAR(MC_2[[#This Row],[Date]])</f>
        <v>2025</v>
      </c>
      <c r="E93" s="125" t="s">
        <v>157</v>
      </c>
      <c r="F93" s="125" t="s">
        <v>157</v>
      </c>
      <c r="G93" s="129" t="str">
        <f>TEXT(MC_2[[#This Row],[Date]],"mmm-yy")</f>
        <v>May-25</v>
      </c>
      <c r="H93" s="129">
        <f>DAY(EOMONTH(MC_2[[#This Row],[Month Year]],0))</f>
        <v>31</v>
      </c>
      <c r="I93" s="132"/>
      <c r="J93" s="132"/>
      <c r="K93" s="132">
        <v>3828</v>
      </c>
      <c r="L93" s="132">
        <v>0</v>
      </c>
      <c r="M93" s="132">
        <v>0</v>
      </c>
      <c r="N93" s="132">
        <v>377</v>
      </c>
      <c r="O93" s="132"/>
      <c r="P93" s="132"/>
      <c r="Q93" s="132"/>
      <c r="R93" s="132"/>
      <c r="S93" s="4">
        <f>SUM(MC_2[[#This Row],[ICR1]:[ICR5]])</f>
        <v>4205</v>
      </c>
      <c r="T93" s="132"/>
      <c r="U93" s="132"/>
      <c r="V93" s="132"/>
      <c r="W93" s="132"/>
      <c r="X93" s="132"/>
      <c r="Y93" s="132"/>
      <c r="Z93" s="132"/>
    </row>
    <row r="94" spans="1:26">
      <c r="A94" s="132">
        <v>92</v>
      </c>
      <c r="B94" s="126">
        <f t="shared" si="1"/>
        <v>45780</v>
      </c>
      <c r="C94" s="127">
        <f>YEAR(MC_2[[#This Row],[Date]])+IF(MONTH(MC_2[[#This Row],[Date]])&gt;=4,1,0)</f>
        <v>2026</v>
      </c>
      <c r="D94" s="128">
        <f>YEAR(MC_2[[#This Row],[Date]])</f>
        <v>2025</v>
      </c>
      <c r="E94" s="125" t="s">
        <v>157</v>
      </c>
      <c r="F94" s="125" t="s">
        <v>157</v>
      </c>
      <c r="G94" s="129" t="str">
        <f>TEXT(MC_2[[#This Row],[Date]],"mmm-yy")</f>
        <v>May-25</v>
      </c>
      <c r="H94" s="129">
        <f>DAY(EOMONTH(MC_2[[#This Row],[Month Year]],0))</f>
        <v>31</v>
      </c>
      <c r="I94" s="132"/>
      <c r="J94" s="132"/>
      <c r="K94" s="132">
        <v>232</v>
      </c>
      <c r="L94" s="132">
        <v>0</v>
      </c>
      <c r="M94" s="132">
        <v>0</v>
      </c>
      <c r="N94" s="132">
        <v>4466</v>
      </c>
      <c r="O94" s="132"/>
      <c r="P94" s="132"/>
      <c r="Q94" s="132"/>
      <c r="R94" s="132"/>
      <c r="S94" s="4">
        <f>SUM(MC_2[[#This Row],[ICR1]:[ICR5]])</f>
        <v>4698</v>
      </c>
      <c r="T94" s="132"/>
      <c r="U94" s="132"/>
      <c r="V94" s="132"/>
      <c r="W94" s="132"/>
      <c r="X94" s="132"/>
      <c r="Y94" s="132"/>
      <c r="Z94" s="132"/>
    </row>
    <row r="95" spans="1:26">
      <c r="A95" s="132">
        <v>93</v>
      </c>
      <c r="B95" s="126">
        <f t="shared" si="1"/>
        <v>45781</v>
      </c>
      <c r="C95" s="127">
        <f>YEAR(MC_2[[#This Row],[Date]])+IF(MONTH(MC_2[[#This Row],[Date]])&gt;=4,1,0)</f>
        <v>2026</v>
      </c>
      <c r="D95" s="128">
        <f>YEAR(MC_2[[#This Row],[Date]])</f>
        <v>2025</v>
      </c>
      <c r="E95" s="125" t="s">
        <v>157</v>
      </c>
      <c r="F95" s="125" t="s">
        <v>157</v>
      </c>
      <c r="G95" s="129" t="str">
        <f>TEXT(MC_2[[#This Row],[Date]],"mmm-yy")</f>
        <v>May-25</v>
      </c>
      <c r="H95" s="129">
        <f>DAY(EOMONTH(MC_2[[#This Row],[Month Year]],0))</f>
        <v>31</v>
      </c>
      <c r="I95" s="132"/>
      <c r="J95" s="132"/>
      <c r="K95" s="132">
        <v>0</v>
      </c>
      <c r="L95" s="132">
        <v>0</v>
      </c>
      <c r="M95" s="132">
        <v>0</v>
      </c>
      <c r="N95" s="132">
        <v>4872</v>
      </c>
      <c r="O95" s="132"/>
      <c r="P95" s="132"/>
      <c r="Q95" s="132"/>
      <c r="R95" s="132"/>
      <c r="S95" s="4">
        <f>SUM(MC_2[[#This Row],[ICR1]:[ICR5]])</f>
        <v>4872</v>
      </c>
      <c r="T95" s="132"/>
      <c r="U95" s="132"/>
      <c r="V95" s="132"/>
      <c r="W95" s="132"/>
      <c r="X95" s="132"/>
      <c r="Y95" s="132"/>
      <c r="Z95" s="132"/>
    </row>
    <row r="96" spans="1:26">
      <c r="A96" s="132">
        <v>94</v>
      </c>
      <c r="B96" s="126">
        <f t="shared" si="1"/>
        <v>45782</v>
      </c>
      <c r="C96" s="127">
        <f>YEAR(MC_2[[#This Row],[Date]])+IF(MONTH(MC_2[[#This Row],[Date]])&gt;=4,1,0)</f>
        <v>2026</v>
      </c>
      <c r="D96" s="128">
        <f>YEAR(MC_2[[#This Row],[Date]])</f>
        <v>2025</v>
      </c>
      <c r="E96" s="125" t="s">
        <v>157</v>
      </c>
      <c r="F96" s="125" t="s">
        <v>157</v>
      </c>
      <c r="G96" s="129" t="str">
        <f>TEXT(MC_2[[#This Row],[Date]],"mmm-yy")</f>
        <v>May-25</v>
      </c>
      <c r="H96" s="129">
        <f>DAY(EOMONTH(MC_2[[#This Row],[Month Year]],0))</f>
        <v>31</v>
      </c>
      <c r="I96" s="132"/>
      <c r="J96" s="132"/>
      <c r="K96" s="132">
        <v>0</v>
      </c>
      <c r="L96" s="132">
        <v>0</v>
      </c>
      <c r="M96" s="132">
        <v>0</v>
      </c>
      <c r="N96" s="132">
        <v>4089</v>
      </c>
      <c r="O96" s="132"/>
      <c r="P96" s="132"/>
      <c r="Q96" s="132"/>
      <c r="R96" s="132"/>
      <c r="S96" s="4">
        <f>SUM(MC_2[[#This Row],[ICR1]:[ICR5]])</f>
        <v>4089</v>
      </c>
      <c r="T96" s="133"/>
      <c r="U96" s="132"/>
      <c r="V96" s="132"/>
      <c r="W96" s="133"/>
      <c r="X96" s="132"/>
      <c r="Y96" s="132"/>
      <c r="Z96" s="132"/>
    </row>
    <row r="97" spans="1:26">
      <c r="A97" s="132">
        <v>95</v>
      </c>
      <c r="B97" s="126">
        <f t="shared" si="1"/>
        <v>45783</v>
      </c>
      <c r="C97" s="127">
        <f>YEAR(MC_2[[#This Row],[Date]])+IF(MONTH(MC_2[[#This Row],[Date]])&gt;=4,1,0)</f>
        <v>2026</v>
      </c>
      <c r="D97" s="128">
        <f>YEAR(MC_2[[#This Row],[Date]])</f>
        <v>2025</v>
      </c>
      <c r="E97" s="125" t="s">
        <v>157</v>
      </c>
      <c r="F97" s="125" t="s">
        <v>157</v>
      </c>
      <c r="G97" s="129" t="str">
        <f>TEXT(MC_2[[#This Row],[Date]],"mmm-yy")</f>
        <v>May-25</v>
      </c>
      <c r="H97" s="129">
        <f>DAY(EOMONTH(MC_2[[#This Row],[Month Year]],0))</f>
        <v>31</v>
      </c>
      <c r="I97" s="132"/>
      <c r="J97" s="132"/>
      <c r="K97" s="132">
        <v>957</v>
      </c>
      <c r="L97" s="132">
        <v>0</v>
      </c>
      <c r="M97" s="132">
        <v>0</v>
      </c>
      <c r="N97" s="132">
        <v>0</v>
      </c>
      <c r="O97" s="132"/>
      <c r="P97" s="132"/>
      <c r="Q97" s="132"/>
      <c r="R97" s="132"/>
      <c r="S97" s="4">
        <f>SUM(MC_2[[#This Row],[ICR1]:[ICR5]])</f>
        <v>957</v>
      </c>
      <c r="T97" s="132"/>
      <c r="U97" s="132"/>
      <c r="V97" s="132"/>
      <c r="W97" s="132"/>
      <c r="X97" s="132"/>
      <c r="Y97" s="132"/>
      <c r="Z97" s="132"/>
    </row>
    <row r="98" spans="1:26">
      <c r="A98" s="132">
        <v>96</v>
      </c>
      <c r="B98" s="126">
        <f t="shared" si="1"/>
        <v>45784</v>
      </c>
      <c r="C98" s="127">
        <f>YEAR(MC_2[[#This Row],[Date]])+IF(MONTH(MC_2[[#This Row],[Date]])&gt;=4,1,0)</f>
        <v>2026</v>
      </c>
      <c r="D98" s="128">
        <f>YEAR(MC_2[[#This Row],[Date]])</f>
        <v>2025</v>
      </c>
      <c r="E98" s="125" t="s">
        <v>157</v>
      </c>
      <c r="F98" s="125" t="s">
        <v>157</v>
      </c>
      <c r="G98" s="129" t="str">
        <f>TEXT(MC_2[[#This Row],[Date]],"mmm-yy")</f>
        <v>May-25</v>
      </c>
      <c r="H98" s="129">
        <f>DAY(EOMONTH(MC_2[[#This Row],[Month Year]],0))</f>
        <v>31</v>
      </c>
      <c r="I98" s="132"/>
      <c r="J98" s="132"/>
      <c r="K98" s="132">
        <v>464</v>
      </c>
      <c r="L98" s="132">
        <v>0</v>
      </c>
      <c r="M98" s="132">
        <v>0</v>
      </c>
      <c r="N98" s="132">
        <v>0</v>
      </c>
      <c r="O98" s="132"/>
      <c r="P98" s="132"/>
      <c r="Q98" s="132"/>
      <c r="R98" s="132"/>
      <c r="S98" s="4">
        <f>SUM(MC_2[[#This Row],[ICR1]:[ICR5]])</f>
        <v>464</v>
      </c>
      <c r="T98" s="132"/>
      <c r="U98" s="132"/>
      <c r="V98" s="132"/>
      <c r="W98" s="132"/>
      <c r="X98" s="132"/>
      <c r="Y98" s="132"/>
      <c r="Z98" s="132"/>
    </row>
    <row r="99" spans="1:26">
      <c r="A99" s="132">
        <v>97</v>
      </c>
      <c r="B99" s="126">
        <f t="shared" si="1"/>
        <v>45785</v>
      </c>
      <c r="C99" s="127">
        <f>YEAR(MC_2[[#This Row],[Date]])+IF(MONTH(MC_2[[#This Row],[Date]])&gt;=4,1,0)</f>
        <v>2026</v>
      </c>
      <c r="D99" s="128">
        <f>YEAR(MC_2[[#This Row],[Date]])</f>
        <v>2025</v>
      </c>
      <c r="E99" s="125" t="s">
        <v>157</v>
      </c>
      <c r="F99" s="125" t="s">
        <v>157</v>
      </c>
      <c r="G99" s="129" t="str">
        <f>TEXT(MC_2[[#This Row],[Date]],"mmm-yy")</f>
        <v>May-25</v>
      </c>
      <c r="H99" s="129">
        <f>DAY(EOMONTH(MC_2[[#This Row],[Month Year]],0))</f>
        <v>31</v>
      </c>
      <c r="I99" s="132"/>
      <c r="J99" s="132"/>
      <c r="K99" s="132">
        <v>1392</v>
      </c>
      <c r="L99" s="132">
        <v>609</v>
      </c>
      <c r="M99" s="132">
        <v>0</v>
      </c>
      <c r="N99" s="132">
        <v>0</v>
      </c>
      <c r="O99" s="132"/>
      <c r="P99" s="132"/>
      <c r="Q99" s="132"/>
      <c r="R99" s="132"/>
      <c r="S99" s="4">
        <f>SUM(MC_2[[#This Row],[ICR1]:[ICR5]])</f>
        <v>2001</v>
      </c>
      <c r="T99" s="132"/>
      <c r="U99" s="132"/>
      <c r="V99" s="132"/>
      <c r="W99" s="132"/>
      <c r="X99" s="132"/>
      <c r="Y99" s="132"/>
      <c r="Z99" s="132"/>
    </row>
    <row r="100" spans="1:26">
      <c r="A100" s="132">
        <v>98</v>
      </c>
      <c r="B100" s="126">
        <f t="shared" si="1"/>
        <v>45786</v>
      </c>
      <c r="C100" s="127">
        <f>YEAR(MC_2[[#This Row],[Date]])+IF(MONTH(MC_2[[#This Row],[Date]])&gt;=4,1,0)</f>
        <v>2026</v>
      </c>
      <c r="D100" s="128">
        <f>YEAR(MC_2[[#This Row],[Date]])</f>
        <v>2025</v>
      </c>
      <c r="E100" s="125" t="s">
        <v>157</v>
      </c>
      <c r="F100" s="125" t="s">
        <v>157</v>
      </c>
      <c r="G100" s="129" t="str">
        <f>TEXT(MC_2[[#This Row],[Date]],"mmm-yy")</f>
        <v>May-25</v>
      </c>
      <c r="H100" s="129">
        <f>DAY(EOMONTH(MC_2[[#This Row],[Month Year]],0))</f>
        <v>31</v>
      </c>
      <c r="I100" s="132"/>
      <c r="J100" s="132"/>
      <c r="K100" s="132">
        <v>2407</v>
      </c>
      <c r="L100" s="132">
        <v>0</v>
      </c>
      <c r="M100" s="132">
        <v>0</v>
      </c>
      <c r="N100" s="132">
        <v>1914</v>
      </c>
      <c r="O100" s="132"/>
      <c r="P100" s="132"/>
      <c r="Q100" s="132"/>
      <c r="R100" s="132"/>
      <c r="S100" s="4">
        <f>SUM(MC_2[[#This Row],[ICR1]:[ICR5]])</f>
        <v>4321</v>
      </c>
      <c r="T100" s="132"/>
      <c r="U100" s="132"/>
      <c r="V100" s="132"/>
      <c r="W100" s="132"/>
      <c r="X100" s="132"/>
      <c r="Y100" s="132"/>
      <c r="Z100" s="132"/>
    </row>
    <row r="101" spans="1:26">
      <c r="A101" s="132">
        <v>99</v>
      </c>
      <c r="B101" s="126">
        <f t="shared" si="1"/>
        <v>45787</v>
      </c>
      <c r="C101" s="127">
        <f>YEAR(MC_2[[#This Row],[Date]])+IF(MONTH(MC_2[[#This Row],[Date]])&gt;=4,1,0)</f>
        <v>2026</v>
      </c>
      <c r="D101" s="128">
        <f>YEAR(MC_2[[#This Row],[Date]])</f>
        <v>2025</v>
      </c>
      <c r="E101" s="125" t="s">
        <v>157</v>
      </c>
      <c r="F101" s="125" t="s">
        <v>157</v>
      </c>
      <c r="G101" s="129" t="str">
        <f>TEXT(MC_2[[#This Row],[Date]],"mmm-yy")</f>
        <v>May-25</v>
      </c>
      <c r="H101" s="129">
        <f>DAY(EOMONTH(MC_2[[#This Row],[Month Year]],0))</f>
        <v>31</v>
      </c>
      <c r="I101" s="132"/>
      <c r="J101" s="132"/>
      <c r="K101" s="132">
        <v>0</v>
      </c>
      <c r="L101" s="132">
        <v>4756</v>
      </c>
      <c r="M101" s="132">
        <v>0</v>
      </c>
      <c r="N101" s="132">
        <v>0</v>
      </c>
      <c r="O101" s="132"/>
      <c r="P101" s="132"/>
      <c r="Q101" s="132"/>
      <c r="R101" s="132"/>
      <c r="S101" s="4">
        <f>SUM(MC_2[[#This Row],[ICR1]:[ICR5]])</f>
        <v>4756</v>
      </c>
      <c r="T101" s="132"/>
      <c r="U101" s="132"/>
      <c r="V101" s="132"/>
      <c r="W101" s="132"/>
      <c r="X101" s="132"/>
      <c r="Y101" s="132"/>
      <c r="Z101" s="132"/>
    </row>
    <row r="102" spans="1:26">
      <c r="A102" s="132">
        <v>100</v>
      </c>
      <c r="B102" s="126">
        <f t="shared" si="1"/>
        <v>45788</v>
      </c>
      <c r="C102" s="127">
        <f>YEAR(MC_2[[#This Row],[Date]])+IF(MONTH(MC_2[[#This Row],[Date]])&gt;=4,1,0)</f>
        <v>2026</v>
      </c>
      <c r="D102" s="128">
        <f>YEAR(MC_2[[#This Row],[Date]])</f>
        <v>2025</v>
      </c>
      <c r="E102" s="125" t="s">
        <v>157</v>
      </c>
      <c r="F102" s="125" t="s">
        <v>157</v>
      </c>
      <c r="G102" s="129" t="str">
        <f>TEXT(MC_2[[#This Row],[Date]],"mmm-yy")</f>
        <v>May-25</v>
      </c>
      <c r="H102" s="129">
        <f>DAY(EOMONTH(MC_2[[#This Row],[Month Year]],0))</f>
        <v>31</v>
      </c>
      <c r="I102" s="132"/>
      <c r="J102" s="132"/>
      <c r="K102" s="132">
        <v>0</v>
      </c>
      <c r="L102" s="132">
        <v>3712</v>
      </c>
      <c r="M102" s="132">
        <v>0</v>
      </c>
      <c r="N102" s="132">
        <v>0</v>
      </c>
      <c r="O102" s="132"/>
      <c r="P102" s="132"/>
      <c r="Q102" s="132"/>
      <c r="R102" s="132"/>
      <c r="S102" s="4">
        <f>SUM(MC_2[[#This Row],[ICR1]:[ICR5]])</f>
        <v>3712</v>
      </c>
      <c r="T102" s="132"/>
      <c r="U102" s="132"/>
      <c r="V102" s="132"/>
      <c r="W102" s="132"/>
      <c r="X102" s="132"/>
      <c r="Y102" s="132"/>
      <c r="Z102" s="132"/>
    </row>
    <row r="103" spans="1:26">
      <c r="A103" s="132">
        <v>101</v>
      </c>
      <c r="B103" s="126">
        <f t="shared" si="1"/>
        <v>45789</v>
      </c>
      <c r="C103" s="127">
        <f>YEAR(MC_2[[#This Row],[Date]])+IF(MONTH(MC_2[[#This Row],[Date]])&gt;=4,1,0)</f>
        <v>2026</v>
      </c>
      <c r="D103" s="128">
        <f>YEAR(MC_2[[#This Row],[Date]])</f>
        <v>2025</v>
      </c>
      <c r="E103" s="125" t="s">
        <v>157</v>
      </c>
      <c r="F103" s="125" t="s">
        <v>157</v>
      </c>
      <c r="G103" s="129" t="str">
        <f>TEXT(MC_2[[#This Row],[Date]],"mmm-yy")</f>
        <v>May-25</v>
      </c>
      <c r="H103" s="129">
        <f>DAY(EOMONTH(MC_2[[#This Row],[Month Year]],0))</f>
        <v>31</v>
      </c>
      <c r="I103" s="132"/>
      <c r="J103" s="132"/>
      <c r="K103" s="132">
        <v>0</v>
      </c>
      <c r="L103" s="132">
        <v>0</v>
      </c>
      <c r="M103" s="132">
        <v>0</v>
      </c>
      <c r="N103" s="132">
        <v>0</v>
      </c>
      <c r="O103" s="132"/>
      <c r="P103" s="132"/>
      <c r="Q103" s="132"/>
      <c r="R103" s="132"/>
      <c r="S103" s="4">
        <f>SUM(MC_2[[#This Row],[ICR1]:[ICR5]])</f>
        <v>0</v>
      </c>
      <c r="T103" s="132"/>
      <c r="U103" s="132"/>
      <c r="V103" s="132"/>
      <c r="W103" s="132"/>
      <c r="X103" s="132"/>
      <c r="Y103" s="132"/>
      <c r="Z103" s="132"/>
    </row>
    <row r="104" spans="1:26">
      <c r="A104" s="132">
        <v>102</v>
      </c>
      <c r="B104" s="126">
        <f t="shared" si="1"/>
        <v>45790</v>
      </c>
      <c r="C104" s="127">
        <f>YEAR(MC_2[[#This Row],[Date]])+IF(MONTH(MC_2[[#This Row],[Date]])&gt;=4,1,0)</f>
        <v>2026</v>
      </c>
      <c r="D104" s="128">
        <f>YEAR(MC_2[[#This Row],[Date]])</f>
        <v>2025</v>
      </c>
      <c r="E104" s="125" t="s">
        <v>157</v>
      </c>
      <c r="F104" s="125" t="s">
        <v>157</v>
      </c>
      <c r="G104" s="129" t="str">
        <f>TEXT(MC_2[[#This Row],[Date]],"mmm-yy")</f>
        <v>May-25</v>
      </c>
      <c r="H104" s="129">
        <f>DAY(EOMONTH(MC_2[[#This Row],[Month Year]],0))</f>
        <v>31</v>
      </c>
      <c r="I104" s="132"/>
      <c r="J104" s="132"/>
      <c r="K104" s="132">
        <v>0</v>
      </c>
      <c r="L104" s="132">
        <v>0</v>
      </c>
      <c r="M104" s="132">
        <v>0</v>
      </c>
      <c r="N104" s="132">
        <v>0</v>
      </c>
      <c r="O104" s="132"/>
      <c r="P104" s="132"/>
      <c r="Q104" s="132"/>
      <c r="R104" s="132"/>
      <c r="S104" s="4">
        <f>SUM(MC_2[[#This Row],[ICR1]:[ICR5]])</f>
        <v>0</v>
      </c>
      <c r="T104" s="132"/>
      <c r="U104" s="132"/>
      <c r="V104" s="132"/>
      <c r="W104" s="132"/>
      <c r="X104" s="132"/>
      <c r="Y104" s="132"/>
      <c r="Z104" s="132"/>
    </row>
    <row r="105" spans="1:26">
      <c r="A105" s="132">
        <v>103</v>
      </c>
      <c r="B105" s="126">
        <f t="shared" si="1"/>
        <v>45791</v>
      </c>
      <c r="C105" s="127">
        <f>YEAR(MC_2[[#This Row],[Date]])+IF(MONTH(MC_2[[#This Row],[Date]])&gt;=4,1,0)</f>
        <v>2026</v>
      </c>
      <c r="D105" s="128">
        <f>YEAR(MC_2[[#This Row],[Date]])</f>
        <v>2025</v>
      </c>
      <c r="E105" s="125" t="s">
        <v>157</v>
      </c>
      <c r="F105" s="125" t="s">
        <v>157</v>
      </c>
      <c r="G105" s="129" t="str">
        <f>TEXT(MC_2[[#This Row],[Date]],"mmm-yy")</f>
        <v>May-25</v>
      </c>
      <c r="H105" s="129">
        <f>DAY(EOMONTH(MC_2[[#This Row],[Month Year]],0))</f>
        <v>31</v>
      </c>
      <c r="I105" s="132"/>
      <c r="J105" s="132"/>
      <c r="K105" s="132">
        <v>0</v>
      </c>
      <c r="L105" s="132">
        <v>0</v>
      </c>
      <c r="M105" s="132">
        <v>0</v>
      </c>
      <c r="N105" s="132">
        <v>0</v>
      </c>
      <c r="O105" s="132"/>
      <c r="P105" s="132"/>
      <c r="Q105" s="132"/>
      <c r="R105" s="132"/>
      <c r="S105" s="4">
        <f>SUM(MC_2[[#This Row],[ICR1]:[ICR5]])</f>
        <v>0</v>
      </c>
      <c r="T105" s="132"/>
      <c r="U105" s="132"/>
      <c r="V105" s="133"/>
      <c r="W105" s="133"/>
      <c r="X105" s="132"/>
      <c r="Y105" s="132"/>
      <c r="Z105" s="132"/>
    </row>
    <row r="106" spans="1:26">
      <c r="A106" s="132">
        <v>104</v>
      </c>
      <c r="B106" s="126">
        <f t="shared" si="1"/>
        <v>45792</v>
      </c>
      <c r="C106" s="127">
        <f>YEAR(MC_2[[#This Row],[Date]])+IF(MONTH(MC_2[[#This Row],[Date]])&gt;=4,1,0)</f>
        <v>2026</v>
      </c>
      <c r="D106" s="128">
        <f>YEAR(MC_2[[#This Row],[Date]])</f>
        <v>2025</v>
      </c>
      <c r="E106" s="125" t="s">
        <v>157</v>
      </c>
      <c r="F106" s="125" t="s">
        <v>157</v>
      </c>
      <c r="G106" s="129" t="str">
        <f>TEXT(MC_2[[#This Row],[Date]],"mmm-yy")</f>
        <v>May-25</v>
      </c>
      <c r="H106" s="129">
        <f>DAY(EOMONTH(MC_2[[#This Row],[Month Year]],0))</f>
        <v>31</v>
      </c>
      <c r="I106" s="132"/>
      <c r="J106" s="132"/>
      <c r="K106" s="132">
        <v>0</v>
      </c>
      <c r="L106" s="132">
        <v>0</v>
      </c>
      <c r="M106" s="132">
        <v>0</v>
      </c>
      <c r="N106" s="132">
        <v>0</v>
      </c>
      <c r="O106" s="132"/>
      <c r="P106" s="132"/>
      <c r="Q106" s="132"/>
      <c r="R106" s="132"/>
      <c r="S106" s="4">
        <f>SUM(MC_2[[#This Row],[ICR1]:[ICR5]])</f>
        <v>0</v>
      </c>
      <c r="T106" s="133"/>
      <c r="U106" s="133"/>
      <c r="V106" s="133"/>
      <c r="W106" s="133"/>
      <c r="X106" s="132"/>
      <c r="Y106" s="132"/>
      <c r="Z106" s="132"/>
    </row>
    <row r="107" spans="1:26">
      <c r="A107" s="132">
        <v>105</v>
      </c>
      <c r="B107" s="126">
        <f t="shared" si="1"/>
        <v>45793</v>
      </c>
      <c r="C107" s="127">
        <f>YEAR(MC_2[[#This Row],[Date]])+IF(MONTH(MC_2[[#This Row],[Date]])&gt;=4,1,0)</f>
        <v>2026</v>
      </c>
      <c r="D107" s="128">
        <f>YEAR(MC_2[[#This Row],[Date]])</f>
        <v>2025</v>
      </c>
      <c r="E107" s="125" t="s">
        <v>157</v>
      </c>
      <c r="F107" s="125" t="s">
        <v>157</v>
      </c>
      <c r="G107" s="129" t="str">
        <f>TEXT(MC_2[[#This Row],[Date]],"mmm-yy")</f>
        <v>May-25</v>
      </c>
      <c r="H107" s="129">
        <f>DAY(EOMONTH(MC_2[[#This Row],[Month Year]],0))</f>
        <v>31</v>
      </c>
      <c r="I107" s="132"/>
      <c r="J107" s="132"/>
      <c r="K107" s="132">
        <v>0</v>
      </c>
      <c r="L107" s="132">
        <v>0</v>
      </c>
      <c r="M107" s="132">
        <v>0</v>
      </c>
      <c r="N107" s="132">
        <v>0</v>
      </c>
      <c r="O107" s="132"/>
      <c r="P107" s="132"/>
      <c r="Q107" s="132"/>
      <c r="R107" s="132"/>
      <c r="S107" s="4">
        <f>SUM(MC_2[[#This Row],[ICR1]:[ICR5]])</f>
        <v>0</v>
      </c>
      <c r="T107" s="133"/>
      <c r="U107" s="133"/>
      <c r="V107" s="132"/>
      <c r="W107" s="132"/>
      <c r="X107" s="132"/>
      <c r="Y107" s="132"/>
      <c r="Z107" s="132"/>
    </row>
    <row r="108" spans="1:26">
      <c r="A108" s="132">
        <v>106</v>
      </c>
      <c r="B108" s="126">
        <f t="shared" si="1"/>
        <v>45794</v>
      </c>
      <c r="C108" s="127">
        <f>YEAR(MC_2[[#This Row],[Date]])+IF(MONTH(MC_2[[#This Row],[Date]])&gt;=4,1,0)</f>
        <v>2026</v>
      </c>
      <c r="D108" s="128">
        <f>YEAR(MC_2[[#This Row],[Date]])</f>
        <v>2025</v>
      </c>
      <c r="E108" s="125" t="s">
        <v>157</v>
      </c>
      <c r="F108" s="125" t="s">
        <v>157</v>
      </c>
      <c r="G108" s="129" t="str">
        <f>TEXT(MC_2[[#This Row],[Date]],"mmm-yy")</f>
        <v>May-25</v>
      </c>
      <c r="H108" s="129">
        <f>DAY(EOMONTH(MC_2[[#This Row],[Month Year]],0))</f>
        <v>31</v>
      </c>
      <c r="I108" s="132"/>
      <c r="J108" s="132"/>
      <c r="K108" s="132">
        <v>0</v>
      </c>
      <c r="L108" s="132">
        <v>0</v>
      </c>
      <c r="M108" s="132">
        <v>0</v>
      </c>
      <c r="N108" s="132">
        <v>0</v>
      </c>
      <c r="O108" s="132"/>
      <c r="P108" s="132"/>
      <c r="Q108" s="132"/>
      <c r="R108" s="132"/>
      <c r="S108" s="4">
        <f>SUM(MC_2[[#This Row],[ICR1]:[ICR5]])</f>
        <v>0</v>
      </c>
      <c r="T108" s="132"/>
      <c r="U108" s="132"/>
      <c r="V108" s="132"/>
      <c r="W108" s="132"/>
      <c r="X108" s="132"/>
      <c r="Y108" s="132"/>
      <c r="Z108" s="132"/>
    </row>
    <row r="109" spans="1:26">
      <c r="A109" s="132">
        <v>107</v>
      </c>
      <c r="B109" s="126">
        <f t="shared" si="1"/>
        <v>45795</v>
      </c>
      <c r="C109" s="127">
        <f>YEAR(MC_2[[#This Row],[Date]])+IF(MONTH(MC_2[[#This Row],[Date]])&gt;=4,1,0)</f>
        <v>2026</v>
      </c>
      <c r="D109" s="128">
        <f>YEAR(MC_2[[#This Row],[Date]])</f>
        <v>2025</v>
      </c>
      <c r="E109" s="125" t="s">
        <v>157</v>
      </c>
      <c r="F109" s="125" t="s">
        <v>157</v>
      </c>
      <c r="G109" s="129" t="str">
        <f>TEXT(MC_2[[#This Row],[Date]],"mmm-yy")</f>
        <v>May-25</v>
      </c>
      <c r="H109" s="129">
        <f>DAY(EOMONTH(MC_2[[#This Row],[Month Year]],0))</f>
        <v>31</v>
      </c>
      <c r="I109" s="132"/>
      <c r="J109" s="132"/>
      <c r="K109" s="132">
        <v>0</v>
      </c>
      <c r="L109" s="132">
        <v>0</v>
      </c>
      <c r="M109" s="132">
        <v>0</v>
      </c>
      <c r="N109" s="132">
        <v>0</v>
      </c>
      <c r="O109" s="132"/>
      <c r="P109" s="132"/>
      <c r="Q109" s="132"/>
      <c r="R109" s="132"/>
      <c r="S109" s="4">
        <f>SUM(MC_2[[#This Row],[ICR1]:[ICR5]])</f>
        <v>0</v>
      </c>
      <c r="T109" s="132"/>
      <c r="U109" s="132"/>
      <c r="V109" s="132"/>
      <c r="W109" s="132"/>
      <c r="X109" s="132"/>
      <c r="Y109" s="132"/>
      <c r="Z109" s="132"/>
    </row>
    <row r="110" spans="1:26">
      <c r="A110" s="132">
        <v>108</v>
      </c>
      <c r="B110" s="126">
        <f t="shared" si="1"/>
        <v>45796</v>
      </c>
      <c r="C110" s="127">
        <f>YEAR(MC_2[[#This Row],[Date]])+IF(MONTH(MC_2[[#This Row],[Date]])&gt;=4,1,0)</f>
        <v>2026</v>
      </c>
      <c r="D110" s="128">
        <f>YEAR(MC_2[[#This Row],[Date]])</f>
        <v>2025</v>
      </c>
      <c r="E110" s="125" t="s">
        <v>157</v>
      </c>
      <c r="F110" s="125" t="s">
        <v>157</v>
      </c>
      <c r="G110" s="129" t="str">
        <f>TEXT(MC_2[[#This Row],[Date]],"mmm-yy")</f>
        <v>May-25</v>
      </c>
      <c r="H110" s="129">
        <f>DAY(EOMONTH(MC_2[[#This Row],[Month Year]],0))</f>
        <v>31</v>
      </c>
      <c r="I110" s="132"/>
      <c r="J110" s="132"/>
      <c r="K110" s="132">
        <v>0</v>
      </c>
      <c r="L110" s="132">
        <v>0</v>
      </c>
      <c r="M110" s="132">
        <v>0</v>
      </c>
      <c r="N110" s="132">
        <v>0</v>
      </c>
      <c r="O110" s="132"/>
      <c r="P110" s="132"/>
      <c r="Q110" s="132"/>
      <c r="R110" s="132"/>
      <c r="S110" s="4">
        <f>SUM(MC_2[[#This Row],[ICR1]:[ICR5]])</f>
        <v>0</v>
      </c>
      <c r="T110" s="132"/>
      <c r="U110" s="132"/>
      <c r="V110" s="133"/>
      <c r="W110" s="133"/>
      <c r="X110" s="132"/>
      <c r="Y110" s="132"/>
      <c r="Z110" s="132"/>
    </row>
    <row r="111" spans="1:26">
      <c r="A111" s="132">
        <v>109</v>
      </c>
      <c r="B111" s="126">
        <f t="shared" si="1"/>
        <v>45797</v>
      </c>
      <c r="C111" s="127">
        <f>YEAR(MC_2[[#This Row],[Date]])+IF(MONTH(MC_2[[#This Row],[Date]])&gt;=4,1,0)</f>
        <v>2026</v>
      </c>
      <c r="D111" s="128">
        <f>YEAR(MC_2[[#This Row],[Date]])</f>
        <v>2025</v>
      </c>
      <c r="E111" s="125" t="s">
        <v>157</v>
      </c>
      <c r="F111" s="125" t="s">
        <v>157</v>
      </c>
      <c r="G111" s="129" t="str">
        <f>TEXT(MC_2[[#This Row],[Date]],"mmm-yy")</f>
        <v>May-25</v>
      </c>
      <c r="H111" s="129">
        <f>DAY(EOMONTH(MC_2[[#This Row],[Month Year]],0))</f>
        <v>31</v>
      </c>
      <c r="I111" s="132"/>
      <c r="J111" s="132"/>
      <c r="K111" s="132">
        <v>0</v>
      </c>
      <c r="L111" s="132">
        <v>0</v>
      </c>
      <c r="M111" s="132">
        <v>0</v>
      </c>
      <c r="N111" s="132">
        <v>0</v>
      </c>
      <c r="O111" s="132"/>
      <c r="P111" s="132"/>
      <c r="Q111" s="132"/>
      <c r="R111" s="132"/>
      <c r="S111" s="4">
        <f>SUM(MC_2[[#This Row],[ICR1]:[ICR5]])</f>
        <v>0</v>
      </c>
      <c r="T111" s="133"/>
      <c r="U111" s="133"/>
      <c r="V111" s="133"/>
      <c r="W111" s="133"/>
      <c r="X111" s="132"/>
      <c r="Y111" s="132"/>
      <c r="Z111" s="132"/>
    </row>
    <row r="112" spans="1:26">
      <c r="A112" s="132">
        <v>110</v>
      </c>
      <c r="B112" s="126">
        <f t="shared" si="1"/>
        <v>45798</v>
      </c>
      <c r="C112" s="127">
        <f>YEAR(MC_2[[#This Row],[Date]])+IF(MONTH(MC_2[[#This Row],[Date]])&gt;=4,1,0)</f>
        <v>2026</v>
      </c>
      <c r="D112" s="128">
        <f>YEAR(MC_2[[#This Row],[Date]])</f>
        <v>2025</v>
      </c>
      <c r="E112" s="125" t="s">
        <v>157</v>
      </c>
      <c r="F112" s="125" t="s">
        <v>157</v>
      </c>
      <c r="G112" s="129" t="str">
        <f>TEXT(MC_2[[#This Row],[Date]],"mmm-yy")</f>
        <v>May-25</v>
      </c>
      <c r="H112" s="129">
        <f>DAY(EOMONTH(MC_2[[#This Row],[Month Year]],0))</f>
        <v>31</v>
      </c>
      <c r="I112" s="132"/>
      <c r="J112" s="132"/>
      <c r="K112" s="132">
        <v>0</v>
      </c>
      <c r="L112" s="132">
        <v>0</v>
      </c>
      <c r="M112" s="132">
        <v>0</v>
      </c>
      <c r="N112" s="132">
        <v>0</v>
      </c>
      <c r="O112" s="132"/>
      <c r="P112" s="132"/>
      <c r="Q112" s="132"/>
      <c r="R112" s="132"/>
      <c r="S112" s="4">
        <f>SUM(MC_2[[#This Row],[ICR1]:[ICR5]])</f>
        <v>0</v>
      </c>
      <c r="T112" s="133"/>
      <c r="U112" s="133"/>
      <c r="V112" s="133"/>
      <c r="W112" s="133"/>
      <c r="X112" s="132"/>
      <c r="Y112" s="132"/>
      <c r="Z112" s="132"/>
    </row>
    <row r="113" spans="1:26">
      <c r="A113" s="132">
        <v>111</v>
      </c>
      <c r="B113" s="126">
        <f t="shared" si="1"/>
        <v>45799</v>
      </c>
      <c r="C113" s="127">
        <f>YEAR(MC_2[[#This Row],[Date]])+IF(MONTH(MC_2[[#This Row],[Date]])&gt;=4,1,0)</f>
        <v>2026</v>
      </c>
      <c r="D113" s="128">
        <f>YEAR(MC_2[[#This Row],[Date]])</f>
        <v>2025</v>
      </c>
      <c r="E113" s="125" t="s">
        <v>157</v>
      </c>
      <c r="F113" s="125" t="s">
        <v>157</v>
      </c>
      <c r="G113" s="129" t="str">
        <f>TEXT(MC_2[[#This Row],[Date]],"mmm-yy")</f>
        <v>May-25</v>
      </c>
      <c r="H113" s="129">
        <f>DAY(EOMONTH(MC_2[[#This Row],[Month Year]],0))</f>
        <v>31</v>
      </c>
      <c r="I113" s="132"/>
      <c r="J113" s="132"/>
      <c r="K113" s="132">
        <v>0</v>
      </c>
      <c r="L113" s="132">
        <v>0</v>
      </c>
      <c r="M113" s="132">
        <v>0</v>
      </c>
      <c r="N113" s="132">
        <v>0</v>
      </c>
      <c r="O113" s="132"/>
      <c r="P113" s="132"/>
      <c r="Q113" s="132"/>
      <c r="R113" s="132"/>
      <c r="S113" s="4">
        <f>SUM(MC_2[[#This Row],[ICR1]:[ICR5]])</f>
        <v>0</v>
      </c>
      <c r="T113" s="132"/>
      <c r="U113" s="132"/>
      <c r="V113" s="133"/>
      <c r="W113" s="133"/>
      <c r="X113" s="132"/>
      <c r="Y113" s="132"/>
      <c r="Z113" s="132"/>
    </row>
    <row r="114" spans="1:26">
      <c r="A114" s="132">
        <v>112</v>
      </c>
      <c r="B114" s="126">
        <f t="shared" si="1"/>
        <v>45800</v>
      </c>
      <c r="C114" s="127">
        <f>YEAR(MC_2[[#This Row],[Date]])+IF(MONTH(MC_2[[#This Row],[Date]])&gt;=4,1,0)</f>
        <v>2026</v>
      </c>
      <c r="D114" s="128">
        <f>YEAR(MC_2[[#This Row],[Date]])</f>
        <v>2025</v>
      </c>
      <c r="E114" s="125" t="s">
        <v>157</v>
      </c>
      <c r="F114" s="125" t="s">
        <v>157</v>
      </c>
      <c r="G114" s="129" t="str">
        <f>TEXT(MC_2[[#This Row],[Date]],"mmm-yy")</f>
        <v>May-25</v>
      </c>
      <c r="H114" s="129">
        <f>DAY(EOMONTH(MC_2[[#This Row],[Month Year]],0))</f>
        <v>31</v>
      </c>
      <c r="I114" s="132"/>
      <c r="J114" s="132"/>
      <c r="K114" s="132">
        <v>0</v>
      </c>
      <c r="L114" s="132">
        <v>0</v>
      </c>
      <c r="M114" s="132">
        <v>0</v>
      </c>
      <c r="N114" s="132">
        <v>0</v>
      </c>
      <c r="O114" s="132"/>
      <c r="P114" s="132"/>
      <c r="Q114" s="132"/>
      <c r="R114" s="132"/>
      <c r="S114" s="4">
        <f>SUM(MC_2[[#This Row],[ICR1]:[ICR5]])</f>
        <v>0</v>
      </c>
      <c r="T114" s="133"/>
      <c r="U114" s="133"/>
      <c r="V114" s="133"/>
      <c r="W114" s="133"/>
      <c r="X114" s="132"/>
      <c r="Y114" s="132"/>
      <c r="Z114" s="132"/>
    </row>
    <row r="115" spans="1:26">
      <c r="A115" s="132">
        <v>113</v>
      </c>
      <c r="B115" s="126">
        <f t="shared" si="1"/>
        <v>45801</v>
      </c>
      <c r="C115" s="127">
        <f>YEAR(MC_2[[#This Row],[Date]])+IF(MONTH(MC_2[[#This Row],[Date]])&gt;=4,1,0)</f>
        <v>2026</v>
      </c>
      <c r="D115" s="128">
        <f>YEAR(MC_2[[#This Row],[Date]])</f>
        <v>2025</v>
      </c>
      <c r="E115" s="125" t="s">
        <v>157</v>
      </c>
      <c r="F115" s="125" t="s">
        <v>157</v>
      </c>
      <c r="G115" s="129" t="str">
        <f>TEXT(MC_2[[#This Row],[Date]],"mmm-yy")</f>
        <v>May-25</v>
      </c>
      <c r="H115" s="129">
        <f>DAY(EOMONTH(MC_2[[#This Row],[Month Year]],0))</f>
        <v>31</v>
      </c>
      <c r="I115" s="132"/>
      <c r="J115" s="132"/>
      <c r="K115" s="132">
        <v>0</v>
      </c>
      <c r="L115" s="132">
        <v>0</v>
      </c>
      <c r="M115" s="132">
        <v>0</v>
      </c>
      <c r="N115" s="132">
        <v>0</v>
      </c>
      <c r="O115" s="132"/>
      <c r="P115" s="132"/>
      <c r="Q115" s="132"/>
      <c r="R115" s="132"/>
      <c r="S115" s="4">
        <f>SUM(MC_2[[#This Row],[ICR1]:[ICR5]])</f>
        <v>0</v>
      </c>
      <c r="T115" s="133"/>
      <c r="U115" s="133"/>
      <c r="V115" s="133"/>
      <c r="W115" s="133"/>
      <c r="X115" s="132"/>
      <c r="Y115" s="132"/>
      <c r="Z115" s="132"/>
    </row>
    <row r="116" spans="1:26">
      <c r="A116" s="132">
        <v>114</v>
      </c>
      <c r="B116" s="126">
        <f t="shared" si="1"/>
        <v>45802</v>
      </c>
      <c r="C116" s="127">
        <f>YEAR(MC_2[[#This Row],[Date]])+IF(MONTH(MC_2[[#This Row],[Date]])&gt;=4,1,0)</f>
        <v>2026</v>
      </c>
      <c r="D116" s="128">
        <f>YEAR(MC_2[[#This Row],[Date]])</f>
        <v>2025</v>
      </c>
      <c r="E116" s="125" t="s">
        <v>157</v>
      </c>
      <c r="F116" s="125" t="s">
        <v>157</v>
      </c>
      <c r="G116" s="129" t="str">
        <f>TEXT(MC_2[[#This Row],[Date]],"mmm-yy")</f>
        <v>May-25</v>
      </c>
      <c r="H116" s="129">
        <f>DAY(EOMONTH(MC_2[[#This Row],[Month Year]],0))</f>
        <v>31</v>
      </c>
      <c r="I116" s="132"/>
      <c r="J116" s="132"/>
      <c r="K116" s="132">
        <v>0</v>
      </c>
      <c r="L116" s="132">
        <v>0</v>
      </c>
      <c r="M116" s="132">
        <v>0</v>
      </c>
      <c r="N116" s="132">
        <v>0</v>
      </c>
      <c r="O116" s="132"/>
      <c r="P116" s="132"/>
      <c r="Q116" s="132"/>
      <c r="R116" s="132"/>
      <c r="S116" s="4">
        <f>SUM(MC_2[[#This Row],[ICR1]:[ICR5]])</f>
        <v>0</v>
      </c>
      <c r="T116" s="133"/>
      <c r="U116" s="133"/>
      <c r="V116" s="133"/>
      <c r="W116" s="133"/>
      <c r="X116" s="132"/>
      <c r="Y116" s="132"/>
      <c r="Z116" s="132"/>
    </row>
    <row r="117" spans="1:26">
      <c r="A117" s="132">
        <v>115</v>
      </c>
      <c r="B117" s="126">
        <f t="shared" si="1"/>
        <v>45803</v>
      </c>
      <c r="C117" s="127">
        <f>YEAR(MC_2[[#This Row],[Date]])+IF(MONTH(MC_2[[#This Row],[Date]])&gt;=4,1,0)</f>
        <v>2026</v>
      </c>
      <c r="D117" s="128">
        <f>YEAR(MC_2[[#This Row],[Date]])</f>
        <v>2025</v>
      </c>
      <c r="E117" s="125" t="s">
        <v>157</v>
      </c>
      <c r="F117" s="125" t="s">
        <v>157</v>
      </c>
      <c r="G117" s="129" t="str">
        <f>TEXT(MC_2[[#This Row],[Date]],"mmm-yy")</f>
        <v>May-25</v>
      </c>
      <c r="H117" s="129">
        <f>DAY(EOMONTH(MC_2[[#This Row],[Month Year]],0))</f>
        <v>31</v>
      </c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4">
        <f>SUM(MC_2[[#This Row],[ICR1]:[ICR5]])</f>
        <v>0</v>
      </c>
      <c r="T117" s="133"/>
      <c r="U117" s="133"/>
      <c r="V117" s="132"/>
      <c r="W117" s="132"/>
      <c r="X117" s="132"/>
      <c r="Y117" s="132"/>
      <c r="Z117" s="132"/>
    </row>
    <row r="118" spans="1:26">
      <c r="A118" s="132">
        <v>116</v>
      </c>
      <c r="B118" s="126">
        <f t="shared" si="1"/>
        <v>45804</v>
      </c>
      <c r="C118" s="127">
        <f>YEAR(MC_2[[#This Row],[Date]])+IF(MONTH(MC_2[[#This Row],[Date]])&gt;=4,1,0)</f>
        <v>2026</v>
      </c>
      <c r="D118" s="128">
        <f>YEAR(MC_2[[#This Row],[Date]])</f>
        <v>2025</v>
      </c>
      <c r="E118" s="125" t="s">
        <v>157</v>
      </c>
      <c r="F118" s="125" t="s">
        <v>157</v>
      </c>
      <c r="G118" s="129" t="str">
        <f>TEXT(MC_2[[#This Row],[Date]],"mmm-yy")</f>
        <v>May-25</v>
      </c>
      <c r="H118" s="129">
        <f>DAY(EOMONTH(MC_2[[#This Row],[Month Year]],0))</f>
        <v>31</v>
      </c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4">
        <f>SUM(MC_2[[#This Row],[ICR1]:[ICR5]])</f>
        <v>0</v>
      </c>
      <c r="T118" s="132"/>
      <c r="U118" s="132"/>
      <c r="V118" s="132"/>
      <c r="W118" s="132"/>
      <c r="X118" s="132"/>
      <c r="Y118" s="132"/>
      <c r="Z118" s="132"/>
    </row>
    <row r="119" spans="1:26">
      <c r="A119" s="132">
        <v>117</v>
      </c>
      <c r="B119" s="126">
        <f t="shared" si="1"/>
        <v>45805</v>
      </c>
      <c r="C119" s="127">
        <f>YEAR(MC_2[[#This Row],[Date]])+IF(MONTH(MC_2[[#This Row],[Date]])&gt;=4,1,0)</f>
        <v>2026</v>
      </c>
      <c r="D119" s="128">
        <f>YEAR(MC_2[[#This Row],[Date]])</f>
        <v>2025</v>
      </c>
      <c r="E119" s="125" t="s">
        <v>157</v>
      </c>
      <c r="F119" s="125" t="s">
        <v>157</v>
      </c>
      <c r="G119" s="129" t="str">
        <f>TEXT(MC_2[[#This Row],[Date]],"mmm-yy")</f>
        <v>May-25</v>
      </c>
      <c r="H119" s="129">
        <f>DAY(EOMONTH(MC_2[[#This Row],[Month Year]],0))</f>
        <v>31</v>
      </c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4">
        <f>SUM(MC_2[[#This Row],[ICR1]:[ICR5]])</f>
        <v>0</v>
      </c>
      <c r="T119" s="132"/>
      <c r="U119" s="132"/>
      <c r="V119" s="132"/>
      <c r="W119" s="132"/>
      <c r="X119" s="132"/>
      <c r="Y119" s="132"/>
      <c r="Z119" s="132"/>
    </row>
    <row r="120" spans="1:26">
      <c r="A120" s="132">
        <v>118</v>
      </c>
      <c r="B120" s="126">
        <f t="shared" si="1"/>
        <v>45806</v>
      </c>
      <c r="C120" s="127">
        <f>YEAR(MC_2[[#This Row],[Date]])+IF(MONTH(MC_2[[#This Row],[Date]])&gt;=4,1,0)</f>
        <v>2026</v>
      </c>
      <c r="D120" s="128">
        <f>YEAR(MC_2[[#This Row],[Date]])</f>
        <v>2025</v>
      </c>
      <c r="E120" s="125" t="s">
        <v>157</v>
      </c>
      <c r="F120" s="125" t="s">
        <v>157</v>
      </c>
      <c r="G120" s="129" t="str">
        <f>TEXT(MC_2[[#This Row],[Date]],"mmm-yy")</f>
        <v>May-25</v>
      </c>
      <c r="H120" s="129">
        <f>DAY(EOMONTH(MC_2[[#This Row],[Month Year]],0))</f>
        <v>31</v>
      </c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4">
        <f>SUM(MC_2[[#This Row],[ICR1]:[ICR5]])</f>
        <v>0</v>
      </c>
      <c r="T120" s="132"/>
      <c r="U120" s="132"/>
      <c r="V120" s="132"/>
      <c r="W120" s="132"/>
      <c r="X120" s="132"/>
      <c r="Y120" s="132"/>
      <c r="Z120" s="132"/>
    </row>
    <row r="121" spans="1:26">
      <c r="A121" s="132">
        <v>119</v>
      </c>
      <c r="B121" s="126">
        <f t="shared" si="1"/>
        <v>45807</v>
      </c>
      <c r="C121" s="127">
        <f>YEAR(MC_2[[#This Row],[Date]])+IF(MONTH(MC_2[[#This Row],[Date]])&gt;=4,1,0)</f>
        <v>2026</v>
      </c>
      <c r="D121" s="128">
        <f>YEAR(MC_2[[#This Row],[Date]])</f>
        <v>2025</v>
      </c>
      <c r="E121" s="125" t="s">
        <v>157</v>
      </c>
      <c r="F121" s="125" t="s">
        <v>157</v>
      </c>
      <c r="G121" s="129" t="str">
        <f>TEXT(MC_2[[#This Row],[Date]],"mmm-yy")</f>
        <v>May-25</v>
      </c>
      <c r="H121" s="129">
        <f>DAY(EOMONTH(MC_2[[#This Row],[Month Year]],0))</f>
        <v>31</v>
      </c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4">
        <f>SUM(MC_2[[#This Row],[ICR1]:[ICR5]])</f>
        <v>0</v>
      </c>
      <c r="T121" s="132"/>
      <c r="U121" s="132"/>
      <c r="V121" s="132"/>
      <c r="W121" s="132"/>
      <c r="X121" s="132"/>
      <c r="Y121" s="132"/>
      <c r="Z121" s="132"/>
    </row>
    <row r="122" spans="1:26">
      <c r="A122" s="132">
        <v>120</v>
      </c>
      <c r="B122" s="126">
        <f t="shared" si="1"/>
        <v>45808</v>
      </c>
      <c r="C122" s="127">
        <f>YEAR(MC_2[[#This Row],[Date]])+IF(MONTH(MC_2[[#This Row],[Date]])&gt;=4,1,0)</f>
        <v>2026</v>
      </c>
      <c r="D122" s="128">
        <f>YEAR(MC_2[[#This Row],[Date]])</f>
        <v>2025</v>
      </c>
      <c r="E122" s="125" t="s">
        <v>157</v>
      </c>
      <c r="F122" s="125" t="s">
        <v>157</v>
      </c>
      <c r="G122" s="129" t="str">
        <f>TEXT(MC_2[[#This Row],[Date]],"mmm-yy")</f>
        <v>May-25</v>
      </c>
      <c r="H122" s="129">
        <f>DAY(EOMONTH(MC_2[[#This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4">
        <f>SUM(MC_2[[#This Row],[ICR1]:[ICR5]])</f>
        <v>0</v>
      </c>
      <c r="T122" s="132"/>
      <c r="U122" s="132"/>
      <c r="V122" s="132"/>
      <c r="W122" s="132"/>
      <c r="X122" s="132"/>
      <c r="Y122" s="132"/>
      <c r="Z122" s="132"/>
    </row>
    <row r="123" spans="1:26">
      <c r="A123" s="132">
        <v>120</v>
      </c>
      <c r="B123" s="126">
        <f t="shared" si="1"/>
        <v>45809</v>
      </c>
      <c r="C123" s="127">
        <f>YEAR(MC_2[[#This Row],[Date]])+IF(MONTH(MC_2[[#This Row],[Date]])&gt;=4,1,0)</f>
        <v>2026</v>
      </c>
      <c r="D123" s="128">
        <f>YEAR(MC_2[[#This Row],[Date]])</f>
        <v>2025</v>
      </c>
      <c r="E123" s="125" t="s">
        <v>157</v>
      </c>
      <c r="F123" s="125" t="s">
        <v>157</v>
      </c>
      <c r="G123" s="129" t="str">
        <f>TEXT(MC_2[[#This Row],[Date]],"mmm-yy")</f>
        <v>Jun-25</v>
      </c>
      <c r="H123" s="129">
        <f>DAY(EOMONTH(MC_2[[#This Row],[Month Year]],0))</f>
        <v>30</v>
      </c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4">
        <f>SUM(MC_2[[#This Row],[ICR1]:[ICR5]])</f>
        <v>0</v>
      </c>
      <c r="T123" s="132"/>
      <c r="U123" s="132"/>
      <c r="V123" s="132"/>
      <c r="W123" s="132"/>
      <c r="X123" s="132"/>
      <c r="Y123" s="132"/>
      <c r="Z123" s="132"/>
    </row>
    <row r="124" spans="1:26">
      <c r="A124" s="132">
        <v>122</v>
      </c>
      <c r="B124" s="126">
        <f t="shared" si="1"/>
        <v>45810</v>
      </c>
      <c r="C124" s="127">
        <f>YEAR(MC_2[[#This Row],[Date]])+IF(MONTH(MC_2[[#This Row],[Date]])&gt;=4,1,0)</f>
        <v>2026</v>
      </c>
      <c r="D124" s="128">
        <f>YEAR(MC_2[[#This Row],[Date]])</f>
        <v>2025</v>
      </c>
      <c r="E124" s="125" t="s">
        <v>157</v>
      </c>
      <c r="F124" s="125" t="s">
        <v>157</v>
      </c>
      <c r="G124" s="129" t="str">
        <f>TEXT(MC_2[[#This Row],[Date]],"mmm-yy")</f>
        <v>Jun-25</v>
      </c>
      <c r="H124" s="129">
        <f>DAY(EOMONTH(MC_2[[#This Row],[Month Year]],0))</f>
        <v>30</v>
      </c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4">
        <f>SUM(MC_2[[#This Row],[ICR1]:[ICR5]])</f>
        <v>0</v>
      </c>
      <c r="T124" s="132"/>
      <c r="U124" s="132"/>
      <c r="V124" s="132"/>
      <c r="W124" s="132"/>
      <c r="X124" s="132"/>
      <c r="Y124" s="132"/>
      <c r="Z124" s="132"/>
    </row>
    <row r="125" spans="1:26">
      <c r="A125" s="132">
        <v>123</v>
      </c>
      <c r="B125" s="126">
        <f t="shared" si="1"/>
        <v>45811</v>
      </c>
      <c r="C125" s="127">
        <f>YEAR(MC_2[[#This Row],[Date]])+IF(MONTH(MC_2[[#This Row],[Date]])&gt;=4,1,0)</f>
        <v>2026</v>
      </c>
      <c r="D125" s="128">
        <f>YEAR(MC_2[[#This Row],[Date]])</f>
        <v>2025</v>
      </c>
      <c r="E125" s="125" t="s">
        <v>157</v>
      </c>
      <c r="F125" s="125" t="s">
        <v>157</v>
      </c>
      <c r="G125" s="129" t="str">
        <f>TEXT(MC_2[[#This Row],[Date]],"mmm-yy")</f>
        <v>Jun-25</v>
      </c>
      <c r="H125" s="129">
        <f>DAY(EOMONTH(MC_2[[#This Row],[Month Year]],0))</f>
        <v>30</v>
      </c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4">
        <f>SUM(MC_2[[#This Row],[ICR1]:[ICR5]])</f>
        <v>0</v>
      </c>
      <c r="T125" s="132"/>
      <c r="U125" s="132"/>
      <c r="V125" s="132"/>
      <c r="W125" s="132"/>
      <c r="X125" s="132"/>
      <c r="Y125" s="132"/>
      <c r="Z125" s="132"/>
    </row>
    <row r="126" spans="1:26">
      <c r="A126" s="132">
        <v>124</v>
      </c>
      <c r="B126" s="126">
        <f t="shared" si="1"/>
        <v>45812</v>
      </c>
      <c r="C126" s="127">
        <f>YEAR(MC_2[[#This Row],[Date]])+IF(MONTH(MC_2[[#This Row],[Date]])&gt;=4,1,0)</f>
        <v>2026</v>
      </c>
      <c r="D126" s="128">
        <f>YEAR(MC_2[[#This Row],[Date]])</f>
        <v>2025</v>
      </c>
      <c r="E126" s="125" t="s">
        <v>157</v>
      </c>
      <c r="F126" s="125" t="s">
        <v>157</v>
      </c>
      <c r="G126" s="129" t="str">
        <f>TEXT(MC_2[[#This Row],[Date]],"mmm-yy")</f>
        <v>Jun-25</v>
      </c>
      <c r="H126" s="129">
        <f>DAY(EOMONTH(MC_2[[#This Row],[Month Year]],0))</f>
        <v>30</v>
      </c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4">
        <f>SUM(MC_2[[#This Row],[ICR1]:[ICR5]])</f>
        <v>0</v>
      </c>
      <c r="T126" s="132"/>
      <c r="U126" s="132"/>
      <c r="V126" s="132"/>
      <c r="W126" s="132"/>
      <c r="X126" s="132"/>
      <c r="Y126" s="132"/>
      <c r="Z126" s="132"/>
    </row>
    <row r="127" spans="1:26">
      <c r="A127" s="132">
        <v>125</v>
      </c>
      <c r="B127" s="126">
        <f t="shared" si="1"/>
        <v>45813</v>
      </c>
      <c r="C127" s="127">
        <f>YEAR(MC_2[[#This Row],[Date]])+IF(MONTH(MC_2[[#This Row],[Date]])&gt;=4,1,0)</f>
        <v>2026</v>
      </c>
      <c r="D127" s="128">
        <f>YEAR(MC_2[[#This Row],[Date]])</f>
        <v>2025</v>
      </c>
      <c r="E127" s="125" t="s">
        <v>157</v>
      </c>
      <c r="F127" s="125" t="s">
        <v>157</v>
      </c>
      <c r="G127" s="129" t="str">
        <f>TEXT(MC_2[[#This Row],[Date]],"mmm-yy")</f>
        <v>Jun-25</v>
      </c>
      <c r="H127" s="129">
        <f>DAY(EOMONTH(MC_2[[#This Row],[Month Year]],0))</f>
        <v>30</v>
      </c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4">
        <f>SUM(MC_2[[#This Row],[ICR1]:[ICR5]])</f>
        <v>0</v>
      </c>
      <c r="T127" s="132"/>
      <c r="U127" s="132"/>
      <c r="V127" s="132"/>
      <c r="W127" s="132"/>
      <c r="X127" s="132"/>
      <c r="Y127" s="132"/>
      <c r="Z127" s="132"/>
    </row>
    <row r="128" spans="1:26">
      <c r="A128" s="132">
        <v>126</v>
      </c>
      <c r="B128" s="126">
        <f t="shared" si="1"/>
        <v>45814</v>
      </c>
      <c r="C128" s="127">
        <f>YEAR(MC_2[[#This Row],[Date]])+IF(MONTH(MC_2[[#This Row],[Date]])&gt;=4,1,0)</f>
        <v>2026</v>
      </c>
      <c r="D128" s="128">
        <f>YEAR(MC_2[[#This Row],[Date]])</f>
        <v>2025</v>
      </c>
      <c r="E128" s="125" t="s">
        <v>157</v>
      </c>
      <c r="F128" s="125" t="s">
        <v>157</v>
      </c>
      <c r="G128" s="129" t="str">
        <f>TEXT(MC_2[[#This Row],[Date]],"mmm-yy")</f>
        <v>Jun-25</v>
      </c>
      <c r="H128" s="129">
        <f>DAY(EOMONTH(MC_2[[#This Row],[Month Year]],0))</f>
        <v>30</v>
      </c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4">
        <f>SUM(MC_2[[#This Row],[ICR1]:[ICR5]])</f>
        <v>0</v>
      </c>
      <c r="T128" s="132"/>
      <c r="U128" s="132"/>
      <c r="V128" s="132"/>
      <c r="W128" s="132"/>
      <c r="X128" s="132"/>
      <c r="Y128" s="132"/>
      <c r="Z128" s="132"/>
    </row>
    <row r="129" spans="1:26">
      <c r="A129" s="132">
        <v>127</v>
      </c>
      <c r="B129" s="126">
        <f t="shared" si="1"/>
        <v>45815</v>
      </c>
      <c r="C129" s="127">
        <f>YEAR(MC_2[[#This Row],[Date]])+IF(MONTH(MC_2[[#This Row],[Date]])&gt;=4,1,0)</f>
        <v>2026</v>
      </c>
      <c r="D129" s="128">
        <f>YEAR(MC_2[[#This Row],[Date]])</f>
        <v>2025</v>
      </c>
      <c r="E129" s="125" t="s">
        <v>157</v>
      </c>
      <c r="F129" s="125" t="s">
        <v>157</v>
      </c>
      <c r="G129" s="129" t="str">
        <f>TEXT(MC_2[[#This Row],[Date]],"mmm-yy")</f>
        <v>Jun-25</v>
      </c>
      <c r="H129" s="129">
        <f>DAY(EOMONTH(MC_2[[#This Row],[Month Year]],0))</f>
        <v>30</v>
      </c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4">
        <f>SUM(MC_2[[#This Row],[ICR1]:[ICR5]])</f>
        <v>0</v>
      </c>
      <c r="T129" s="132"/>
      <c r="U129" s="132"/>
      <c r="V129" s="132"/>
      <c r="W129" s="132"/>
      <c r="X129" s="132"/>
      <c r="Y129" s="132"/>
      <c r="Z129" s="132"/>
    </row>
    <row r="130" spans="1:26">
      <c r="A130" s="132">
        <v>127</v>
      </c>
      <c r="B130" s="126">
        <f t="shared" si="1"/>
        <v>45816</v>
      </c>
      <c r="C130" s="127">
        <f>YEAR(MC_2[[#This Row],[Date]])+IF(MONTH(MC_2[[#This Row],[Date]])&gt;=4,1,0)</f>
        <v>2026</v>
      </c>
      <c r="D130" s="128">
        <f>YEAR(MC_2[[#This Row],[Date]])</f>
        <v>2025</v>
      </c>
      <c r="E130" s="125" t="s">
        <v>157</v>
      </c>
      <c r="F130" s="125" t="s">
        <v>157</v>
      </c>
      <c r="G130" s="129" t="str">
        <f>TEXT(MC_2[[#This Row],[Date]],"mmm-yy")</f>
        <v>Jun-25</v>
      </c>
      <c r="H130" s="129">
        <f>DAY(EOMONTH(MC_2[[#This Row],[Month Year]],0))</f>
        <v>30</v>
      </c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4">
        <f>SUM(MC_2[[#This Row],[ICR1]:[ICR5]])</f>
        <v>0</v>
      </c>
      <c r="T130" s="132"/>
      <c r="U130" s="132"/>
      <c r="V130" s="133"/>
      <c r="W130" s="133"/>
      <c r="X130" s="132"/>
      <c r="Y130" s="132"/>
      <c r="Z130" s="132"/>
    </row>
    <row r="131" spans="1:26">
      <c r="A131" s="132">
        <v>127</v>
      </c>
      <c r="B131" s="126">
        <f t="shared" si="1"/>
        <v>45817</v>
      </c>
      <c r="C131" s="127">
        <f>YEAR(MC_2[[#This Row],[Date]])+IF(MONTH(MC_2[[#This Row],[Date]])&gt;=4,1,0)</f>
        <v>2026</v>
      </c>
      <c r="D131" s="128">
        <f>YEAR(MC_2[[#This Row],[Date]])</f>
        <v>2025</v>
      </c>
      <c r="E131" s="125" t="s">
        <v>157</v>
      </c>
      <c r="F131" s="125" t="s">
        <v>157</v>
      </c>
      <c r="G131" s="129" t="str">
        <f>TEXT(MC_2[[#This Row],[Date]],"mmm-yy")</f>
        <v>Jun-25</v>
      </c>
      <c r="H131" s="129">
        <f>DAY(EOMONTH(MC_2[[#This Row],[Month Year]],0))</f>
        <v>30</v>
      </c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4">
        <f>SUM(MC_2[[#This Row],[ICR1]:[ICR5]])</f>
        <v>0</v>
      </c>
      <c r="T131" s="132"/>
      <c r="U131" s="132"/>
      <c r="V131" s="133"/>
      <c r="W131" s="133"/>
      <c r="X131" s="132"/>
      <c r="Y131" s="132"/>
      <c r="Z131" s="132"/>
    </row>
    <row r="132" spans="1:26">
      <c r="A132" s="132">
        <v>127</v>
      </c>
      <c r="B132" s="126">
        <f t="shared" si="1"/>
        <v>45818</v>
      </c>
      <c r="C132" s="127">
        <f>YEAR(MC_2[[#This Row],[Date]])+IF(MONTH(MC_2[[#This Row],[Date]])&gt;=4,1,0)</f>
        <v>2026</v>
      </c>
      <c r="D132" s="128">
        <f>YEAR(MC_2[[#This Row],[Date]])</f>
        <v>2025</v>
      </c>
      <c r="E132" s="125" t="s">
        <v>157</v>
      </c>
      <c r="F132" s="125" t="s">
        <v>157</v>
      </c>
      <c r="G132" s="129" t="str">
        <f>TEXT(MC_2[[#This Row],[Date]],"mmm-yy")</f>
        <v>Jun-25</v>
      </c>
      <c r="H132" s="129">
        <f>DAY(EOMONTH(MC_2[[#This Row],[Month Year]],0))</f>
        <v>30</v>
      </c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4">
        <f>SUM(MC_2[[#This Row],[ICR1]:[ICR5]])</f>
        <v>0</v>
      </c>
      <c r="T132" s="132"/>
      <c r="U132" s="132"/>
      <c r="V132" s="133"/>
      <c r="W132" s="133"/>
      <c r="X132" s="132"/>
      <c r="Y132" s="132"/>
      <c r="Z132" s="132"/>
    </row>
    <row r="133" spans="1:26">
      <c r="A133" s="132">
        <v>127</v>
      </c>
      <c r="B133" s="126">
        <f t="shared" ref="B133:B196" si="2">B132+1</f>
        <v>45819</v>
      </c>
      <c r="C133" s="127">
        <f>YEAR(MC_2[[#This Row],[Date]])+IF(MONTH(MC_2[[#This Row],[Date]])&gt;=4,1,0)</f>
        <v>2026</v>
      </c>
      <c r="D133" s="128">
        <f>YEAR(MC_2[[#This Row],[Date]])</f>
        <v>2025</v>
      </c>
      <c r="E133" s="125" t="s">
        <v>157</v>
      </c>
      <c r="F133" s="125" t="s">
        <v>157</v>
      </c>
      <c r="G133" s="129" t="str">
        <f>TEXT(MC_2[[#This Row],[Date]],"mmm-yy")</f>
        <v>Jun-25</v>
      </c>
      <c r="H133" s="129">
        <f>DAY(EOMONTH(MC_2[[#This Row],[Month Year]],0))</f>
        <v>30</v>
      </c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4">
        <f>SUM(MC_2[[#This Row],[ICR1]:[ICR5]])</f>
        <v>0</v>
      </c>
      <c r="T133" s="132"/>
      <c r="U133" s="132"/>
      <c r="V133" s="133"/>
      <c r="W133" s="133"/>
      <c r="X133" s="132"/>
      <c r="Y133" s="132"/>
      <c r="Z133" s="132"/>
    </row>
    <row r="134" spans="1:26">
      <c r="A134" s="132">
        <v>127</v>
      </c>
      <c r="B134" s="126">
        <f t="shared" si="2"/>
        <v>45820</v>
      </c>
      <c r="C134" s="127">
        <f>YEAR(MC_2[[#This Row],[Date]])+IF(MONTH(MC_2[[#This Row],[Date]])&gt;=4,1,0)</f>
        <v>2026</v>
      </c>
      <c r="D134" s="128">
        <f>YEAR(MC_2[[#This Row],[Date]])</f>
        <v>2025</v>
      </c>
      <c r="E134" s="125" t="s">
        <v>157</v>
      </c>
      <c r="F134" s="125" t="s">
        <v>157</v>
      </c>
      <c r="G134" s="129" t="str">
        <f>TEXT(MC_2[[#This Row],[Date]],"mmm-yy")</f>
        <v>Jun-25</v>
      </c>
      <c r="H134" s="129">
        <f>DAY(EOMONTH(MC_2[[#This Row],[Month Year]],0))</f>
        <v>30</v>
      </c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4">
        <f>SUM(MC_2[[#This Row],[ICR1]:[ICR5]])</f>
        <v>0</v>
      </c>
      <c r="T134" s="132"/>
      <c r="U134" s="132"/>
      <c r="V134" s="133"/>
      <c r="W134" s="133"/>
      <c r="X134" s="132"/>
      <c r="Y134" s="132"/>
      <c r="Z134" s="132"/>
    </row>
    <row r="135" spans="1:26">
      <c r="A135" s="132">
        <v>127</v>
      </c>
      <c r="B135" s="126">
        <f t="shared" si="2"/>
        <v>45821</v>
      </c>
      <c r="C135" s="127">
        <f>YEAR(MC_2[[#This Row],[Date]])+IF(MONTH(MC_2[[#This Row],[Date]])&gt;=4,1,0)</f>
        <v>2026</v>
      </c>
      <c r="D135" s="128">
        <f>YEAR(MC_2[[#This Row],[Date]])</f>
        <v>2025</v>
      </c>
      <c r="E135" s="125" t="s">
        <v>157</v>
      </c>
      <c r="F135" s="125" t="s">
        <v>157</v>
      </c>
      <c r="G135" s="129" t="str">
        <f>TEXT(MC_2[[#This Row],[Date]],"mmm-yy")</f>
        <v>Jun-25</v>
      </c>
      <c r="H135" s="129">
        <f>DAY(EOMONTH(MC_2[[#This Row],[Month Year]],0))</f>
        <v>30</v>
      </c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4">
        <f>SUM(MC_2[[#This Row],[ICR1]:[ICR5]])</f>
        <v>0</v>
      </c>
      <c r="T135" s="133"/>
      <c r="U135" s="133"/>
      <c r="V135" s="133"/>
      <c r="W135" s="133"/>
      <c r="X135" s="132"/>
      <c r="Y135" s="132"/>
      <c r="Z135" s="132"/>
    </row>
    <row r="136" spans="1:26">
      <c r="A136" s="132">
        <v>127</v>
      </c>
      <c r="B136" s="126">
        <f t="shared" si="2"/>
        <v>45822</v>
      </c>
      <c r="C136" s="127">
        <f>YEAR(MC_2[[#This Row],[Date]])+IF(MONTH(MC_2[[#This Row],[Date]])&gt;=4,1,0)</f>
        <v>2026</v>
      </c>
      <c r="D136" s="128">
        <f>YEAR(MC_2[[#This Row],[Date]])</f>
        <v>2025</v>
      </c>
      <c r="E136" s="125" t="s">
        <v>157</v>
      </c>
      <c r="F136" s="125" t="s">
        <v>157</v>
      </c>
      <c r="G136" s="129" t="str">
        <f>TEXT(MC_2[[#This Row],[Date]],"mmm-yy")</f>
        <v>Jun-25</v>
      </c>
      <c r="H136" s="129">
        <f>DAY(EOMONTH(MC_2[[#This Row],[Month Year]],0))</f>
        <v>30</v>
      </c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4">
        <f>SUM(MC_2[[#This Row],[ICR1]:[ICR5]])</f>
        <v>0</v>
      </c>
      <c r="T136" s="133"/>
      <c r="U136" s="133"/>
      <c r="V136" s="133"/>
      <c r="W136" s="133"/>
      <c r="X136" s="132"/>
      <c r="Y136" s="132"/>
      <c r="Z136" s="132"/>
    </row>
    <row r="137" spans="1:26">
      <c r="A137" s="132">
        <v>127</v>
      </c>
      <c r="B137" s="126">
        <f t="shared" si="2"/>
        <v>45823</v>
      </c>
      <c r="C137" s="127">
        <f>YEAR(MC_2[[#This Row],[Date]])+IF(MONTH(MC_2[[#This Row],[Date]])&gt;=4,1,0)</f>
        <v>2026</v>
      </c>
      <c r="D137" s="128">
        <f>YEAR(MC_2[[#This Row],[Date]])</f>
        <v>2025</v>
      </c>
      <c r="E137" s="125" t="s">
        <v>157</v>
      </c>
      <c r="F137" s="125" t="s">
        <v>157</v>
      </c>
      <c r="G137" s="129" t="str">
        <f>TEXT(MC_2[[#This Row],[Date]],"mmm-yy")</f>
        <v>Jun-25</v>
      </c>
      <c r="H137" s="129">
        <f>DAY(EOMONTH(MC_2[[#This Row],[Month Year]],0))</f>
        <v>30</v>
      </c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4">
        <f>SUM(MC_2[[#This Row],[ICR1]:[ICR5]])</f>
        <v>0</v>
      </c>
      <c r="T137" s="133"/>
      <c r="U137" s="133"/>
      <c r="V137" s="133"/>
      <c r="W137" s="133"/>
      <c r="X137" s="132"/>
      <c r="Y137" s="132"/>
      <c r="Z137" s="132"/>
    </row>
    <row r="138" spans="1:26">
      <c r="A138" s="132">
        <v>127</v>
      </c>
      <c r="B138" s="126">
        <f t="shared" si="2"/>
        <v>45824</v>
      </c>
      <c r="C138" s="127">
        <f>YEAR(MC_2[[#This Row],[Date]])+IF(MONTH(MC_2[[#This Row],[Date]])&gt;=4,1,0)</f>
        <v>2026</v>
      </c>
      <c r="D138" s="128">
        <f>YEAR(MC_2[[#This Row],[Date]])</f>
        <v>2025</v>
      </c>
      <c r="E138" s="125" t="s">
        <v>157</v>
      </c>
      <c r="F138" s="125" t="s">
        <v>157</v>
      </c>
      <c r="G138" s="129" t="str">
        <f>TEXT(MC_2[[#This Row],[Date]],"mmm-yy")</f>
        <v>Jun-25</v>
      </c>
      <c r="H138" s="129">
        <f>DAY(EOMONTH(MC_2[[#This Row],[Month Year]],0))</f>
        <v>30</v>
      </c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4">
        <f>SUM(MC_2[[#This Row],[ICR1]:[ICR5]])</f>
        <v>0</v>
      </c>
      <c r="T138" s="133"/>
      <c r="U138" s="133"/>
      <c r="V138" s="133"/>
      <c r="W138" s="133"/>
      <c r="X138" s="132"/>
      <c r="Y138" s="132"/>
      <c r="Z138" s="132"/>
    </row>
    <row r="139" spans="1:26">
      <c r="A139" s="132">
        <v>127</v>
      </c>
      <c r="B139" s="126">
        <f t="shared" si="2"/>
        <v>45825</v>
      </c>
      <c r="C139" s="127">
        <f>YEAR(MC_2[[#This Row],[Date]])+IF(MONTH(MC_2[[#This Row],[Date]])&gt;=4,1,0)</f>
        <v>2026</v>
      </c>
      <c r="D139" s="128">
        <f>YEAR(MC_2[[#This Row],[Date]])</f>
        <v>2025</v>
      </c>
      <c r="E139" s="125" t="s">
        <v>157</v>
      </c>
      <c r="F139" s="125" t="s">
        <v>157</v>
      </c>
      <c r="G139" s="129" t="str">
        <f>TEXT(MC_2[[#This Row],[Date]],"mmm-yy")</f>
        <v>Jun-25</v>
      </c>
      <c r="H139" s="129">
        <f>DAY(EOMONTH(MC_2[[#This Row],[Month Year]],0))</f>
        <v>30</v>
      </c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4">
        <f>SUM(MC_2[[#This Row],[ICR1]:[ICR5]])</f>
        <v>0</v>
      </c>
      <c r="T139" s="133"/>
      <c r="U139" s="133"/>
      <c r="V139" s="133"/>
      <c r="W139" s="133"/>
      <c r="X139" s="132"/>
      <c r="Y139" s="132"/>
      <c r="Z139" s="132"/>
    </row>
    <row r="140" spans="1:26">
      <c r="A140" s="132">
        <v>127</v>
      </c>
      <c r="B140" s="126">
        <f t="shared" si="2"/>
        <v>45826</v>
      </c>
      <c r="C140" s="127">
        <f>YEAR(MC_2[[#This Row],[Date]])+IF(MONTH(MC_2[[#This Row],[Date]])&gt;=4,1,0)</f>
        <v>2026</v>
      </c>
      <c r="D140" s="128">
        <f>YEAR(MC_2[[#This Row],[Date]])</f>
        <v>2025</v>
      </c>
      <c r="E140" s="125" t="s">
        <v>157</v>
      </c>
      <c r="F140" s="125" t="s">
        <v>157</v>
      </c>
      <c r="G140" s="129" t="str">
        <f>TEXT(MC_2[[#This Row],[Date]],"mmm-yy")</f>
        <v>Jun-25</v>
      </c>
      <c r="H140" s="129">
        <f>DAY(EOMONTH(MC_2[[#This Row],[Month Year]],0))</f>
        <v>30</v>
      </c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4">
        <f>SUM(MC_2[[#This Row],[ICR1]:[ICR5]])</f>
        <v>0</v>
      </c>
      <c r="T140" s="133"/>
      <c r="U140" s="133"/>
      <c r="V140" s="133"/>
      <c r="W140" s="133"/>
      <c r="X140" s="132"/>
      <c r="Y140" s="132"/>
      <c r="Z140" s="132"/>
    </row>
    <row r="141" spans="1:26">
      <c r="A141" s="132">
        <v>139</v>
      </c>
      <c r="B141" s="126">
        <f t="shared" si="2"/>
        <v>45827</v>
      </c>
      <c r="C141" s="127">
        <f>YEAR(MC_2[[#This Row],[Date]])+IF(MONTH(MC_2[[#This Row],[Date]])&gt;=4,1,0)</f>
        <v>2026</v>
      </c>
      <c r="D141" s="128">
        <f>YEAR(MC_2[[#This Row],[Date]])</f>
        <v>2025</v>
      </c>
      <c r="E141" s="125" t="s">
        <v>157</v>
      </c>
      <c r="F141" s="125" t="s">
        <v>157</v>
      </c>
      <c r="G141" s="129" t="str">
        <f>TEXT(MC_2[[#This Row],[Date]],"mmm-yy")</f>
        <v>Jun-25</v>
      </c>
      <c r="H141" s="129">
        <f>DAY(EOMONTH(MC_2[[#This Row],[Month Year]],0))</f>
        <v>30</v>
      </c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4">
        <f>SUM(MC_2[[#This Row],[ICR1]:[ICR5]])</f>
        <v>0</v>
      </c>
      <c r="T141" s="133"/>
      <c r="U141" s="132"/>
      <c r="V141" s="133"/>
      <c r="W141" s="133"/>
      <c r="X141" s="132"/>
      <c r="Y141" s="132"/>
      <c r="Z141" s="132"/>
    </row>
    <row r="142" spans="1:26">
      <c r="A142" s="132">
        <v>140</v>
      </c>
      <c r="B142" s="126">
        <f t="shared" si="2"/>
        <v>45828</v>
      </c>
      <c r="C142" s="127">
        <f>YEAR(MC_2[[#This Row],[Date]])+IF(MONTH(MC_2[[#This Row],[Date]])&gt;=4,1,0)</f>
        <v>2026</v>
      </c>
      <c r="D142" s="128">
        <f>YEAR(MC_2[[#This Row],[Date]])</f>
        <v>2025</v>
      </c>
      <c r="E142" s="125" t="s">
        <v>157</v>
      </c>
      <c r="F142" s="125" t="s">
        <v>157</v>
      </c>
      <c r="G142" s="129" t="str">
        <f>TEXT(MC_2[[#This Row],[Date]],"mmm-yy")</f>
        <v>Jun-25</v>
      </c>
      <c r="H142" s="129">
        <f>DAY(EOMONTH(MC_2[[#This Row],[Month Year]],0))</f>
        <v>30</v>
      </c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4">
        <f>SUM(MC_2[[#This Row],[ICR1]:[ICR5]])</f>
        <v>0</v>
      </c>
      <c r="T142" s="133"/>
      <c r="U142" s="132"/>
      <c r="V142" s="132"/>
      <c r="W142" s="133"/>
      <c r="X142" s="132"/>
      <c r="Y142" s="132"/>
      <c r="Z142" s="132"/>
    </row>
    <row r="143" spans="1:26">
      <c r="A143" s="132">
        <v>141</v>
      </c>
      <c r="B143" s="126">
        <f t="shared" si="2"/>
        <v>45829</v>
      </c>
      <c r="C143" s="127">
        <f>YEAR(MC_2[[#This Row],[Date]])+IF(MONTH(MC_2[[#This Row],[Date]])&gt;=4,1,0)</f>
        <v>2026</v>
      </c>
      <c r="D143" s="128">
        <f>YEAR(MC_2[[#This Row],[Date]])</f>
        <v>2025</v>
      </c>
      <c r="E143" s="125" t="s">
        <v>157</v>
      </c>
      <c r="F143" s="125" t="s">
        <v>157</v>
      </c>
      <c r="G143" s="129" t="str">
        <f>TEXT(MC_2[[#This Row],[Date]],"mmm-yy")</f>
        <v>Jun-25</v>
      </c>
      <c r="H143" s="129">
        <f>DAY(EOMONTH(MC_2[[#This Row],[Month Year]],0))</f>
        <v>30</v>
      </c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4">
        <f>SUM(MC_2[[#This Row],[ICR1]:[ICR5]])</f>
        <v>0</v>
      </c>
      <c r="T143" s="133"/>
      <c r="U143" s="132"/>
      <c r="V143" s="132"/>
      <c r="W143" s="133"/>
      <c r="X143" s="132"/>
      <c r="Y143" s="132"/>
      <c r="Z143" s="132"/>
    </row>
    <row r="144" spans="1:26">
      <c r="A144" s="132">
        <v>142</v>
      </c>
      <c r="B144" s="126">
        <f t="shared" si="2"/>
        <v>45830</v>
      </c>
      <c r="C144" s="127">
        <f>YEAR(MC_2[[#This Row],[Date]])+IF(MONTH(MC_2[[#This Row],[Date]])&gt;=4,1,0)</f>
        <v>2026</v>
      </c>
      <c r="D144" s="128">
        <f>YEAR(MC_2[[#This Row],[Date]])</f>
        <v>2025</v>
      </c>
      <c r="E144" s="125" t="s">
        <v>157</v>
      </c>
      <c r="F144" s="125" t="s">
        <v>157</v>
      </c>
      <c r="G144" s="129" t="str">
        <f>TEXT(MC_2[[#This Row],[Date]],"mmm-yy")</f>
        <v>Jun-25</v>
      </c>
      <c r="H144" s="129">
        <f>DAY(EOMONTH(MC_2[[#This Row],[Month Year]],0))</f>
        <v>30</v>
      </c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4">
        <f>SUM(MC_2[[#This Row],[ICR1]:[ICR5]])</f>
        <v>0</v>
      </c>
      <c r="T144" s="133"/>
      <c r="U144" s="132"/>
      <c r="V144" s="133"/>
      <c r="W144" s="133"/>
      <c r="X144" s="132"/>
      <c r="Y144" s="132"/>
      <c r="Z144" s="132"/>
    </row>
    <row r="145" spans="1:26">
      <c r="A145" s="132">
        <v>143</v>
      </c>
      <c r="B145" s="126">
        <f t="shared" si="2"/>
        <v>45831</v>
      </c>
      <c r="C145" s="127">
        <f>YEAR(MC_2[[#This Row],[Date]])+IF(MONTH(MC_2[[#This Row],[Date]])&gt;=4,1,0)</f>
        <v>2026</v>
      </c>
      <c r="D145" s="128">
        <f>YEAR(MC_2[[#This Row],[Date]])</f>
        <v>2025</v>
      </c>
      <c r="E145" s="125" t="s">
        <v>157</v>
      </c>
      <c r="F145" s="125" t="s">
        <v>157</v>
      </c>
      <c r="G145" s="129" t="str">
        <f>TEXT(MC_2[[#This Row],[Date]],"mmm-yy")</f>
        <v>Jun-25</v>
      </c>
      <c r="H145" s="129">
        <f>DAY(EOMONTH(MC_2[[#This Row],[Month Year]],0))</f>
        <v>30</v>
      </c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4">
        <f>SUM(MC_2[[#This Row],[ICR1]:[ICR5]])</f>
        <v>0</v>
      </c>
      <c r="T145" s="133"/>
      <c r="U145" s="132"/>
      <c r="V145" s="133"/>
      <c r="W145" s="133"/>
      <c r="X145" s="132"/>
      <c r="Y145" s="132"/>
      <c r="Z145" s="132"/>
    </row>
    <row r="146" spans="1:26">
      <c r="A146" s="132">
        <v>144</v>
      </c>
      <c r="B146" s="126">
        <f t="shared" si="2"/>
        <v>45832</v>
      </c>
      <c r="C146" s="127">
        <f>YEAR(MC_2[[#This Row],[Date]])+IF(MONTH(MC_2[[#This Row],[Date]])&gt;=4,1,0)</f>
        <v>2026</v>
      </c>
      <c r="D146" s="128">
        <f>YEAR(MC_2[[#This Row],[Date]])</f>
        <v>2025</v>
      </c>
      <c r="E146" s="125" t="s">
        <v>157</v>
      </c>
      <c r="F146" s="125" t="s">
        <v>157</v>
      </c>
      <c r="G146" s="129" t="str">
        <f>TEXT(MC_2[[#This Row],[Date]],"mmm-yy")</f>
        <v>Jun-25</v>
      </c>
      <c r="H146" s="129">
        <f>DAY(EOMONTH(MC_2[[#This Row],[Month Year]],0))</f>
        <v>30</v>
      </c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4">
        <f>SUM(MC_2[[#This Row],[ICR1]:[ICR5]])</f>
        <v>0</v>
      </c>
      <c r="T146" s="132"/>
      <c r="U146" s="132"/>
      <c r="V146" s="133"/>
      <c r="W146" s="133"/>
      <c r="X146" s="133"/>
      <c r="Y146" s="133"/>
      <c r="Z146" s="132"/>
    </row>
    <row r="147" spans="1:26">
      <c r="A147" s="132">
        <v>145</v>
      </c>
      <c r="B147" s="126">
        <f t="shared" si="2"/>
        <v>45833</v>
      </c>
      <c r="C147" s="127">
        <f>YEAR(MC_2[[#This Row],[Date]])+IF(MONTH(MC_2[[#This Row],[Date]])&gt;=4,1,0)</f>
        <v>2026</v>
      </c>
      <c r="D147" s="128">
        <f>YEAR(MC_2[[#This Row],[Date]])</f>
        <v>2025</v>
      </c>
      <c r="E147" s="125" t="s">
        <v>157</v>
      </c>
      <c r="F147" s="125" t="s">
        <v>157</v>
      </c>
      <c r="G147" s="129" t="str">
        <f>TEXT(MC_2[[#This Row],[Date]],"mmm-yy")</f>
        <v>Jun-25</v>
      </c>
      <c r="H147" s="129">
        <f>DAY(EOMONTH(MC_2[[#This Row],[Month Year]],0))</f>
        <v>30</v>
      </c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4">
        <f>SUM(MC_2[[#This Row],[ICR1]:[ICR5]])</f>
        <v>0</v>
      </c>
      <c r="T147" s="132"/>
      <c r="U147" s="132"/>
      <c r="V147" s="133"/>
      <c r="W147" s="133"/>
      <c r="X147" s="133"/>
      <c r="Y147" s="133"/>
      <c r="Z147" s="132"/>
    </row>
    <row r="148" spans="1:26">
      <c r="A148" s="132">
        <v>146</v>
      </c>
      <c r="B148" s="126">
        <f t="shared" si="2"/>
        <v>45834</v>
      </c>
      <c r="C148" s="127">
        <f>YEAR(MC_2[[#This Row],[Date]])+IF(MONTH(MC_2[[#This Row],[Date]])&gt;=4,1,0)</f>
        <v>2026</v>
      </c>
      <c r="D148" s="128">
        <f>YEAR(MC_2[[#This Row],[Date]])</f>
        <v>2025</v>
      </c>
      <c r="E148" s="125" t="s">
        <v>157</v>
      </c>
      <c r="F148" s="125" t="s">
        <v>157</v>
      </c>
      <c r="G148" s="129" t="str">
        <f>TEXT(MC_2[[#This Row],[Date]],"mmm-yy")</f>
        <v>Jun-25</v>
      </c>
      <c r="H148" s="129">
        <f>DAY(EOMONTH(MC_2[[#This Row],[Month Year]],0))</f>
        <v>30</v>
      </c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4">
        <f>SUM(MC_2[[#This Row],[ICR1]:[ICR5]])</f>
        <v>0</v>
      </c>
      <c r="T148" s="132"/>
      <c r="U148" s="132"/>
      <c r="V148" s="133"/>
      <c r="W148" s="133"/>
      <c r="X148" s="133"/>
      <c r="Y148" s="133"/>
      <c r="Z148" s="132"/>
    </row>
    <row r="149" spans="1:26">
      <c r="A149" s="132">
        <v>147</v>
      </c>
      <c r="B149" s="126">
        <f t="shared" si="2"/>
        <v>45835</v>
      </c>
      <c r="C149" s="127">
        <f>YEAR(MC_2[[#This Row],[Date]])+IF(MONTH(MC_2[[#This Row],[Date]])&gt;=4,1,0)</f>
        <v>2026</v>
      </c>
      <c r="D149" s="128">
        <f>YEAR(MC_2[[#This Row],[Date]])</f>
        <v>2025</v>
      </c>
      <c r="E149" s="125" t="s">
        <v>157</v>
      </c>
      <c r="F149" s="125" t="s">
        <v>157</v>
      </c>
      <c r="G149" s="129" t="str">
        <f>TEXT(MC_2[[#This Row],[Date]],"mmm-yy")</f>
        <v>Jun-25</v>
      </c>
      <c r="H149" s="129">
        <f>DAY(EOMONTH(MC_2[[#This Row],[Month Year]],0))</f>
        <v>30</v>
      </c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4">
        <f>SUM(MC_2[[#This Row],[ICR1]:[ICR5]])</f>
        <v>0</v>
      </c>
      <c r="T149" s="133"/>
      <c r="U149" s="132"/>
      <c r="V149" s="132"/>
      <c r="W149" s="133"/>
      <c r="X149" s="132"/>
      <c r="Y149" s="132"/>
      <c r="Z149" s="132"/>
    </row>
    <row r="150" spans="1:26">
      <c r="A150" s="132">
        <v>148</v>
      </c>
      <c r="B150" s="126">
        <f t="shared" si="2"/>
        <v>45836</v>
      </c>
      <c r="C150" s="127">
        <f>YEAR(MC_2[[#This Row],[Date]])+IF(MONTH(MC_2[[#This Row],[Date]])&gt;=4,1,0)</f>
        <v>2026</v>
      </c>
      <c r="D150" s="128">
        <f>YEAR(MC_2[[#This Row],[Date]])</f>
        <v>2025</v>
      </c>
      <c r="E150" s="125" t="s">
        <v>157</v>
      </c>
      <c r="F150" s="125" t="s">
        <v>157</v>
      </c>
      <c r="G150" s="129" t="str">
        <f>TEXT(MC_2[[#This Row],[Date]],"mmm-yy")</f>
        <v>Jun-25</v>
      </c>
      <c r="H150" s="129">
        <f>DAY(EOMONTH(MC_2[[#This Row],[Month Year]],0))</f>
        <v>30</v>
      </c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4">
        <f>SUM(MC_2[[#This Row],[ICR1]:[ICR5]])</f>
        <v>0</v>
      </c>
      <c r="T150" s="132"/>
      <c r="U150" s="132"/>
      <c r="V150" s="132"/>
      <c r="W150" s="132"/>
      <c r="X150" s="132"/>
      <c r="Y150" s="132"/>
      <c r="Z150" s="134"/>
    </row>
    <row r="151" spans="1:26">
      <c r="A151" s="132">
        <v>149</v>
      </c>
      <c r="B151" s="126">
        <f t="shared" si="2"/>
        <v>45837</v>
      </c>
      <c r="C151" s="127">
        <f>YEAR(MC_2[[#This Row],[Date]])+IF(MONTH(MC_2[[#This Row],[Date]])&gt;=4,1,0)</f>
        <v>2026</v>
      </c>
      <c r="D151" s="128">
        <f>YEAR(MC_2[[#This Row],[Date]])</f>
        <v>2025</v>
      </c>
      <c r="E151" s="125" t="s">
        <v>157</v>
      </c>
      <c r="F151" s="125" t="s">
        <v>157</v>
      </c>
      <c r="G151" s="129" t="str">
        <f>TEXT(MC_2[[#This Row],[Date]],"mmm-yy")</f>
        <v>Jun-25</v>
      </c>
      <c r="H151" s="129">
        <f>DAY(EOMONTH(MC_2[[#This Row],[Month Year]],0))</f>
        <v>30</v>
      </c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4">
        <f>SUM(MC_2[[#This Row],[ICR1]:[ICR5]])</f>
        <v>0</v>
      </c>
      <c r="T151" s="132"/>
      <c r="U151" s="132"/>
      <c r="V151" s="132"/>
      <c r="W151" s="132"/>
      <c r="X151" s="132"/>
      <c r="Y151" s="132"/>
      <c r="Z151" s="134"/>
    </row>
    <row r="152" spans="1:26">
      <c r="A152" s="132">
        <v>150</v>
      </c>
      <c r="B152" s="126">
        <f t="shared" si="2"/>
        <v>45838</v>
      </c>
      <c r="C152" s="127">
        <f>YEAR(MC_2[[#This Row],[Date]])+IF(MONTH(MC_2[[#This Row],[Date]])&gt;=4,1,0)</f>
        <v>2026</v>
      </c>
      <c r="D152" s="128">
        <f>YEAR(MC_2[[#This Row],[Date]])</f>
        <v>2025</v>
      </c>
      <c r="E152" s="125" t="s">
        <v>157</v>
      </c>
      <c r="F152" s="125" t="s">
        <v>157</v>
      </c>
      <c r="G152" s="129" t="str">
        <f>TEXT(MC_2[[#This Row],[Date]],"mmm-yy")</f>
        <v>Jun-25</v>
      </c>
      <c r="H152" s="129">
        <f>DAY(EOMONTH(MC_2[[#This Row],[Month Year]],0))</f>
        <v>30</v>
      </c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4">
        <f>SUM(MC_2[[#This Row],[ICR1]:[ICR5]])</f>
        <v>0</v>
      </c>
      <c r="T152" s="132"/>
      <c r="U152" s="132"/>
      <c r="V152" s="132"/>
      <c r="W152" s="132"/>
      <c r="X152" s="132"/>
      <c r="Y152" s="132"/>
      <c r="Z152" s="134"/>
    </row>
    <row r="153" spans="1:26">
      <c r="A153" s="132">
        <v>151</v>
      </c>
      <c r="B153" s="126">
        <f t="shared" si="2"/>
        <v>45839</v>
      </c>
      <c r="C153" s="127">
        <f>YEAR(MC_2[[#This Row],[Date]])+IF(MONTH(MC_2[[#This Row],[Date]])&gt;=4,1,0)</f>
        <v>2026</v>
      </c>
      <c r="D153" s="128">
        <f>YEAR(MC_2[[#This Row],[Date]])</f>
        <v>2025</v>
      </c>
      <c r="E153" s="125" t="s">
        <v>157</v>
      </c>
      <c r="F153" s="125" t="s">
        <v>157</v>
      </c>
      <c r="G153" s="129" t="str">
        <f>TEXT(MC_2[[#This Row],[Date]],"mmm-yy")</f>
        <v>Jul-25</v>
      </c>
      <c r="H153" s="129">
        <f>DAY(EOMONTH(MC_2[[#This Row],[Month Year]],0))</f>
        <v>31</v>
      </c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4">
        <f>SUM(MC_2[[#This Row],[ICR1]:[ICR5]])</f>
        <v>0</v>
      </c>
      <c r="T153" s="132"/>
      <c r="U153" s="132"/>
      <c r="V153" s="132"/>
      <c r="W153" s="132"/>
      <c r="X153" s="132"/>
      <c r="Y153" s="132"/>
      <c r="Z153" s="134"/>
    </row>
    <row r="154" spans="1:26">
      <c r="A154" s="132">
        <v>152</v>
      </c>
      <c r="B154" s="126">
        <f t="shared" si="2"/>
        <v>45840</v>
      </c>
      <c r="C154" s="127">
        <f>YEAR(MC_2[[#This Row],[Date]])+IF(MONTH(MC_2[[#This Row],[Date]])&gt;=4,1,0)</f>
        <v>2026</v>
      </c>
      <c r="D154" s="128">
        <f>YEAR(MC_2[[#This Row],[Date]])</f>
        <v>2025</v>
      </c>
      <c r="E154" s="125" t="s">
        <v>157</v>
      </c>
      <c r="F154" s="125" t="s">
        <v>157</v>
      </c>
      <c r="G154" s="129" t="str">
        <f>TEXT(MC_2[[#This Row],[Date]],"mmm-yy")</f>
        <v>Jul-25</v>
      </c>
      <c r="H154" s="129">
        <f>DAY(EOMONTH(MC_2[[#This Row],[Month Year]],0))</f>
        <v>31</v>
      </c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4">
        <f>SUM(MC_2[[#This Row],[ICR1]:[ICR5]])</f>
        <v>0</v>
      </c>
      <c r="T154" s="132"/>
      <c r="U154" s="132"/>
      <c r="V154" s="132"/>
      <c r="W154" s="132"/>
      <c r="X154" s="132"/>
      <c r="Y154" s="132"/>
      <c r="Z154" s="134"/>
    </row>
    <row r="155" spans="1:26">
      <c r="A155" s="132">
        <v>153</v>
      </c>
      <c r="B155" s="126">
        <f t="shared" si="2"/>
        <v>45841</v>
      </c>
      <c r="C155" s="127">
        <f>YEAR(MC_2[[#This Row],[Date]])+IF(MONTH(MC_2[[#This Row],[Date]])&gt;=4,1,0)</f>
        <v>2026</v>
      </c>
      <c r="D155" s="128">
        <f>YEAR(MC_2[[#This Row],[Date]])</f>
        <v>2025</v>
      </c>
      <c r="E155" s="125" t="s">
        <v>157</v>
      </c>
      <c r="F155" s="125" t="s">
        <v>157</v>
      </c>
      <c r="G155" s="129" t="str">
        <f>TEXT(MC_2[[#This Row],[Date]],"mmm-yy")</f>
        <v>Jul-25</v>
      </c>
      <c r="H155" s="129">
        <f>DAY(EOMONTH(MC_2[[#This Row],[Month Year]],0))</f>
        <v>31</v>
      </c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4">
        <f>SUM(MC_2[[#This Row],[ICR1]:[ICR5]])</f>
        <v>0</v>
      </c>
      <c r="T155" s="132"/>
      <c r="U155" s="132"/>
      <c r="V155" s="132"/>
      <c r="W155" s="132"/>
      <c r="X155" s="132"/>
      <c r="Y155" s="132"/>
      <c r="Z155" s="134"/>
    </row>
    <row r="156" spans="1:26">
      <c r="A156" s="132">
        <v>154</v>
      </c>
      <c r="B156" s="126">
        <f t="shared" si="2"/>
        <v>45842</v>
      </c>
      <c r="C156" s="127">
        <f>YEAR(MC_2[[#This Row],[Date]])+IF(MONTH(MC_2[[#This Row],[Date]])&gt;=4,1,0)</f>
        <v>2026</v>
      </c>
      <c r="D156" s="128">
        <f>YEAR(MC_2[[#This Row],[Date]])</f>
        <v>2025</v>
      </c>
      <c r="E156" s="125" t="s">
        <v>157</v>
      </c>
      <c r="F156" s="125" t="s">
        <v>157</v>
      </c>
      <c r="G156" s="129" t="str">
        <f>TEXT(MC_2[[#This Row],[Date]],"mmm-yy")</f>
        <v>Jul-25</v>
      </c>
      <c r="H156" s="129">
        <f>DAY(EOMONTH(MC_2[[#This Row],[Month Year]],0))</f>
        <v>31</v>
      </c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4">
        <f>SUM(MC_2[[#This Row],[ICR1]:[ICR5]])</f>
        <v>0</v>
      </c>
      <c r="T156" s="133"/>
      <c r="U156" s="132"/>
      <c r="V156" s="132"/>
      <c r="W156" s="133"/>
      <c r="X156" s="132"/>
      <c r="Y156" s="132"/>
      <c r="Z156" s="132"/>
    </row>
    <row r="157" spans="1:26">
      <c r="A157" s="132">
        <v>155</v>
      </c>
      <c r="B157" s="126">
        <f t="shared" si="2"/>
        <v>45843</v>
      </c>
      <c r="C157" s="127">
        <f>YEAR(MC_2[[#This Row],[Date]])+IF(MONTH(MC_2[[#This Row],[Date]])&gt;=4,1,0)</f>
        <v>2026</v>
      </c>
      <c r="D157" s="128">
        <f>YEAR(MC_2[[#This Row],[Date]])</f>
        <v>2025</v>
      </c>
      <c r="E157" s="125" t="s">
        <v>157</v>
      </c>
      <c r="F157" s="125" t="s">
        <v>157</v>
      </c>
      <c r="G157" s="129" t="str">
        <f>TEXT(MC_2[[#This Row],[Date]],"mmm-yy")</f>
        <v>Jul-25</v>
      </c>
      <c r="H157" s="129">
        <f>DAY(EOMONTH(MC_2[[#This Row],[Month Year]],0))</f>
        <v>31</v>
      </c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4">
        <f>SUM(MC_2[[#This Row],[ICR1]:[ICR5]])</f>
        <v>0</v>
      </c>
      <c r="T157" s="133"/>
      <c r="U157" s="132"/>
      <c r="V157" s="132"/>
      <c r="W157" s="133"/>
      <c r="X157" s="132"/>
      <c r="Y157" s="132"/>
      <c r="Z157" s="132"/>
    </row>
    <row r="158" spans="1:26">
      <c r="A158" s="132">
        <v>156</v>
      </c>
      <c r="B158" s="126">
        <f t="shared" si="2"/>
        <v>45844</v>
      </c>
      <c r="C158" s="127">
        <f>YEAR(MC_2[[#This Row],[Date]])+IF(MONTH(MC_2[[#This Row],[Date]])&gt;=4,1,0)</f>
        <v>2026</v>
      </c>
      <c r="D158" s="128">
        <f>YEAR(MC_2[[#This Row],[Date]])</f>
        <v>2025</v>
      </c>
      <c r="E158" s="125" t="s">
        <v>157</v>
      </c>
      <c r="F158" s="125" t="s">
        <v>157</v>
      </c>
      <c r="G158" s="129" t="str">
        <f>TEXT(MC_2[[#This Row],[Date]],"mmm-yy")</f>
        <v>Jul-25</v>
      </c>
      <c r="H158" s="129">
        <f>DAY(EOMONTH(MC_2[[#This Row],[Month Year]],0))</f>
        <v>31</v>
      </c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4">
        <f>SUM(MC_2[[#This Row],[ICR1]:[ICR5]])</f>
        <v>0</v>
      </c>
      <c r="T158" s="133"/>
      <c r="U158" s="132"/>
      <c r="V158" s="132"/>
      <c r="W158" s="133"/>
      <c r="X158" s="132"/>
      <c r="Y158" s="132"/>
      <c r="Z158" s="132"/>
    </row>
    <row r="159" spans="1:26">
      <c r="A159" s="132">
        <v>157</v>
      </c>
      <c r="B159" s="126">
        <f t="shared" si="2"/>
        <v>45845</v>
      </c>
      <c r="C159" s="127">
        <f>YEAR(MC_2[[#This Row],[Date]])+IF(MONTH(MC_2[[#This Row],[Date]])&gt;=4,1,0)</f>
        <v>2026</v>
      </c>
      <c r="D159" s="128">
        <f>YEAR(MC_2[[#This Row],[Date]])</f>
        <v>2025</v>
      </c>
      <c r="E159" s="125" t="s">
        <v>157</v>
      </c>
      <c r="F159" s="125" t="s">
        <v>157</v>
      </c>
      <c r="G159" s="129" t="str">
        <f>TEXT(MC_2[[#This Row],[Date]],"mmm-yy")</f>
        <v>Jul-25</v>
      </c>
      <c r="H159" s="129">
        <f>DAY(EOMONTH(MC_2[[#This Row],[Month Year]],0))</f>
        <v>31</v>
      </c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4">
        <f>SUM(MC_2[[#This Row],[ICR1]:[ICR5]])</f>
        <v>0</v>
      </c>
      <c r="T159" s="133"/>
      <c r="U159" s="132"/>
      <c r="V159" s="132"/>
      <c r="W159" s="133"/>
      <c r="X159" s="132"/>
      <c r="Y159" s="132"/>
      <c r="Z159" s="132"/>
    </row>
    <row r="160" spans="1:26">
      <c r="A160" s="132">
        <v>158</v>
      </c>
      <c r="B160" s="126">
        <f t="shared" si="2"/>
        <v>45846</v>
      </c>
      <c r="C160" s="127">
        <f>YEAR(MC_2[[#This Row],[Date]])+IF(MONTH(MC_2[[#This Row],[Date]])&gt;=4,1,0)</f>
        <v>2026</v>
      </c>
      <c r="D160" s="128">
        <f>YEAR(MC_2[[#This Row],[Date]])</f>
        <v>2025</v>
      </c>
      <c r="E160" s="125" t="s">
        <v>157</v>
      </c>
      <c r="F160" s="125" t="s">
        <v>157</v>
      </c>
      <c r="G160" s="129" t="str">
        <f>TEXT(MC_2[[#This Row],[Date]],"mmm-yy")</f>
        <v>Jul-25</v>
      </c>
      <c r="H160" s="129">
        <f>DAY(EOMONTH(MC_2[[#This Row],[Month Year]],0))</f>
        <v>31</v>
      </c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4">
        <f>SUM(MC_2[[#This Row],[ICR1]:[ICR5]])</f>
        <v>0</v>
      </c>
      <c r="T160" s="132"/>
      <c r="U160" s="132"/>
      <c r="V160" s="132"/>
      <c r="W160" s="132"/>
      <c r="X160" s="132"/>
      <c r="Y160" s="132"/>
      <c r="Z160" s="132"/>
    </row>
    <row r="161" spans="1:26">
      <c r="A161" s="132">
        <v>159</v>
      </c>
      <c r="B161" s="126">
        <f t="shared" si="2"/>
        <v>45847</v>
      </c>
      <c r="C161" s="127">
        <f>YEAR(MC_2[[#This Row],[Date]])+IF(MONTH(MC_2[[#This Row],[Date]])&gt;=4,1,0)</f>
        <v>2026</v>
      </c>
      <c r="D161" s="128">
        <f>YEAR(MC_2[[#This Row],[Date]])</f>
        <v>2025</v>
      </c>
      <c r="E161" s="125" t="s">
        <v>157</v>
      </c>
      <c r="F161" s="125" t="s">
        <v>157</v>
      </c>
      <c r="G161" s="129" t="str">
        <f>TEXT(MC_2[[#This Row],[Date]],"mmm-yy")</f>
        <v>Jul-25</v>
      </c>
      <c r="H161" s="129">
        <f>DAY(EOMONTH(MC_2[[#This Row],[Month Year]],0))</f>
        <v>31</v>
      </c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4">
        <f>SUM(MC_2[[#This Row],[ICR1]:[ICR5]])</f>
        <v>0</v>
      </c>
      <c r="T161" s="133"/>
      <c r="U161" s="132"/>
      <c r="V161" s="132"/>
      <c r="W161" s="133"/>
      <c r="X161" s="132"/>
      <c r="Y161" s="132"/>
      <c r="Z161" s="132"/>
    </row>
    <row r="162" spans="1:26">
      <c r="A162" s="132">
        <v>160</v>
      </c>
      <c r="B162" s="126">
        <f t="shared" si="2"/>
        <v>45848</v>
      </c>
      <c r="C162" s="127">
        <f>YEAR(MC_2[[#This Row],[Date]])+IF(MONTH(MC_2[[#This Row],[Date]])&gt;=4,1,0)</f>
        <v>2026</v>
      </c>
      <c r="D162" s="128">
        <f>YEAR(MC_2[[#This Row],[Date]])</f>
        <v>2025</v>
      </c>
      <c r="E162" s="125" t="s">
        <v>157</v>
      </c>
      <c r="F162" s="125" t="s">
        <v>157</v>
      </c>
      <c r="G162" s="129" t="str">
        <f>TEXT(MC_2[[#This Row],[Date]],"mmm-yy")</f>
        <v>Jul-25</v>
      </c>
      <c r="H162" s="129">
        <f>DAY(EOMONTH(MC_2[[#This Row],[Month Year]],0))</f>
        <v>31</v>
      </c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4">
        <f>SUM(MC_2[[#This Row],[ICR1]:[ICR5]])</f>
        <v>0</v>
      </c>
      <c r="T162" s="133"/>
      <c r="U162" s="132"/>
      <c r="V162" s="132"/>
      <c r="W162" s="133"/>
      <c r="X162" s="132"/>
      <c r="Y162" s="132"/>
      <c r="Z162" s="132"/>
    </row>
    <row r="163" spans="1:26">
      <c r="A163" s="132">
        <v>161</v>
      </c>
      <c r="B163" s="126">
        <f t="shared" si="2"/>
        <v>45849</v>
      </c>
      <c r="C163" s="127">
        <f>YEAR(MC_2[[#This Row],[Date]])+IF(MONTH(MC_2[[#This Row],[Date]])&gt;=4,1,0)</f>
        <v>2026</v>
      </c>
      <c r="D163" s="128">
        <f>YEAR(MC_2[[#This Row],[Date]])</f>
        <v>2025</v>
      </c>
      <c r="E163" s="125" t="s">
        <v>157</v>
      </c>
      <c r="F163" s="125" t="s">
        <v>157</v>
      </c>
      <c r="G163" s="129" t="str">
        <f>TEXT(MC_2[[#This Row],[Date]],"mmm-yy")</f>
        <v>Jul-25</v>
      </c>
      <c r="H163" s="129">
        <f>DAY(EOMONTH(MC_2[[#This Row],[Month Year]],0))</f>
        <v>31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4">
        <f>SUM(MC_2[[#This Row],[ICR1]:[ICR5]])</f>
        <v>0</v>
      </c>
      <c r="T163" s="133"/>
      <c r="U163" s="132"/>
      <c r="V163" s="132"/>
      <c r="W163" s="133"/>
      <c r="X163" s="132"/>
      <c r="Y163" s="132"/>
      <c r="Z163" s="132"/>
    </row>
    <row r="164" spans="1:26">
      <c r="A164" s="132">
        <v>162</v>
      </c>
      <c r="B164" s="126">
        <f t="shared" si="2"/>
        <v>45850</v>
      </c>
      <c r="C164" s="127">
        <f>YEAR(MC_2[[#This Row],[Date]])+IF(MONTH(MC_2[[#This Row],[Date]])&gt;=4,1,0)</f>
        <v>2026</v>
      </c>
      <c r="D164" s="128">
        <f>YEAR(MC_2[[#This Row],[Date]])</f>
        <v>2025</v>
      </c>
      <c r="E164" s="125" t="s">
        <v>157</v>
      </c>
      <c r="F164" s="125" t="s">
        <v>157</v>
      </c>
      <c r="G164" s="129" t="str">
        <f>TEXT(MC_2[[#This Row],[Date]],"mmm-yy")</f>
        <v>Jul-25</v>
      </c>
      <c r="H164" s="129">
        <f>DAY(EOMONTH(MC_2[[#This Row],[Month Year]],0))</f>
        <v>31</v>
      </c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4">
        <f>SUM(MC_2[[#This Row],[ICR1]:[ICR5]])</f>
        <v>0</v>
      </c>
      <c r="T164" s="133"/>
      <c r="U164" s="132"/>
      <c r="V164" s="132"/>
      <c r="W164" s="133"/>
      <c r="X164" s="132"/>
      <c r="Y164" s="132"/>
      <c r="Z164" s="132"/>
    </row>
    <row r="165" spans="1:26">
      <c r="A165" s="132">
        <v>163</v>
      </c>
      <c r="B165" s="126">
        <f t="shared" si="2"/>
        <v>45851</v>
      </c>
      <c r="C165" s="127">
        <f>YEAR(MC_2[[#This Row],[Date]])+IF(MONTH(MC_2[[#This Row],[Date]])&gt;=4,1,0)</f>
        <v>2026</v>
      </c>
      <c r="D165" s="128">
        <f>YEAR(MC_2[[#This Row],[Date]])</f>
        <v>2025</v>
      </c>
      <c r="E165" s="125" t="s">
        <v>157</v>
      </c>
      <c r="F165" s="125" t="s">
        <v>157</v>
      </c>
      <c r="G165" s="129" t="str">
        <f>TEXT(MC_2[[#This Row],[Date]],"mmm-yy")</f>
        <v>Jul-25</v>
      </c>
      <c r="H165" s="129">
        <f>DAY(EOMONTH(MC_2[[#This Row],[Month Year]],0))</f>
        <v>31</v>
      </c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4">
        <f>SUM(MC_2[[#This Row],[ICR1]:[ICR5]])</f>
        <v>0</v>
      </c>
      <c r="T165" s="132"/>
      <c r="U165" s="132"/>
      <c r="V165" s="132"/>
      <c r="W165" s="132"/>
      <c r="X165" s="132"/>
      <c r="Y165" s="132"/>
      <c r="Z165" s="132"/>
    </row>
    <row r="166" spans="1:26">
      <c r="A166" s="132">
        <v>164</v>
      </c>
      <c r="B166" s="126">
        <f t="shared" si="2"/>
        <v>45852</v>
      </c>
      <c r="C166" s="127">
        <f>YEAR(MC_2[[#This Row],[Date]])+IF(MONTH(MC_2[[#This Row],[Date]])&gt;=4,1,0)</f>
        <v>2026</v>
      </c>
      <c r="D166" s="128">
        <f>YEAR(MC_2[[#This Row],[Date]])</f>
        <v>2025</v>
      </c>
      <c r="E166" s="125" t="s">
        <v>157</v>
      </c>
      <c r="F166" s="125" t="s">
        <v>157</v>
      </c>
      <c r="G166" s="129" t="str">
        <f>TEXT(MC_2[[#This Row],[Date]],"mmm-yy")</f>
        <v>Jul-25</v>
      </c>
      <c r="H166" s="129">
        <f>DAY(EOMONTH(MC_2[[#This Row],[Month Year]],0))</f>
        <v>31</v>
      </c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4">
        <f>SUM(MC_2[[#This Row],[ICR1]:[ICR5]])</f>
        <v>0</v>
      </c>
      <c r="T166" s="132"/>
      <c r="U166" s="132"/>
      <c r="V166" s="132"/>
      <c r="W166" s="132"/>
      <c r="X166" s="132"/>
      <c r="Y166" s="132"/>
      <c r="Z166" s="134"/>
    </row>
    <row r="167" spans="1:26">
      <c r="A167" s="132">
        <v>165</v>
      </c>
      <c r="B167" s="126">
        <f t="shared" si="2"/>
        <v>45853</v>
      </c>
      <c r="C167" s="127">
        <f>YEAR(MC_2[[#This Row],[Date]])+IF(MONTH(MC_2[[#This Row],[Date]])&gt;=4,1,0)</f>
        <v>2026</v>
      </c>
      <c r="D167" s="128">
        <f>YEAR(MC_2[[#This Row],[Date]])</f>
        <v>2025</v>
      </c>
      <c r="E167" s="125" t="s">
        <v>157</v>
      </c>
      <c r="F167" s="125" t="s">
        <v>157</v>
      </c>
      <c r="G167" s="129" t="str">
        <f>TEXT(MC_2[[#This Row],[Date]],"mmm-yy")</f>
        <v>Jul-25</v>
      </c>
      <c r="H167" s="129">
        <f>DAY(EOMONTH(MC_2[[#This Row],[Month Year]],0))</f>
        <v>31</v>
      </c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4">
        <f>SUM(MC_2[[#This Row],[ICR1]:[ICR5]])</f>
        <v>0</v>
      </c>
      <c r="T167" s="132"/>
      <c r="U167" s="132"/>
      <c r="V167" s="132"/>
      <c r="W167" s="132"/>
      <c r="X167" s="132"/>
      <c r="Y167" s="132"/>
      <c r="Z167" s="134"/>
    </row>
    <row r="168" spans="1:26">
      <c r="A168" s="132">
        <v>166</v>
      </c>
      <c r="B168" s="126">
        <f t="shared" si="2"/>
        <v>45854</v>
      </c>
      <c r="C168" s="127">
        <f>YEAR(MC_2[[#This Row],[Date]])+IF(MONTH(MC_2[[#This Row],[Date]])&gt;=4,1,0)</f>
        <v>2026</v>
      </c>
      <c r="D168" s="128">
        <f>YEAR(MC_2[[#This Row],[Date]])</f>
        <v>2025</v>
      </c>
      <c r="E168" s="125" t="s">
        <v>157</v>
      </c>
      <c r="F168" s="125" t="s">
        <v>157</v>
      </c>
      <c r="G168" s="129" t="str">
        <f>TEXT(MC_2[[#This Row],[Date]],"mmm-yy")</f>
        <v>Jul-25</v>
      </c>
      <c r="H168" s="129">
        <f>DAY(EOMONTH(MC_2[[#This Row],[Month Year]],0))</f>
        <v>31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4">
        <f>SUM(MC_2[[#This Row],[ICR1]:[ICR5]])</f>
        <v>0</v>
      </c>
      <c r="T168" s="132"/>
      <c r="U168" s="132"/>
      <c r="V168" s="132"/>
      <c r="W168" s="132"/>
      <c r="X168" s="132"/>
      <c r="Y168" s="132"/>
      <c r="Z168" s="134"/>
    </row>
    <row r="169" spans="1:26">
      <c r="A169" s="132">
        <v>167</v>
      </c>
      <c r="B169" s="126">
        <f t="shared" si="2"/>
        <v>45855</v>
      </c>
      <c r="C169" s="127">
        <f>YEAR(MC_2[[#This Row],[Date]])+IF(MONTH(MC_2[[#This Row],[Date]])&gt;=4,1,0)</f>
        <v>2026</v>
      </c>
      <c r="D169" s="128">
        <f>YEAR(MC_2[[#This Row],[Date]])</f>
        <v>2025</v>
      </c>
      <c r="E169" s="125" t="s">
        <v>157</v>
      </c>
      <c r="F169" s="125" t="s">
        <v>157</v>
      </c>
      <c r="G169" s="129" t="str">
        <f>TEXT(MC_2[[#This Row],[Date]],"mmm-yy")</f>
        <v>Jul-25</v>
      </c>
      <c r="H169" s="129">
        <f>DAY(EOMONTH(MC_2[[#This Row],[Month Year]],0))</f>
        <v>31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4">
        <f>SUM(MC_2[[#This Row],[ICR1]:[ICR5]])</f>
        <v>0</v>
      </c>
      <c r="T169" s="132"/>
      <c r="U169" s="132"/>
      <c r="V169" s="132"/>
      <c r="W169" s="132"/>
      <c r="X169" s="132"/>
      <c r="Y169" s="132"/>
      <c r="Z169" s="134"/>
    </row>
    <row r="170" spans="1:26">
      <c r="A170" s="132">
        <v>168</v>
      </c>
      <c r="B170" s="126">
        <f t="shared" si="2"/>
        <v>45856</v>
      </c>
      <c r="C170" s="127">
        <f>YEAR(MC_2[[#This Row],[Date]])+IF(MONTH(MC_2[[#This Row],[Date]])&gt;=4,1,0)</f>
        <v>2026</v>
      </c>
      <c r="D170" s="128">
        <f>YEAR(MC_2[[#This Row],[Date]])</f>
        <v>2025</v>
      </c>
      <c r="E170" s="125" t="s">
        <v>157</v>
      </c>
      <c r="F170" s="125" t="s">
        <v>157</v>
      </c>
      <c r="G170" s="129" t="str">
        <f>TEXT(MC_2[[#This Row],[Date]],"mmm-yy")</f>
        <v>Jul-25</v>
      </c>
      <c r="H170" s="129">
        <f>DAY(EOMONTH(MC_2[[#This Row],[Month Year]],0))</f>
        <v>31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4">
        <f>SUM(MC_2[[#This Row],[ICR1]:[ICR5]])</f>
        <v>0</v>
      </c>
      <c r="T170" s="132"/>
      <c r="U170" s="132"/>
      <c r="V170" s="132"/>
      <c r="W170" s="132"/>
      <c r="X170" s="132"/>
      <c r="Y170" s="132"/>
      <c r="Z170" s="134"/>
    </row>
    <row r="171" spans="1:26">
      <c r="A171" s="132">
        <v>169</v>
      </c>
      <c r="B171" s="126">
        <f t="shared" si="2"/>
        <v>45857</v>
      </c>
      <c r="C171" s="127">
        <f>YEAR(MC_2[[#This Row],[Date]])+IF(MONTH(MC_2[[#This Row],[Date]])&gt;=4,1,0)</f>
        <v>2026</v>
      </c>
      <c r="D171" s="128">
        <f>YEAR(MC_2[[#This Row],[Date]])</f>
        <v>2025</v>
      </c>
      <c r="E171" s="125" t="s">
        <v>157</v>
      </c>
      <c r="F171" s="125" t="s">
        <v>157</v>
      </c>
      <c r="G171" s="129" t="str">
        <f>TEXT(MC_2[[#This Row],[Date]],"mmm-yy")</f>
        <v>Jul-25</v>
      </c>
      <c r="H171" s="129">
        <f>DAY(EOMONTH(MC_2[[#This Row],[Month Year]],0))</f>
        <v>31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4">
        <f>SUM(MC_2[[#This Row],[ICR1]:[ICR5]])</f>
        <v>0</v>
      </c>
      <c r="T171" s="132"/>
      <c r="U171" s="132"/>
      <c r="V171" s="132"/>
      <c r="W171" s="132"/>
      <c r="X171" s="132"/>
      <c r="Y171" s="132"/>
      <c r="Z171" s="134"/>
    </row>
    <row r="172" spans="1:26">
      <c r="A172" s="132">
        <v>170</v>
      </c>
      <c r="B172" s="126">
        <f t="shared" si="2"/>
        <v>45858</v>
      </c>
      <c r="C172" s="127">
        <f>YEAR(MC_2[[#This Row],[Date]])+IF(MONTH(MC_2[[#This Row],[Date]])&gt;=4,1,0)</f>
        <v>2026</v>
      </c>
      <c r="D172" s="128">
        <f>YEAR(MC_2[[#This Row],[Date]])</f>
        <v>2025</v>
      </c>
      <c r="E172" s="125" t="s">
        <v>157</v>
      </c>
      <c r="F172" s="125" t="s">
        <v>157</v>
      </c>
      <c r="G172" s="129" t="str">
        <f>TEXT(MC_2[[#This Row],[Date]],"mmm-yy")</f>
        <v>Jul-25</v>
      </c>
      <c r="H172" s="129">
        <f>DAY(EOMONTH(MC_2[[#This Row],[Month Year]],0))</f>
        <v>31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4">
        <f>SUM(MC_2[[#This Row],[ICR1]:[ICR5]])</f>
        <v>0</v>
      </c>
      <c r="T172" s="132"/>
      <c r="U172" s="132"/>
      <c r="V172" s="132"/>
      <c r="W172" s="132"/>
      <c r="X172" s="132"/>
      <c r="Y172" s="132"/>
      <c r="Z172" s="134"/>
    </row>
    <row r="173" spans="1:26">
      <c r="A173" s="132">
        <v>171</v>
      </c>
      <c r="B173" s="126">
        <f t="shared" si="2"/>
        <v>45859</v>
      </c>
      <c r="C173" s="127">
        <f>YEAR(MC_2[[#This Row],[Date]])+IF(MONTH(MC_2[[#This Row],[Date]])&gt;=4,1,0)</f>
        <v>2026</v>
      </c>
      <c r="D173" s="128">
        <f>YEAR(MC_2[[#This Row],[Date]])</f>
        <v>2025</v>
      </c>
      <c r="E173" s="125" t="s">
        <v>157</v>
      </c>
      <c r="F173" s="125" t="s">
        <v>157</v>
      </c>
      <c r="G173" s="129" t="str">
        <f>TEXT(MC_2[[#This Row],[Date]],"mmm-yy")</f>
        <v>Jul-25</v>
      </c>
      <c r="H173" s="129">
        <f>DAY(EOMONTH(MC_2[[#This Row],[Month Year]],0))</f>
        <v>31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4">
        <f>SUM(MC_2[[#This Row],[ICR1]:[ICR5]])</f>
        <v>0</v>
      </c>
      <c r="T173" s="132"/>
      <c r="U173" s="132"/>
      <c r="V173" s="132"/>
      <c r="W173" s="132"/>
      <c r="X173" s="132"/>
      <c r="Y173" s="132"/>
      <c r="Z173" s="134"/>
    </row>
    <row r="174" spans="1:26">
      <c r="A174" s="132">
        <v>172</v>
      </c>
      <c r="B174" s="126">
        <f t="shared" si="2"/>
        <v>45860</v>
      </c>
      <c r="C174" s="127">
        <f>YEAR(MC_2[[#This Row],[Date]])+IF(MONTH(MC_2[[#This Row],[Date]])&gt;=4,1,0)</f>
        <v>2026</v>
      </c>
      <c r="D174" s="128">
        <f>YEAR(MC_2[[#This Row],[Date]])</f>
        <v>2025</v>
      </c>
      <c r="E174" s="125" t="s">
        <v>157</v>
      </c>
      <c r="F174" s="125" t="s">
        <v>157</v>
      </c>
      <c r="G174" s="129" t="str">
        <f>TEXT(MC_2[[#This Row],[Date]],"mmm-yy")</f>
        <v>Jul-25</v>
      </c>
      <c r="H174" s="129">
        <f>DAY(EOMONTH(MC_2[[#This Row],[Month Year]],0))</f>
        <v>31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4">
        <f>SUM(MC_2[[#This Row],[ICR1]:[ICR5]])</f>
        <v>0</v>
      </c>
      <c r="T174" s="132"/>
      <c r="U174" s="132"/>
      <c r="V174" s="132"/>
      <c r="W174" s="132"/>
      <c r="X174" s="132"/>
      <c r="Y174" s="132"/>
      <c r="Z174" s="134"/>
    </row>
    <row r="175" spans="1:26">
      <c r="A175" s="132">
        <v>173</v>
      </c>
      <c r="B175" s="126">
        <f t="shared" si="2"/>
        <v>45861</v>
      </c>
      <c r="C175" s="127">
        <f>YEAR(MC_2[[#This Row],[Date]])+IF(MONTH(MC_2[[#This Row],[Date]])&gt;=4,1,0)</f>
        <v>2026</v>
      </c>
      <c r="D175" s="128">
        <f>YEAR(MC_2[[#This Row],[Date]])</f>
        <v>2025</v>
      </c>
      <c r="E175" s="125" t="s">
        <v>157</v>
      </c>
      <c r="F175" s="125" t="s">
        <v>157</v>
      </c>
      <c r="G175" s="129" t="str">
        <f>TEXT(MC_2[[#This Row],[Date]],"mmm-yy")</f>
        <v>Jul-25</v>
      </c>
      <c r="H175" s="129">
        <f>DAY(EOMONTH(MC_2[[#This Row],[Month Year]],0))</f>
        <v>31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4">
        <f>SUM(MC_2[[#This Row],[ICR1]:[ICR5]])</f>
        <v>0</v>
      </c>
      <c r="T175" s="132"/>
      <c r="U175" s="132"/>
      <c r="V175" s="132"/>
      <c r="W175" s="132"/>
      <c r="X175" s="132"/>
      <c r="Y175" s="132"/>
      <c r="Z175" s="134"/>
    </row>
    <row r="176" spans="1:26">
      <c r="A176" s="132">
        <v>174</v>
      </c>
      <c r="B176" s="126">
        <f t="shared" si="2"/>
        <v>45862</v>
      </c>
      <c r="C176" s="127">
        <f>YEAR(MC_2[[#This Row],[Date]])+IF(MONTH(MC_2[[#This Row],[Date]])&gt;=4,1,0)</f>
        <v>2026</v>
      </c>
      <c r="D176" s="128">
        <f>YEAR(MC_2[[#This Row],[Date]])</f>
        <v>2025</v>
      </c>
      <c r="E176" s="125" t="s">
        <v>157</v>
      </c>
      <c r="F176" s="125" t="s">
        <v>157</v>
      </c>
      <c r="G176" s="129" t="str">
        <f>TEXT(MC_2[[#This Row],[Date]],"mmm-yy")</f>
        <v>Jul-25</v>
      </c>
      <c r="H176" s="129">
        <f>DAY(EOMONTH(MC_2[[#This Row],[Month Year]],0))</f>
        <v>31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4">
        <f>SUM(MC_2[[#This Row],[ICR1]:[ICR5]])</f>
        <v>0</v>
      </c>
      <c r="T176" s="132"/>
      <c r="U176" s="132"/>
      <c r="V176" s="132"/>
      <c r="W176" s="132"/>
      <c r="X176" s="132"/>
      <c r="Y176" s="132"/>
      <c r="Z176" s="134"/>
    </row>
    <row r="177" spans="1:26">
      <c r="A177" s="132">
        <v>175</v>
      </c>
      <c r="B177" s="126">
        <f t="shared" si="2"/>
        <v>45863</v>
      </c>
      <c r="C177" s="127">
        <f>YEAR(MC_2[[#This Row],[Date]])+IF(MONTH(MC_2[[#This Row],[Date]])&gt;=4,1,0)</f>
        <v>2026</v>
      </c>
      <c r="D177" s="128">
        <f>YEAR(MC_2[[#This Row],[Date]])</f>
        <v>2025</v>
      </c>
      <c r="E177" s="125" t="s">
        <v>157</v>
      </c>
      <c r="F177" s="125" t="s">
        <v>157</v>
      </c>
      <c r="G177" s="129" t="str">
        <f>TEXT(MC_2[[#This Row],[Date]],"mmm-yy")</f>
        <v>Jul-25</v>
      </c>
      <c r="H177" s="129">
        <f>DAY(EOMONTH(MC_2[[#This Row],[Month Year]],0))</f>
        <v>31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4">
        <f>SUM(MC_2[[#This Row],[ICR1]:[ICR5]])</f>
        <v>0</v>
      </c>
      <c r="T177" s="132"/>
      <c r="U177" s="132"/>
      <c r="V177" s="132"/>
      <c r="W177" s="132"/>
      <c r="X177" s="132"/>
      <c r="Y177" s="132"/>
      <c r="Z177" s="134"/>
    </row>
    <row r="178" spans="1:26">
      <c r="A178" s="132">
        <v>176</v>
      </c>
      <c r="B178" s="126">
        <f t="shared" si="2"/>
        <v>45864</v>
      </c>
      <c r="C178" s="127">
        <f>YEAR(MC_2[[#This Row],[Date]])+IF(MONTH(MC_2[[#This Row],[Date]])&gt;=4,1,0)</f>
        <v>2026</v>
      </c>
      <c r="D178" s="128">
        <f>YEAR(MC_2[[#This Row],[Date]])</f>
        <v>2025</v>
      </c>
      <c r="E178" s="125" t="s">
        <v>157</v>
      </c>
      <c r="F178" s="125" t="s">
        <v>157</v>
      </c>
      <c r="G178" s="129" t="str">
        <f>TEXT(MC_2[[#This Row],[Date]],"mmm-yy")</f>
        <v>Jul-25</v>
      </c>
      <c r="H178" s="129">
        <f>DAY(EOMONTH(MC_2[[#This Row],[Month Year]],0))</f>
        <v>31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4">
        <f>SUM(MC_2[[#This Row],[ICR1]:[ICR5]])</f>
        <v>0</v>
      </c>
      <c r="T178" s="132"/>
      <c r="U178" s="132"/>
      <c r="V178" s="132"/>
      <c r="W178" s="132"/>
      <c r="X178" s="132"/>
      <c r="Y178" s="132"/>
      <c r="Z178" s="134"/>
    </row>
    <row r="179" spans="1:26">
      <c r="A179" s="132">
        <v>177</v>
      </c>
      <c r="B179" s="126">
        <f t="shared" si="2"/>
        <v>45865</v>
      </c>
      <c r="C179" s="127">
        <f>YEAR(MC_2[[#This Row],[Date]])+IF(MONTH(MC_2[[#This Row],[Date]])&gt;=4,1,0)</f>
        <v>2026</v>
      </c>
      <c r="D179" s="128">
        <f>YEAR(MC_2[[#This Row],[Date]])</f>
        <v>2025</v>
      </c>
      <c r="E179" s="125" t="s">
        <v>157</v>
      </c>
      <c r="F179" s="125" t="s">
        <v>157</v>
      </c>
      <c r="G179" s="129" t="str">
        <f>TEXT(MC_2[[#This Row],[Date]],"mmm-yy")</f>
        <v>Jul-25</v>
      </c>
      <c r="H179" s="129">
        <f>DAY(EOMONTH(MC_2[[#This Row],[Month Year]],0))</f>
        <v>31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4">
        <f>SUM(MC_2[[#This Row],[ICR1]:[ICR5]])</f>
        <v>0</v>
      </c>
      <c r="T179" s="132"/>
      <c r="U179" s="132"/>
      <c r="V179" s="132"/>
      <c r="W179" s="132"/>
      <c r="X179" s="132"/>
      <c r="Y179" s="132"/>
      <c r="Z179" s="134"/>
    </row>
    <row r="180" spans="1:26">
      <c r="A180" s="132">
        <v>177</v>
      </c>
      <c r="B180" s="126">
        <f t="shared" si="2"/>
        <v>45866</v>
      </c>
      <c r="C180" s="127">
        <f>YEAR(MC_2[[#This Row],[Date]])+IF(MONTH(MC_2[[#This Row],[Date]])&gt;=4,1,0)</f>
        <v>2026</v>
      </c>
      <c r="D180" s="128">
        <f>YEAR(MC_2[[#This Row],[Date]])</f>
        <v>2025</v>
      </c>
      <c r="E180" s="125" t="s">
        <v>157</v>
      </c>
      <c r="F180" s="125" t="s">
        <v>157</v>
      </c>
      <c r="G180" s="129" t="str">
        <f>TEXT(MC_2[[#This Row],[Date]],"mmm-yy")</f>
        <v>Jul-25</v>
      </c>
      <c r="H180" s="129">
        <f>DAY(EOMONTH(MC_2[[#This Row],[Month Year]],0))</f>
        <v>31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4">
        <f>SUM(MC_2[[#This Row],[ICR1]:[ICR5]])</f>
        <v>0</v>
      </c>
      <c r="T180" s="132"/>
      <c r="U180" s="132"/>
      <c r="V180" s="132"/>
      <c r="W180" s="132"/>
      <c r="X180" s="132"/>
      <c r="Y180" s="132"/>
      <c r="Z180" s="134"/>
    </row>
    <row r="181" spans="1:26">
      <c r="A181" s="132">
        <v>179</v>
      </c>
      <c r="B181" s="126">
        <f t="shared" si="2"/>
        <v>45867</v>
      </c>
      <c r="C181" s="127">
        <f>YEAR(MC_2[[#This Row],[Date]])+IF(MONTH(MC_2[[#This Row],[Date]])&gt;=4,1,0)</f>
        <v>2026</v>
      </c>
      <c r="D181" s="128">
        <f>YEAR(MC_2[[#This Row],[Date]])</f>
        <v>2025</v>
      </c>
      <c r="E181" s="125" t="s">
        <v>157</v>
      </c>
      <c r="F181" s="125" t="s">
        <v>157</v>
      </c>
      <c r="G181" s="129" t="str">
        <f>TEXT(MC_2[[#This Row],[Date]],"mmm-yy")</f>
        <v>Jul-25</v>
      </c>
      <c r="H181" s="129">
        <f>DAY(EOMONTH(MC_2[[#This Row],[Month Year]],0))</f>
        <v>31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4">
        <f>SUM(MC_2[[#This Row],[ICR1]:[ICR5]])</f>
        <v>0</v>
      </c>
      <c r="T181" s="132"/>
      <c r="U181" s="132"/>
      <c r="V181" s="132"/>
      <c r="W181" s="132"/>
      <c r="X181" s="132"/>
      <c r="Y181" s="132"/>
      <c r="Z181" s="134"/>
    </row>
    <row r="182" spans="1:26">
      <c r="A182" s="132">
        <v>180</v>
      </c>
      <c r="B182" s="126">
        <f t="shared" si="2"/>
        <v>45868</v>
      </c>
      <c r="C182" s="127">
        <f>YEAR(MC_2[[#This Row],[Date]])+IF(MONTH(MC_2[[#This Row],[Date]])&gt;=4,1,0)</f>
        <v>2026</v>
      </c>
      <c r="D182" s="128">
        <f>YEAR(MC_2[[#This Row],[Date]])</f>
        <v>2025</v>
      </c>
      <c r="E182" s="125" t="s">
        <v>157</v>
      </c>
      <c r="F182" s="125" t="s">
        <v>157</v>
      </c>
      <c r="G182" s="129" t="str">
        <f>TEXT(MC_2[[#This Row],[Date]],"mmm-yy")</f>
        <v>Jul-25</v>
      </c>
      <c r="H182" s="129">
        <f>DAY(EOMONTH(MC_2[[#This Row],[Month Year]],0))</f>
        <v>31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4">
        <f>SUM(MC_2[[#This Row],[ICR1]:[ICR5]])</f>
        <v>0</v>
      </c>
      <c r="T182" s="132"/>
      <c r="U182" s="132"/>
      <c r="V182" s="132"/>
      <c r="W182" s="132"/>
      <c r="X182" s="132"/>
      <c r="Y182" s="132"/>
      <c r="Z182" s="134"/>
    </row>
    <row r="183" spans="1:26">
      <c r="A183" s="132">
        <v>181</v>
      </c>
      <c r="B183" s="126">
        <f t="shared" si="2"/>
        <v>45869</v>
      </c>
      <c r="C183" s="127">
        <f>YEAR(MC_2[[#This Row],[Date]])+IF(MONTH(MC_2[[#This Row],[Date]])&gt;=4,1,0)</f>
        <v>2026</v>
      </c>
      <c r="D183" s="128">
        <f>YEAR(MC_2[[#This Row],[Date]])</f>
        <v>2025</v>
      </c>
      <c r="E183" s="125" t="s">
        <v>157</v>
      </c>
      <c r="F183" s="125" t="s">
        <v>157</v>
      </c>
      <c r="G183" s="129" t="str">
        <f>TEXT(MC_2[[#This Row],[Date]],"mmm-yy")</f>
        <v>Jul-25</v>
      </c>
      <c r="H183" s="129">
        <f>DAY(EOMONTH(MC_2[[#This Row],[Month Year]],0))</f>
        <v>31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4">
        <f>SUM(MC_2[[#This Row],[ICR1]:[ICR5]])</f>
        <v>0</v>
      </c>
      <c r="T183" s="132"/>
      <c r="U183" s="132"/>
      <c r="V183" s="132"/>
      <c r="W183" s="132"/>
      <c r="X183" s="132"/>
      <c r="Y183" s="132"/>
      <c r="Z183" s="134"/>
    </row>
    <row r="184" spans="1:26">
      <c r="A184" s="132">
        <v>182</v>
      </c>
      <c r="B184" s="126">
        <f t="shared" si="2"/>
        <v>45870</v>
      </c>
      <c r="C184" s="127">
        <f>YEAR(MC_2[[#This Row],[Date]])+IF(MONTH(MC_2[[#This Row],[Date]])&gt;=4,1,0)</f>
        <v>2026</v>
      </c>
      <c r="D184" s="128">
        <f>YEAR(MC_2[[#This Row],[Date]])</f>
        <v>2025</v>
      </c>
      <c r="E184" s="125" t="s">
        <v>157</v>
      </c>
      <c r="F184" s="125" t="s">
        <v>157</v>
      </c>
      <c r="G184" s="129" t="str">
        <f>TEXT(MC_2[[#This Row],[Date]],"mmm-yy")</f>
        <v>Aug-25</v>
      </c>
      <c r="H184" s="129">
        <f>DAY(EOMONTH(MC_2[[#This Row],[Month Year]],0))</f>
        <v>31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4">
        <f>SUM(MC_2[[#This Row],[ICR1]:[ICR5]])</f>
        <v>0</v>
      </c>
      <c r="T184" s="132"/>
      <c r="U184" s="132"/>
      <c r="V184" s="132"/>
      <c r="W184" s="132"/>
      <c r="X184" s="132"/>
      <c r="Y184" s="132"/>
      <c r="Z184" s="134"/>
    </row>
    <row r="185" spans="1:26">
      <c r="A185" s="132">
        <v>183</v>
      </c>
      <c r="B185" s="126">
        <f t="shared" si="2"/>
        <v>45871</v>
      </c>
      <c r="C185" s="127">
        <f>YEAR(MC_2[[#This Row],[Date]])+IF(MONTH(MC_2[[#This Row],[Date]])&gt;=4,1,0)</f>
        <v>2026</v>
      </c>
      <c r="D185" s="128">
        <f>YEAR(MC_2[[#This Row],[Date]])</f>
        <v>2025</v>
      </c>
      <c r="E185" s="125" t="s">
        <v>157</v>
      </c>
      <c r="F185" s="125" t="s">
        <v>157</v>
      </c>
      <c r="G185" s="129" t="str">
        <f>TEXT(MC_2[[#This Row],[Date]],"mmm-yy")</f>
        <v>Aug-25</v>
      </c>
      <c r="H185" s="129">
        <f>DAY(EOMONTH(MC_2[[#This Row],[Month Year]],0))</f>
        <v>31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4">
        <f>SUM(MC_2[[#This Row],[ICR1]:[ICR5]])</f>
        <v>0</v>
      </c>
      <c r="T185" s="132"/>
      <c r="U185" s="132"/>
      <c r="V185" s="132"/>
      <c r="W185" s="132"/>
      <c r="X185" s="132"/>
      <c r="Y185" s="132"/>
      <c r="Z185" s="134"/>
    </row>
    <row r="186" spans="1:26">
      <c r="A186" s="132">
        <v>184</v>
      </c>
      <c r="B186" s="126">
        <f t="shared" si="2"/>
        <v>45872</v>
      </c>
      <c r="C186" s="127">
        <f>YEAR(MC_2[[#This Row],[Date]])+IF(MONTH(MC_2[[#This Row],[Date]])&gt;=4,1,0)</f>
        <v>2026</v>
      </c>
      <c r="D186" s="128">
        <f>YEAR(MC_2[[#This Row],[Date]])</f>
        <v>2025</v>
      </c>
      <c r="E186" s="125" t="s">
        <v>157</v>
      </c>
      <c r="F186" s="125" t="s">
        <v>157</v>
      </c>
      <c r="G186" s="129" t="str">
        <f>TEXT(MC_2[[#This Row],[Date]],"mmm-yy")</f>
        <v>Aug-25</v>
      </c>
      <c r="H186" s="129">
        <f>DAY(EOMONTH(MC_2[[#This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4">
        <f>SUM(MC_2[[#This Row],[ICR1]:[ICR5]])</f>
        <v>0</v>
      </c>
      <c r="T186" s="132"/>
      <c r="U186" s="132"/>
      <c r="V186" s="132"/>
      <c r="W186" s="132"/>
      <c r="X186" s="132"/>
      <c r="Y186" s="132"/>
      <c r="Z186" s="134"/>
    </row>
    <row r="187" spans="1:26">
      <c r="A187" s="132">
        <v>185</v>
      </c>
      <c r="B187" s="126">
        <f t="shared" si="2"/>
        <v>45873</v>
      </c>
      <c r="C187" s="127">
        <f>YEAR(MC_2[[#This Row],[Date]])+IF(MONTH(MC_2[[#This Row],[Date]])&gt;=4,1,0)</f>
        <v>2026</v>
      </c>
      <c r="D187" s="128">
        <f>YEAR(MC_2[[#This Row],[Date]])</f>
        <v>2025</v>
      </c>
      <c r="E187" s="125" t="s">
        <v>157</v>
      </c>
      <c r="F187" s="125" t="s">
        <v>157</v>
      </c>
      <c r="G187" s="129" t="str">
        <f>TEXT(MC_2[[#This Row],[Date]],"mmm-yy")</f>
        <v>Aug-25</v>
      </c>
      <c r="H187" s="129">
        <f>DAY(EOMONTH(MC_2[[#This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4">
        <f>SUM(MC_2[[#This Row],[ICR1]:[ICR5]])</f>
        <v>0</v>
      </c>
      <c r="T187" s="132"/>
      <c r="U187" s="132"/>
      <c r="V187" s="132"/>
      <c r="W187" s="132"/>
      <c r="X187" s="132"/>
      <c r="Y187" s="132"/>
      <c r="Z187" s="134"/>
    </row>
    <row r="188" spans="1:26">
      <c r="A188" s="132">
        <v>186</v>
      </c>
      <c r="B188" s="126">
        <f t="shared" si="2"/>
        <v>45874</v>
      </c>
      <c r="C188" s="127">
        <f>YEAR(MC_2[[#This Row],[Date]])+IF(MONTH(MC_2[[#This Row],[Date]])&gt;=4,1,0)</f>
        <v>2026</v>
      </c>
      <c r="D188" s="128">
        <f>YEAR(MC_2[[#This Row],[Date]])</f>
        <v>2025</v>
      </c>
      <c r="E188" s="125" t="s">
        <v>157</v>
      </c>
      <c r="F188" s="125" t="s">
        <v>157</v>
      </c>
      <c r="G188" s="129" t="str">
        <f>TEXT(MC_2[[#This Row],[Date]],"mmm-yy")</f>
        <v>Aug-25</v>
      </c>
      <c r="H188" s="129">
        <f>DAY(EOMONTH(MC_2[[#This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4">
        <f>SUM(MC_2[[#This Row],[ICR1]:[ICR5]])</f>
        <v>0</v>
      </c>
      <c r="T188" s="132"/>
      <c r="U188" s="132"/>
      <c r="V188" s="132"/>
      <c r="W188" s="132"/>
      <c r="X188" s="132"/>
      <c r="Y188" s="132"/>
      <c r="Z188" s="134"/>
    </row>
    <row r="189" spans="1:26">
      <c r="A189" s="132">
        <v>187</v>
      </c>
      <c r="B189" s="126">
        <f t="shared" si="2"/>
        <v>45875</v>
      </c>
      <c r="C189" s="127">
        <f>YEAR(MC_2[[#This Row],[Date]])+IF(MONTH(MC_2[[#This Row],[Date]])&gt;=4,1,0)</f>
        <v>2026</v>
      </c>
      <c r="D189" s="128">
        <f>YEAR(MC_2[[#This Row],[Date]])</f>
        <v>2025</v>
      </c>
      <c r="E189" s="125" t="s">
        <v>157</v>
      </c>
      <c r="F189" s="125" t="s">
        <v>157</v>
      </c>
      <c r="G189" s="129" t="str">
        <f>TEXT(MC_2[[#This Row],[Date]],"mmm-yy")</f>
        <v>Aug-25</v>
      </c>
      <c r="H189" s="129">
        <f>DAY(EOMONTH(MC_2[[#This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4">
        <f>SUM(MC_2[[#This Row],[ICR1]:[ICR5]])</f>
        <v>0</v>
      </c>
      <c r="T189" s="132"/>
      <c r="U189" s="132"/>
      <c r="V189" s="132"/>
      <c r="W189" s="132"/>
      <c r="X189" s="132"/>
      <c r="Y189" s="132"/>
      <c r="Z189" s="134"/>
    </row>
    <row r="190" spans="1:26">
      <c r="A190" s="132">
        <v>188</v>
      </c>
      <c r="B190" s="126">
        <f t="shared" si="2"/>
        <v>45876</v>
      </c>
      <c r="C190" s="127">
        <f>YEAR(MC_2[[#This Row],[Date]])+IF(MONTH(MC_2[[#This Row],[Date]])&gt;=4,1,0)</f>
        <v>2026</v>
      </c>
      <c r="D190" s="128">
        <f>YEAR(MC_2[[#This Row],[Date]])</f>
        <v>2025</v>
      </c>
      <c r="E190" s="125" t="s">
        <v>157</v>
      </c>
      <c r="F190" s="125" t="s">
        <v>157</v>
      </c>
      <c r="G190" s="129" t="str">
        <f>TEXT(MC_2[[#This Row],[Date]],"mmm-yy")</f>
        <v>Aug-25</v>
      </c>
      <c r="H190" s="129">
        <f>DAY(EOMONTH(MC_2[[#This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4">
        <f>SUM(MC_2[[#This Row],[ICR1]:[ICR5]])</f>
        <v>0</v>
      </c>
      <c r="T190" s="132"/>
      <c r="U190" s="132"/>
      <c r="V190" s="132"/>
      <c r="W190" s="132"/>
      <c r="X190" s="132"/>
      <c r="Y190" s="132"/>
      <c r="Z190" s="134"/>
    </row>
    <row r="191" spans="1:26">
      <c r="A191" s="132">
        <v>189</v>
      </c>
      <c r="B191" s="126">
        <f t="shared" si="2"/>
        <v>45877</v>
      </c>
      <c r="C191" s="127">
        <f>YEAR(MC_2[[#This Row],[Date]])+IF(MONTH(MC_2[[#This Row],[Date]])&gt;=4,1,0)</f>
        <v>2026</v>
      </c>
      <c r="D191" s="128">
        <f>YEAR(MC_2[[#This Row],[Date]])</f>
        <v>2025</v>
      </c>
      <c r="E191" s="125" t="s">
        <v>157</v>
      </c>
      <c r="F191" s="125" t="s">
        <v>157</v>
      </c>
      <c r="G191" s="129" t="str">
        <f>TEXT(MC_2[[#This Row],[Date]],"mmm-yy")</f>
        <v>Aug-25</v>
      </c>
      <c r="H191" s="129">
        <f>DAY(EOMONTH(MC_2[[#This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4">
        <f>SUM(MC_2[[#This Row],[ICR1]:[ICR5]])</f>
        <v>0</v>
      </c>
      <c r="T191" s="132"/>
      <c r="U191" s="132"/>
      <c r="V191" s="132"/>
      <c r="W191" s="132"/>
      <c r="X191" s="132"/>
      <c r="Y191" s="132"/>
      <c r="Z191" s="134"/>
    </row>
    <row r="192" spans="1:26">
      <c r="A192" s="132">
        <v>190</v>
      </c>
      <c r="B192" s="126">
        <f t="shared" si="2"/>
        <v>45878</v>
      </c>
      <c r="C192" s="127">
        <f>YEAR(MC_2[[#This Row],[Date]])+IF(MONTH(MC_2[[#This Row],[Date]])&gt;=4,1,0)</f>
        <v>2026</v>
      </c>
      <c r="D192" s="128">
        <f>YEAR(MC_2[[#This Row],[Date]])</f>
        <v>2025</v>
      </c>
      <c r="E192" s="125" t="s">
        <v>157</v>
      </c>
      <c r="F192" s="125" t="s">
        <v>157</v>
      </c>
      <c r="G192" s="129" t="str">
        <f>TEXT(MC_2[[#This Row],[Date]],"mmm-yy")</f>
        <v>Aug-25</v>
      </c>
      <c r="H192" s="129">
        <f>DAY(EOMONTH(MC_2[[#This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4">
        <f>SUM(MC_2[[#This Row],[ICR1]:[ICR5]])</f>
        <v>0</v>
      </c>
      <c r="T192" s="132"/>
      <c r="U192" s="132"/>
      <c r="V192" s="132"/>
      <c r="W192" s="132"/>
      <c r="X192" s="132"/>
      <c r="Y192" s="132"/>
      <c r="Z192" s="134"/>
    </row>
    <row r="193" spans="1:26">
      <c r="A193" s="132">
        <v>191</v>
      </c>
      <c r="B193" s="126">
        <f t="shared" si="2"/>
        <v>45879</v>
      </c>
      <c r="C193" s="127">
        <f>YEAR(MC_2[[#This Row],[Date]])+IF(MONTH(MC_2[[#This Row],[Date]])&gt;=4,1,0)</f>
        <v>2026</v>
      </c>
      <c r="D193" s="128">
        <f>YEAR(MC_2[[#This Row],[Date]])</f>
        <v>2025</v>
      </c>
      <c r="E193" s="125" t="s">
        <v>157</v>
      </c>
      <c r="F193" s="125" t="s">
        <v>157</v>
      </c>
      <c r="G193" s="129" t="str">
        <f>TEXT(MC_2[[#This Row],[Date]],"mmm-yy")</f>
        <v>Aug-25</v>
      </c>
      <c r="H193" s="129">
        <f>DAY(EOMONTH(MC_2[[#This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4">
        <f>SUM(MC_2[[#This Row],[ICR1]:[ICR5]])</f>
        <v>0</v>
      </c>
      <c r="T193" s="132"/>
      <c r="U193" s="132"/>
      <c r="V193" s="132"/>
      <c r="W193" s="132"/>
      <c r="X193" s="132"/>
      <c r="Y193" s="132"/>
      <c r="Z193" s="134"/>
    </row>
    <row r="194" spans="1:26">
      <c r="A194" s="132">
        <v>192</v>
      </c>
      <c r="B194" s="126">
        <f t="shared" si="2"/>
        <v>45880</v>
      </c>
      <c r="C194" s="127">
        <f>YEAR(MC_2[[#This Row],[Date]])+IF(MONTH(MC_2[[#This Row],[Date]])&gt;=4,1,0)</f>
        <v>2026</v>
      </c>
      <c r="D194" s="128">
        <f>YEAR(MC_2[[#This Row],[Date]])</f>
        <v>2025</v>
      </c>
      <c r="E194" s="125" t="s">
        <v>157</v>
      </c>
      <c r="F194" s="125" t="s">
        <v>157</v>
      </c>
      <c r="G194" s="129" t="str">
        <f>TEXT(MC_2[[#This Row],[Date]],"mmm-yy")</f>
        <v>Aug-25</v>
      </c>
      <c r="H194" s="129">
        <f>DAY(EOMONTH(MC_2[[#This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4">
        <f>SUM(MC_2[[#This Row],[ICR1]:[ICR5]])</f>
        <v>0</v>
      </c>
      <c r="T194" s="132"/>
      <c r="U194" s="132"/>
      <c r="V194" s="132"/>
      <c r="W194" s="132"/>
      <c r="X194" s="132"/>
      <c r="Y194" s="132"/>
      <c r="Z194" s="134"/>
    </row>
    <row r="195" spans="1:26">
      <c r="A195" s="132">
        <v>193</v>
      </c>
      <c r="B195" s="126">
        <f t="shared" si="2"/>
        <v>45881</v>
      </c>
      <c r="C195" s="127">
        <f>YEAR(MC_2[[#This Row],[Date]])+IF(MONTH(MC_2[[#This Row],[Date]])&gt;=4,1,0)</f>
        <v>2026</v>
      </c>
      <c r="D195" s="128">
        <f>YEAR(MC_2[[#This Row],[Date]])</f>
        <v>2025</v>
      </c>
      <c r="E195" s="125" t="s">
        <v>157</v>
      </c>
      <c r="F195" s="125" t="s">
        <v>157</v>
      </c>
      <c r="G195" s="129" t="str">
        <f>TEXT(MC_2[[#This Row],[Date]],"mmm-yy")</f>
        <v>Aug-25</v>
      </c>
      <c r="H195" s="129">
        <f>DAY(EOMONTH(MC_2[[#This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4">
        <f>SUM(MC_2[[#This Row],[ICR1]:[ICR5]])</f>
        <v>0</v>
      </c>
      <c r="T195" s="132"/>
      <c r="U195" s="132"/>
      <c r="V195" s="132"/>
      <c r="W195" s="132"/>
      <c r="X195" s="132"/>
      <c r="Y195" s="132"/>
      <c r="Z195" s="134"/>
    </row>
    <row r="196" spans="1:26">
      <c r="A196" s="132">
        <v>194</v>
      </c>
      <c r="B196" s="126">
        <f t="shared" si="2"/>
        <v>45882</v>
      </c>
      <c r="C196" s="127">
        <f>YEAR(MC_2[[#This Row],[Date]])+IF(MONTH(MC_2[[#This Row],[Date]])&gt;=4,1,0)</f>
        <v>2026</v>
      </c>
      <c r="D196" s="128">
        <f>YEAR(MC_2[[#This Row],[Date]])</f>
        <v>2025</v>
      </c>
      <c r="E196" s="125" t="s">
        <v>157</v>
      </c>
      <c r="F196" s="125" t="s">
        <v>157</v>
      </c>
      <c r="G196" s="129" t="str">
        <f>TEXT(MC_2[[#This Row],[Date]],"mmm-yy")</f>
        <v>Aug-25</v>
      </c>
      <c r="H196" s="129">
        <f>DAY(EOMONTH(MC_2[[#This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4">
        <f>SUM(MC_2[[#This Row],[ICR1]:[ICR5]])</f>
        <v>0</v>
      </c>
      <c r="T196" s="132"/>
      <c r="U196" s="132"/>
      <c r="V196" s="132"/>
      <c r="W196" s="132"/>
      <c r="X196" s="132"/>
      <c r="Y196" s="132"/>
      <c r="Z196" s="134"/>
    </row>
    <row r="197" spans="1:26">
      <c r="A197" s="132">
        <v>195</v>
      </c>
      <c r="B197" s="126">
        <f t="shared" ref="B197:B260" si="3">B196+1</f>
        <v>45883</v>
      </c>
      <c r="C197" s="127">
        <f>YEAR(MC_2[[#This Row],[Date]])+IF(MONTH(MC_2[[#This Row],[Date]])&gt;=4,1,0)</f>
        <v>2026</v>
      </c>
      <c r="D197" s="128">
        <f>YEAR(MC_2[[#This Row],[Date]])</f>
        <v>2025</v>
      </c>
      <c r="E197" s="125" t="s">
        <v>157</v>
      </c>
      <c r="F197" s="125" t="s">
        <v>157</v>
      </c>
      <c r="G197" s="129" t="str">
        <f>TEXT(MC_2[[#This Row],[Date]],"mmm-yy")</f>
        <v>Aug-25</v>
      </c>
      <c r="H197" s="129">
        <f>DAY(EOMONTH(MC_2[[#This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4">
        <f>SUM(MC_2[[#This Row],[ICR1]:[ICR5]])</f>
        <v>0</v>
      </c>
      <c r="T197" s="132"/>
      <c r="U197" s="132"/>
      <c r="V197" s="132"/>
      <c r="W197" s="132"/>
      <c r="X197" s="132"/>
      <c r="Y197" s="132"/>
      <c r="Z197" s="134"/>
    </row>
    <row r="198" spans="1:26">
      <c r="A198" s="132">
        <v>196</v>
      </c>
      <c r="B198" s="126">
        <f t="shared" si="3"/>
        <v>45884</v>
      </c>
      <c r="C198" s="127">
        <f>YEAR(MC_2[[#This Row],[Date]])+IF(MONTH(MC_2[[#This Row],[Date]])&gt;=4,1,0)</f>
        <v>2026</v>
      </c>
      <c r="D198" s="128">
        <f>YEAR(MC_2[[#This Row],[Date]])</f>
        <v>2025</v>
      </c>
      <c r="E198" s="125" t="s">
        <v>157</v>
      </c>
      <c r="F198" s="125" t="s">
        <v>157</v>
      </c>
      <c r="G198" s="129" t="str">
        <f>TEXT(MC_2[[#This Row],[Date]],"mmm-yy")</f>
        <v>Aug-25</v>
      </c>
      <c r="H198" s="129">
        <f>DAY(EOMONTH(MC_2[[#This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4">
        <f>SUM(MC_2[[#This Row],[ICR1]:[ICR5]])</f>
        <v>0</v>
      </c>
      <c r="T198" s="132"/>
      <c r="U198" s="132"/>
      <c r="V198" s="132"/>
      <c r="W198" s="132"/>
      <c r="X198" s="132"/>
      <c r="Y198" s="132"/>
      <c r="Z198" s="134"/>
    </row>
    <row r="199" spans="1:26">
      <c r="A199" s="132">
        <v>197</v>
      </c>
      <c r="B199" s="126">
        <f t="shared" si="3"/>
        <v>45885</v>
      </c>
      <c r="C199" s="127">
        <f>YEAR(MC_2[[#This Row],[Date]])+IF(MONTH(MC_2[[#This Row],[Date]])&gt;=4,1,0)</f>
        <v>2026</v>
      </c>
      <c r="D199" s="128">
        <f>YEAR(MC_2[[#This Row],[Date]])</f>
        <v>2025</v>
      </c>
      <c r="E199" s="125" t="s">
        <v>157</v>
      </c>
      <c r="F199" s="125" t="s">
        <v>157</v>
      </c>
      <c r="G199" s="129" t="str">
        <f>TEXT(MC_2[[#This Row],[Date]],"mmm-yy")</f>
        <v>Aug-25</v>
      </c>
      <c r="H199" s="129">
        <f>DAY(EOMONTH(MC_2[[#This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4">
        <f>SUM(MC_2[[#This Row],[ICR1]:[ICR5]])</f>
        <v>0</v>
      </c>
      <c r="T199" s="132"/>
      <c r="U199" s="132"/>
      <c r="V199" s="132"/>
      <c r="W199" s="132"/>
      <c r="X199" s="132"/>
      <c r="Y199" s="132"/>
      <c r="Z199" s="134"/>
    </row>
    <row r="200" spans="1:26">
      <c r="A200" s="132">
        <v>198</v>
      </c>
      <c r="B200" s="126">
        <f t="shared" si="3"/>
        <v>45886</v>
      </c>
      <c r="C200" s="127">
        <f>YEAR(MC_2[[#This Row],[Date]])+IF(MONTH(MC_2[[#This Row],[Date]])&gt;=4,1,0)</f>
        <v>2026</v>
      </c>
      <c r="D200" s="128">
        <f>YEAR(MC_2[[#This Row],[Date]])</f>
        <v>2025</v>
      </c>
      <c r="E200" s="125" t="s">
        <v>157</v>
      </c>
      <c r="F200" s="125" t="s">
        <v>157</v>
      </c>
      <c r="G200" s="129" t="str">
        <f>TEXT(MC_2[[#This Row],[Date]],"mmm-yy")</f>
        <v>Aug-25</v>
      </c>
      <c r="H200" s="129">
        <f>DAY(EOMONTH(MC_2[[#This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4">
        <f>SUM(MC_2[[#This Row],[ICR1]:[ICR5]])</f>
        <v>0</v>
      </c>
      <c r="T200" s="132"/>
      <c r="U200" s="132"/>
      <c r="V200" s="132"/>
      <c r="W200" s="132"/>
      <c r="X200" s="132"/>
      <c r="Y200" s="132"/>
      <c r="Z200" s="134"/>
    </row>
    <row r="201" spans="1:26">
      <c r="A201" s="132">
        <v>199</v>
      </c>
      <c r="B201" s="126">
        <f t="shared" si="3"/>
        <v>45887</v>
      </c>
      <c r="C201" s="127">
        <f>YEAR(MC_2[[#This Row],[Date]])+IF(MONTH(MC_2[[#This Row],[Date]])&gt;=4,1,0)</f>
        <v>2026</v>
      </c>
      <c r="D201" s="128">
        <f>YEAR(MC_2[[#This Row],[Date]])</f>
        <v>2025</v>
      </c>
      <c r="E201" s="125" t="s">
        <v>157</v>
      </c>
      <c r="F201" s="125" t="s">
        <v>157</v>
      </c>
      <c r="G201" s="129" t="str">
        <f>TEXT(MC_2[[#This Row],[Date]],"mmm-yy")</f>
        <v>Aug-25</v>
      </c>
      <c r="H201" s="129">
        <f>DAY(EOMONTH(MC_2[[#This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4">
        <f>SUM(MC_2[[#This Row],[ICR1]:[ICR5]])</f>
        <v>0</v>
      </c>
      <c r="T201" s="132"/>
      <c r="U201" s="132"/>
      <c r="V201" s="132"/>
      <c r="W201" s="132"/>
      <c r="X201" s="132"/>
      <c r="Y201" s="132"/>
      <c r="Z201" s="134"/>
    </row>
    <row r="202" spans="1:26">
      <c r="A202" s="132">
        <v>200</v>
      </c>
      <c r="B202" s="126">
        <f t="shared" si="3"/>
        <v>45888</v>
      </c>
      <c r="C202" s="127">
        <f>YEAR(MC_2[[#This Row],[Date]])+IF(MONTH(MC_2[[#This Row],[Date]])&gt;=4,1,0)</f>
        <v>2026</v>
      </c>
      <c r="D202" s="128">
        <f>YEAR(MC_2[[#This Row],[Date]])</f>
        <v>2025</v>
      </c>
      <c r="E202" s="125" t="s">
        <v>157</v>
      </c>
      <c r="F202" s="125" t="s">
        <v>157</v>
      </c>
      <c r="G202" s="129" t="str">
        <f>TEXT(MC_2[[#This Row],[Date]],"mmm-yy")</f>
        <v>Aug-25</v>
      </c>
      <c r="H202" s="129">
        <f>DAY(EOMONTH(MC_2[[#This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4">
        <f>SUM(MC_2[[#This Row],[ICR1]:[ICR5]])</f>
        <v>0</v>
      </c>
      <c r="T202" s="132"/>
      <c r="U202" s="132"/>
      <c r="V202" s="132"/>
      <c r="W202" s="132"/>
      <c r="X202" s="132"/>
      <c r="Y202" s="132"/>
      <c r="Z202" s="134"/>
    </row>
    <row r="203" spans="1:26">
      <c r="A203" s="132">
        <v>201</v>
      </c>
      <c r="B203" s="126">
        <f t="shared" si="3"/>
        <v>45889</v>
      </c>
      <c r="C203" s="127">
        <f>YEAR(MC_2[[#This Row],[Date]])+IF(MONTH(MC_2[[#This Row],[Date]])&gt;=4,1,0)</f>
        <v>2026</v>
      </c>
      <c r="D203" s="128">
        <f>YEAR(MC_2[[#This Row],[Date]])</f>
        <v>2025</v>
      </c>
      <c r="E203" s="125" t="s">
        <v>157</v>
      </c>
      <c r="F203" s="125" t="s">
        <v>157</v>
      </c>
      <c r="G203" s="129" t="str">
        <f>TEXT(MC_2[[#This Row],[Date]],"mmm-yy")</f>
        <v>Aug-25</v>
      </c>
      <c r="H203" s="129">
        <f>DAY(EOMONTH(MC_2[[#This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4">
        <f>SUM(MC_2[[#This Row],[ICR1]:[ICR5]])</f>
        <v>0</v>
      </c>
      <c r="T203" s="132"/>
      <c r="U203" s="132"/>
      <c r="V203" s="132"/>
      <c r="W203" s="132"/>
      <c r="X203" s="132"/>
      <c r="Y203" s="132"/>
      <c r="Z203" s="134"/>
    </row>
    <row r="204" spans="1:26">
      <c r="A204" s="132">
        <v>202</v>
      </c>
      <c r="B204" s="126">
        <f t="shared" si="3"/>
        <v>45890</v>
      </c>
      <c r="C204" s="127">
        <f>YEAR(MC_2[[#This Row],[Date]])+IF(MONTH(MC_2[[#This Row],[Date]])&gt;=4,1,0)</f>
        <v>2026</v>
      </c>
      <c r="D204" s="128">
        <f>YEAR(MC_2[[#This Row],[Date]])</f>
        <v>2025</v>
      </c>
      <c r="E204" s="125" t="s">
        <v>157</v>
      </c>
      <c r="F204" s="125" t="s">
        <v>157</v>
      </c>
      <c r="G204" s="129" t="str">
        <f>TEXT(MC_2[[#This Row],[Date]],"mmm-yy")</f>
        <v>Aug-25</v>
      </c>
      <c r="H204" s="129">
        <f>DAY(EOMONTH(MC_2[[#This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4">
        <f>SUM(MC_2[[#This Row],[ICR1]:[ICR5]])</f>
        <v>0</v>
      </c>
      <c r="T204" s="132"/>
      <c r="U204" s="132"/>
      <c r="V204" s="132"/>
      <c r="W204" s="132"/>
      <c r="X204" s="132"/>
      <c r="Y204" s="132"/>
      <c r="Z204" s="134"/>
    </row>
    <row r="205" spans="1:26">
      <c r="A205" s="132">
        <v>203</v>
      </c>
      <c r="B205" s="126">
        <f t="shared" si="3"/>
        <v>45891</v>
      </c>
      <c r="C205" s="127">
        <f>YEAR(MC_2[[#This Row],[Date]])+IF(MONTH(MC_2[[#This Row],[Date]])&gt;=4,1,0)</f>
        <v>2026</v>
      </c>
      <c r="D205" s="128">
        <f>YEAR(MC_2[[#This Row],[Date]])</f>
        <v>2025</v>
      </c>
      <c r="E205" s="125" t="s">
        <v>157</v>
      </c>
      <c r="F205" s="125" t="s">
        <v>157</v>
      </c>
      <c r="G205" s="129" t="str">
        <f>TEXT(MC_2[[#This Row],[Date]],"mmm-yy")</f>
        <v>Aug-25</v>
      </c>
      <c r="H205" s="129">
        <f>DAY(EOMONTH(MC_2[[#This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4">
        <f>SUM(MC_2[[#This Row],[ICR1]:[ICR5]])</f>
        <v>0</v>
      </c>
      <c r="T205" s="132"/>
      <c r="U205" s="132"/>
      <c r="V205" s="132"/>
      <c r="W205" s="132"/>
      <c r="X205" s="132"/>
      <c r="Y205" s="132"/>
      <c r="Z205" s="134"/>
    </row>
    <row r="206" spans="1:26">
      <c r="A206" s="132">
        <v>204</v>
      </c>
      <c r="B206" s="126">
        <f t="shared" si="3"/>
        <v>45892</v>
      </c>
      <c r="C206" s="127">
        <f>YEAR(MC_2[[#This Row],[Date]])+IF(MONTH(MC_2[[#This Row],[Date]])&gt;=4,1,0)</f>
        <v>2026</v>
      </c>
      <c r="D206" s="128">
        <f>YEAR(MC_2[[#This Row],[Date]])</f>
        <v>2025</v>
      </c>
      <c r="E206" s="125" t="s">
        <v>157</v>
      </c>
      <c r="F206" s="125" t="s">
        <v>157</v>
      </c>
      <c r="G206" s="129" t="str">
        <f>TEXT(MC_2[[#This Row],[Date]],"mmm-yy")</f>
        <v>Aug-25</v>
      </c>
      <c r="H206" s="129">
        <f>DAY(EOMONTH(MC_2[[#This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4">
        <f>SUM(MC_2[[#This Row],[ICR1]:[ICR5]])</f>
        <v>0</v>
      </c>
      <c r="T206" s="132"/>
      <c r="U206" s="132"/>
      <c r="V206" s="132"/>
      <c r="W206" s="132"/>
      <c r="X206" s="132"/>
      <c r="Y206" s="132"/>
      <c r="Z206" s="134"/>
    </row>
    <row r="207" spans="1:26">
      <c r="A207" s="132">
        <v>205</v>
      </c>
      <c r="B207" s="126">
        <f t="shared" si="3"/>
        <v>45893</v>
      </c>
      <c r="C207" s="127">
        <f>YEAR(MC_2[[#This Row],[Date]])+IF(MONTH(MC_2[[#This Row],[Date]])&gt;=4,1,0)</f>
        <v>2026</v>
      </c>
      <c r="D207" s="128">
        <f>YEAR(MC_2[[#This Row],[Date]])</f>
        <v>2025</v>
      </c>
      <c r="E207" s="125" t="s">
        <v>157</v>
      </c>
      <c r="F207" s="125" t="s">
        <v>157</v>
      </c>
      <c r="G207" s="129" t="str">
        <f>TEXT(MC_2[[#This Row],[Date]],"mmm-yy")</f>
        <v>Aug-25</v>
      </c>
      <c r="H207" s="129">
        <f>DAY(EOMONTH(MC_2[[#This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4">
        <f>SUM(MC_2[[#This Row],[ICR1]:[ICR5]])</f>
        <v>0</v>
      </c>
      <c r="T207" s="132"/>
      <c r="U207" s="132"/>
      <c r="V207" s="132"/>
      <c r="W207" s="132"/>
      <c r="X207" s="132"/>
      <c r="Y207" s="132"/>
      <c r="Z207" s="134"/>
    </row>
    <row r="208" spans="1:26">
      <c r="A208" s="132">
        <v>206</v>
      </c>
      <c r="B208" s="126">
        <f t="shared" si="3"/>
        <v>45894</v>
      </c>
      <c r="C208" s="127">
        <f>YEAR(MC_2[[#This Row],[Date]])+IF(MONTH(MC_2[[#This Row],[Date]])&gt;=4,1,0)</f>
        <v>2026</v>
      </c>
      <c r="D208" s="128">
        <f>YEAR(MC_2[[#This Row],[Date]])</f>
        <v>2025</v>
      </c>
      <c r="E208" s="125" t="s">
        <v>157</v>
      </c>
      <c r="F208" s="125" t="s">
        <v>157</v>
      </c>
      <c r="G208" s="129" t="str">
        <f>TEXT(MC_2[[#This Row],[Date]],"mmm-yy")</f>
        <v>Aug-25</v>
      </c>
      <c r="H208" s="129">
        <f>DAY(EOMONTH(MC_2[[#This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4">
        <f>SUM(MC_2[[#This Row],[ICR1]:[ICR5]])</f>
        <v>0</v>
      </c>
      <c r="T208" s="132"/>
      <c r="U208" s="132"/>
      <c r="V208" s="132"/>
      <c r="W208" s="132"/>
      <c r="X208" s="132"/>
      <c r="Y208" s="132"/>
      <c r="Z208" s="134"/>
    </row>
    <row r="209" spans="1:26">
      <c r="A209" s="132">
        <v>207</v>
      </c>
      <c r="B209" s="126">
        <f t="shared" si="3"/>
        <v>45895</v>
      </c>
      <c r="C209" s="127">
        <f>YEAR(MC_2[[#This Row],[Date]])+IF(MONTH(MC_2[[#This Row],[Date]])&gt;=4,1,0)</f>
        <v>2026</v>
      </c>
      <c r="D209" s="128">
        <f>YEAR(MC_2[[#This Row],[Date]])</f>
        <v>2025</v>
      </c>
      <c r="E209" s="125" t="s">
        <v>157</v>
      </c>
      <c r="F209" s="125" t="s">
        <v>157</v>
      </c>
      <c r="G209" s="129" t="str">
        <f>TEXT(MC_2[[#This Row],[Date]],"mmm-yy")</f>
        <v>Aug-25</v>
      </c>
      <c r="H209" s="129">
        <f>DAY(EOMONTH(MC_2[[#This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4">
        <f>SUM(MC_2[[#This Row],[ICR1]:[ICR5]])</f>
        <v>0</v>
      </c>
      <c r="T209" s="132"/>
      <c r="U209" s="132"/>
      <c r="V209" s="132"/>
      <c r="W209" s="132"/>
      <c r="X209" s="132"/>
      <c r="Y209" s="132"/>
      <c r="Z209" s="134"/>
    </row>
    <row r="210" spans="1:26">
      <c r="A210" s="132">
        <v>208</v>
      </c>
      <c r="B210" s="126">
        <f t="shared" si="3"/>
        <v>45896</v>
      </c>
      <c r="C210" s="127">
        <f>YEAR(MC_2[[#This Row],[Date]])+IF(MONTH(MC_2[[#This Row],[Date]])&gt;=4,1,0)</f>
        <v>2026</v>
      </c>
      <c r="D210" s="128">
        <f>YEAR(MC_2[[#This Row],[Date]])</f>
        <v>2025</v>
      </c>
      <c r="E210" s="125" t="s">
        <v>157</v>
      </c>
      <c r="F210" s="125" t="s">
        <v>157</v>
      </c>
      <c r="G210" s="129" t="str">
        <f>TEXT(MC_2[[#This Row],[Date]],"mmm-yy")</f>
        <v>Aug-25</v>
      </c>
      <c r="H210" s="129">
        <f>DAY(EOMONTH(MC_2[[#This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4">
        <f>SUM(MC_2[[#This Row],[ICR1]:[ICR5]])</f>
        <v>0</v>
      </c>
      <c r="T210" s="132"/>
      <c r="U210" s="132"/>
      <c r="V210" s="132"/>
      <c r="W210" s="132"/>
      <c r="X210" s="132"/>
      <c r="Y210" s="132"/>
      <c r="Z210" s="134"/>
    </row>
    <row r="211" spans="1:26">
      <c r="A211" s="132">
        <v>209</v>
      </c>
      <c r="B211" s="126">
        <f t="shared" si="3"/>
        <v>45897</v>
      </c>
      <c r="C211" s="127">
        <f>YEAR(MC_2[[#This Row],[Date]])+IF(MONTH(MC_2[[#This Row],[Date]])&gt;=4,1,0)</f>
        <v>2026</v>
      </c>
      <c r="D211" s="128">
        <f>YEAR(MC_2[[#This Row],[Date]])</f>
        <v>2025</v>
      </c>
      <c r="E211" s="125" t="s">
        <v>157</v>
      </c>
      <c r="F211" s="125" t="s">
        <v>157</v>
      </c>
      <c r="G211" s="129" t="str">
        <f>TEXT(MC_2[[#This Row],[Date]],"mmm-yy")</f>
        <v>Aug-25</v>
      </c>
      <c r="H211" s="129">
        <f>DAY(EOMONTH(MC_2[[#This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4">
        <f>SUM(MC_2[[#This Row],[ICR1]:[ICR5]])</f>
        <v>0</v>
      </c>
      <c r="T211" s="132"/>
      <c r="U211" s="132"/>
      <c r="V211" s="132"/>
      <c r="W211" s="132"/>
      <c r="X211" s="132"/>
      <c r="Y211" s="132"/>
      <c r="Z211" s="134"/>
    </row>
    <row r="212" spans="1:26">
      <c r="A212" s="132">
        <v>210</v>
      </c>
      <c r="B212" s="126">
        <f t="shared" si="3"/>
        <v>45898</v>
      </c>
      <c r="C212" s="127">
        <f>YEAR(MC_2[[#This Row],[Date]])+IF(MONTH(MC_2[[#This Row],[Date]])&gt;=4,1,0)</f>
        <v>2026</v>
      </c>
      <c r="D212" s="128">
        <f>YEAR(MC_2[[#This Row],[Date]])</f>
        <v>2025</v>
      </c>
      <c r="E212" s="125" t="s">
        <v>157</v>
      </c>
      <c r="F212" s="125" t="s">
        <v>157</v>
      </c>
      <c r="G212" s="129" t="str">
        <f>TEXT(MC_2[[#This Row],[Date]],"mmm-yy")</f>
        <v>Aug-25</v>
      </c>
      <c r="H212" s="129">
        <f>DAY(EOMONTH(MC_2[[#This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4">
        <f>SUM(MC_2[[#This Row],[ICR1]:[ICR5]])</f>
        <v>0</v>
      </c>
      <c r="T212" s="132"/>
      <c r="U212" s="132"/>
      <c r="V212" s="132"/>
      <c r="W212" s="132"/>
      <c r="X212" s="132"/>
      <c r="Y212" s="132"/>
      <c r="Z212" s="134"/>
    </row>
    <row r="213" spans="1:26">
      <c r="A213" s="132">
        <v>211</v>
      </c>
      <c r="B213" s="126">
        <f t="shared" si="3"/>
        <v>45899</v>
      </c>
      <c r="C213" s="127">
        <f>YEAR(MC_2[[#This Row],[Date]])+IF(MONTH(MC_2[[#This Row],[Date]])&gt;=4,1,0)</f>
        <v>2026</v>
      </c>
      <c r="D213" s="128">
        <f>YEAR(MC_2[[#This Row],[Date]])</f>
        <v>2025</v>
      </c>
      <c r="E213" s="125" t="s">
        <v>157</v>
      </c>
      <c r="F213" s="125" t="s">
        <v>157</v>
      </c>
      <c r="G213" s="129" t="str">
        <f>TEXT(MC_2[[#This Row],[Date]],"mmm-yy")</f>
        <v>Aug-25</v>
      </c>
      <c r="H213" s="129">
        <f>DAY(EOMONTH(MC_2[[#This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4">
        <f>SUM(MC_2[[#This Row],[ICR1]:[ICR5]])</f>
        <v>0</v>
      </c>
      <c r="T213" s="132"/>
      <c r="U213" s="132"/>
      <c r="V213" s="132"/>
      <c r="W213" s="132"/>
      <c r="X213" s="132"/>
      <c r="Y213" s="132"/>
      <c r="Z213" s="134"/>
    </row>
    <row r="214" spans="1:26">
      <c r="A214" s="132">
        <v>212</v>
      </c>
      <c r="B214" s="126">
        <f t="shared" si="3"/>
        <v>45900</v>
      </c>
      <c r="C214" s="127">
        <f>YEAR(MC_2[[#This Row],[Date]])+IF(MONTH(MC_2[[#This Row],[Date]])&gt;=4,1,0)</f>
        <v>2026</v>
      </c>
      <c r="D214" s="128">
        <f>YEAR(MC_2[[#This Row],[Date]])</f>
        <v>2025</v>
      </c>
      <c r="E214" s="125" t="s">
        <v>157</v>
      </c>
      <c r="F214" s="125" t="s">
        <v>157</v>
      </c>
      <c r="G214" s="129" t="str">
        <f>TEXT(MC_2[[#This Row],[Date]],"mmm-yy")</f>
        <v>Aug-25</v>
      </c>
      <c r="H214" s="129">
        <f>DAY(EOMONTH(MC_2[[#This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4">
        <f>SUM(MC_2[[#This Row],[ICR1]:[ICR5]])</f>
        <v>0</v>
      </c>
      <c r="T214" s="132"/>
      <c r="U214" s="132"/>
      <c r="V214" s="132"/>
      <c r="W214" s="132"/>
      <c r="X214" s="132"/>
      <c r="Y214" s="132"/>
      <c r="Z214" s="134"/>
    </row>
    <row r="215" spans="1:26">
      <c r="A215" s="132">
        <v>213</v>
      </c>
      <c r="B215" s="126">
        <f t="shared" si="3"/>
        <v>45901</v>
      </c>
      <c r="C215" s="127">
        <f>YEAR(MC_2[[#This Row],[Date]])+IF(MONTH(MC_2[[#This Row],[Date]])&gt;=4,1,0)</f>
        <v>2026</v>
      </c>
      <c r="D215" s="128">
        <f>YEAR(MC_2[[#This Row],[Date]])</f>
        <v>2025</v>
      </c>
      <c r="E215" s="125" t="s">
        <v>157</v>
      </c>
      <c r="F215" s="125" t="s">
        <v>157</v>
      </c>
      <c r="G215" s="129" t="str">
        <f>TEXT(MC_2[[#This Row],[Date]],"mmm-yy")</f>
        <v>Sep-25</v>
      </c>
      <c r="H215" s="129">
        <f>DAY(EOMONTH(MC_2[[#This Row],[Month Year]],0))</f>
        <v>30</v>
      </c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4">
        <f>SUM(MC_2[[#This Row],[ICR1]:[ICR5]])</f>
        <v>0</v>
      </c>
      <c r="T215" s="132"/>
      <c r="U215" s="132"/>
      <c r="V215" s="132"/>
      <c r="W215" s="132"/>
      <c r="X215" s="132"/>
      <c r="Y215" s="132"/>
      <c r="Z215" s="134"/>
    </row>
    <row r="216" spans="1:26">
      <c r="A216" s="132">
        <v>214</v>
      </c>
      <c r="B216" s="126">
        <f t="shared" si="3"/>
        <v>45902</v>
      </c>
      <c r="C216" s="127">
        <f>YEAR(MC_2[[#This Row],[Date]])+IF(MONTH(MC_2[[#This Row],[Date]])&gt;=4,1,0)</f>
        <v>2026</v>
      </c>
      <c r="D216" s="128">
        <f>YEAR(MC_2[[#This Row],[Date]])</f>
        <v>2025</v>
      </c>
      <c r="E216" s="125" t="s">
        <v>157</v>
      </c>
      <c r="F216" s="125" t="s">
        <v>157</v>
      </c>
      <c r="G216" s="129" t="str">
        <f>TEXT(MC_2[[#This Row],[Date]],"mmm-yy")</f>
        <v>Sep-25</v>
      </c>
      <c r="H216" s="129">
        <f>DAY(EOMONTH(MC_2[[#This Row],[Month Year]],0))</f>
        <v>30</v>
      </c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4">
        <f>SUM(MC_2[[#This Row],[ICR1]:[ICR5]])</f>
        <v>0</v>
      </c>
      <c r="T216" s="132"/>
      <c r="U216" s="132"/>
      <c r="V216" s="132"/>
      <c r="W216" s="132"/>
      <c r="X216" s="132"/>
      <c r="Y216" s="132"/>
      <c r="Z216" s="134"/>
    </row>
    <row r="217" spans="1:26">
      <c r="A217" s="132">
        <v>215</v>
      </c>
      <c r="B217" s="126">
        <f t="shared" si="3"/>
        <v>45903</v>
      </c>
      <c r="C217" s="127">
        <f>YEAR(MC_2[[#This Row],[Date]])+IF(MONTH(MC_2[[#This Row],[Date]])&gt;=4,1,0)</f>
        <v>2026</v>
      </c>
      <c r="D217" s="128">
        <f>YEAR(MC_2[[#This Row],[Date]])</f>
        <v>2025</v>
      </c>
      <c r="E217" s="125" t="s">
        <v>157</v>
      </c>
      <c r="F217" s="125" t="s">
        <v>157</v>
      </c>
      <c r="G217" s="129" t="str">
        <f>TEXT(MC_2[[#This Row],[Date]],"mmm-yy")</f>
        <v>Sep-25</v>
      </c>
      <c r="H217" s="129">
        <f>DAY(EOMONTH(MC_2[[#This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4">
        <f>SUM(MC_2[[#This Row],[ICR1]:[ICR5]])</f>
        <v>0</v>
      </c>
      <c r="T217" s="132"/>
      <c r="U217" s="132"/>
      <c r="V217" s="132"/>
      <c r="W217" s="132"/>
      <c r="X217" s="132"/>
      <c r="Y217" s="132"/>
      <c r="Z217" s="134"/>
    </row>
    <row r="218" spans="1:26">
      <c r="A218" s="132">
        <v>216</v>
      </c>
      <c r="B218" s="126">
        <f t="shared" si="3"/>
        <v>45904</v>
      </c>
      <c r="C218" s="127">
        <f>YEAR(MC_2[[#This Row],[Date]])+IF(MONTH(MC_2[[#This Row],[Date]])&gt;=4,1,0)</f>
        <v>2026</v>
      </c>
      <c r="D218" s="128">
        <f>YEAR(MC_2[[#This Row],[Date]])</f>
        <v>2025</v>
      </c>
      <c r="E218" s="125" t="s">
        <v>157</v>
      </c>
      <c r="F218" s="125" t="s">
        <v>157</v>
      </c>
      <c r="G218" s="129" t="str">
        <f>TEXT(MC_2[[#This Row],[Date]],"mmm-yy")</f>
        <v>Sep-25</v>
      </c>
      <c r="H218" s="129">
        <f>DAY(EOMONTH(MC_2[[#This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4">
        <f>SUM(MC_2[[#This Row],[ICR1]:[ICR5]])</f>
        <v>0</v>
      </c>
      <c r="T218" s="132"/>
      <c r="U218" s="132"/>
      <c r="V218" s="132"/>
      <c r="W218" s="132"/>
      <c r="X218" s="132"/>
      <c r="Y218" s="132"/>
      <c r="Z218" s="134"/>
    </row>
    <row r="219" spans="1:26">
      <c r="A219" s="132">
        <v>217</v>
      </c>
      <c r="B219" s="126">
        <f t="shared" si="3"/>
        <v>45905</v>
      </c>
      <c r="C219" s="127">
        <f>YEAR(MC_2[[#This Row],[Date]])+IF(MONTH(MC_2[[#This Row],[Date]])&gt;=4,1,0)</f>
        <v>2026</v>
      </c>
      <c r="D219" s="128">
        <f>YEAR(MC_2[[#This Row],[Date]])</f>
        <v>2025</v>
      </c>
      <c r="E219" s="125" t="s">
        <v>157</v>
      </c>
      <c r="F219" s="125" t="s">
        <v>157</v>
      </c>
      <c r="G219" s="129" t="str">
        <f>TEXT(MC_2[[#This Row],[Date]],"mmm-yy")</f>
        <v>Sep-25</v>
      </c>
      <c r="H219" s="129">
        <f>DAY(EOMONTH(MC_2[[#This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4">
        <f>SUM(MC_2[[#This Row],[ICR1]:[ICR5]])</f>
        <v>0</v>
      </c>
      <c r="T219" s="132"/>
      <c r="U219" s="132"/>
      <c r="V219" s="132"/>
      <c r="W219" s="132"/>
      <c r="X219" s="132"/>
      <c r="Y219" s="132"/>
      <c r="Z219" s="134"/>
    </row>
    <row r="220" spans="1:26">
      <c r="A220" s="132">
        <v>218</v>
      </c>
      <c r="B220" s="126">
        <f t="shared" si="3"/>
        <v>45906</v>
      </c>
      <c r="C220" s="127">
        <f>YEAR(MC_2[[#This Row],[Date]])+IF(MONTH(MC_2[[#This Row],[Date]])&gt;=4,1,0)</f>
        <v>2026</v>
      </c>
      <c r="D220" s="128">
        <f>YEAR(MC_2[[#This Row],[Date]])</f>
        <v>2025</v>
      </c>
      <c r="E220" s="125" t="s">
        <v>157</v>
      </c>
      <c r="F220" s="125" t="s">
        <v>157</v>
      </c>
      <c r="G220" s="129" t="str">
        <f>TEXT(MC_2[[#This Row],[Date]],"mmm-yy")</f>
        <v>Sep-25</v>
      </c>
      <c r="H220" s="129">
        <f>DAY(EOMONTH(MC_2[[#This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4">
        <f>SUM(MC_2[[#This Row],[ICR1]:[ICR5]])</f>
        <v>0</v>
      </c>
      <c r="T220" s="132"/>
      <c r="U220" s="132"/>
      <c r="V220" s="132"/>
      <c r="W220" s="132"/>
      <c r="X220" s="132"/>
      <c r="Y220" s="132"/>
      <c r="Z220" s="134"/>
    </row>
    <row r="221" spans="1:26">
      <c r="A221" s="132">
        <v>219</v>
      </c>
      <c r="B221" s="126">
        <f t="shared" si="3"/>
        <v>45907</v>
      </c>
      <c r="C221" s="127">
        <f>YEAR(MC_2[[#This Row],[Date]])+IF(MONTH(MC_2[[#This Row],[Date]])&gt;=4,1,0)</f>
        <v>2026</v>
      </c>
      <c r="D221" s="128">
        <f>YEAR(MC_2[[#This Row],[Date]])</f>
        <v>2025</v>
      </c>
      <c r="E221" s="125" t="s">
        <v>157</v>
      </c>
      <c r="F221" s="125" t="s">
        <v>157</v>
      </c>
      <c r="G221" s="129" t="str">
        <f>TEXT(MC_2[[#This Row],[Date]],"mmm-yy")</f>
        <v>Sep-25</v>
      </c>
      <c r="H221" s="129">
        <f>DAY(EOMONTH(MC_2[[#This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4">
        <f>SUM(MC_2[[#This Row],[ICR1]:[ICR5]])</f>
        <v>0</v>
      </c>
      <c r="T221" s="132"/>
      <c r="U221" s="132"/>
      <c r="V221" s="132"/>
      <c r="W221" s="132"/>
      <c r="X221" s="132"/>
      <c r="Y221" s="132"/>
      <c r="Z221" s="134"/>
    </row>
    <row r="222" spans="1:26">
      <c r="A222" s="132">
        <v>220</v>
      </c>
      <c r="B222" s="126">
        <f t="shared" si="3"/>
        <v>45908</v>
      </c>
      <c r="C222" s="127">
        <f>YEAR(MC_2[[#This Row],[Date]])+IF(MONTH(MC_2[[#This Row],[Date]])&gt;=4,1,0)</f>
        <v>2026</v>
      </c>
      <c r="D222" s="128">
        <f>YEAR(MC_2[[#This Row],[Date]])</f>
        <v>2025</v>
      </c>
      <c r="E222" s="125" t="s">
        <v>157</v>
      </c>
      <c r="F222" s="125" t="s">
        <v>157</v>
      </c>
      <c r="G222" s="129" t="str">
        <f>TEXT(MC_2[[#This Row],[Date]],"mmm-yy")</f>
        <v>Sep-25</v>
      </c>
      <c r="H222" s="129">
        <f>DAY(EOMONTH(MC_2[[#This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4">
        <f>SUM(MC_2[[#This Row],[ICR1]:[ICR5]])</f>
        <v>0</v>
      </c>
      <c r="T222" s="132"/>
      <c r="U222" s="132"/>
      <c r="V222" s="132"/>
      <c r="W222" s="132"/>
      <c r="X222" s="132"/>
      <c r="Y222" s="132"/>
      <c r="Z222" s="134"/>
    </row>
    <row r="223" spans="1:26">
      <c r="A223" s="132">
        <v>221</v>
      </c>
      <c r="B223" s="126">
        <f t="shared" si="3"/>
        <v>45909</v>
      </c>
      <c r="C223" s="127">
        <f>YEAR(MC_2[[#This Row],[Date]])+IF(MONTH(MC_2[[#This Row],[Date]])&gt;=4,1,0)</f>
        <v>2026</v>
      </c>
      <c r="D223" s="128">
        <f>YEAR(MC_2[[#This Row],[Date]])</f>
        <v>2025</v>
      </c>
      <c r="E223" s="125" t="s">
        <v>157</v>
      </c>
      <c r="F223" s="125" t="s">
        <v>157</v>
      </c>
      <c r="G223" s="129" t="str">
        <f>TEXT(MC_2[[#This Row],[Date]],"mmm-yy")</f>
        <v>Sep-25</v>
      </c>
      <c r="H223" s="129">
        <f>DAY(EOMONTH(MC_2[[#This Row],[Month Year]],0))</f>
        <v>30</v>
      </c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4">
        <f>SUM(MC_2[[#This Row],[ICR1]:[ICR5]])</f>
        <v>0</v>
      </c>
      <c r="T223" s="132"/>
      <c r="U223" s="132"/>
      <c r="V223" s="132"/>
      <c r="W223" s="132"/>
      <c r="X223" s="132"/>
      <c r="Y223" s="132"/>
      <c r="Z223" s="134"/>
    </row>
    <row r="224" spans="1:26">
      <c r="A224" s="132">
        <v>222</v>
      </c>
      <c r="B224" s="126">
        <f t="shared" si="3"/>
        <v>45910</v>
      </c>
      <c r="C224" s="127">
        <f>YEAR(MC_2[[#This Row],[Date]])+IF(MONTH(MC_2[[#This Row],[Date]])&gt;=4,1,0)</f>
        <v>2026</v>
      </c>
      <c r="D224" s="128">
        <f>YEAR(MC_2[[#This Row],[Date]])</f>
        <v>2025</v>
      </c>
      <c r="E224" s="125" t="s">
        <v>157</v>
      </c>
      <c r="F224" s="125" t="s">
        <v>157</v>
      </c>
      <c r="G224" s="129" t="str">
        <f>TEXT(MC_2[[#This Row],[Date]],"mmm-yy")</f>
        <v>Sep-25</v>
      </c>
      <c r="H224" s="129">
        <f>DAY(EOMONTH(MC_2[[#This Row],[Month Year]],0))</f>
        <v>30</v>
      </c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4">
        <f>SUM(MC_2[[#This Row],[ICR1]:[ICR5]])</f>
        <v>0</v>
      </c>
      <c r="T224" s="132"/>
      <c r="U224" s="132"/>
      <c r="V224" s="132"/>
      <c r="W224" s="132"/>
      <c r="X224" s="132"/>
      <c r="Y224" s="132"/>
      <c r="Z224" s="134"/>
    </row>
    <row r="225" spans="1:26">
      <c r="A225" s="132">
        <v>223</v>
      </c>
      <c r="B225" s="126">
        <f t="shared" si="3"/>
        <v>45911</v>
      </c>
      <c r="C225" s="127">
        <f>YEAR(MC_2[[#This Row],[Date]])+IF(MONTH(MC_2[[#This Row],[Date]])&gt;=4,1,0)</f>
        <v>2026</v>
      </c>
      <c r="D225" s="128">
        <f>YEAR(MC_2[[#This Row],[Date]])</f>
        <v>2025</v>
      </c>
      <c r="E225" s="125" t="s">
        <v>157</v>
      </c>
      <c r="F225" s="125" t="s">
        <v>157</v>
      </c>
      <c r="G225" s="129" t="str">
        <f>TEXT(MC_2[[#This Row],[Date]],"mmm-yy")</f>
        <v>Sep-25</v>
      </c>
      <c r="H225" s="129">
        <f>DAY(EOMONTH(MC_2[[#This Row],[Month Year]],0))</f>
        <v>30</v>
      </c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4">
        <f>SUM(MC_2[[#This Row],[ICR1]:[ICR5]])</f>
        <v>0</v>
      </c>
      <c r="T225" s="132"/>
      <c r="U225" s="132"/>
      <c r="V225" s="132"/>
      <c r="W225" s="132"/>
      <c r="X225" s="132"/>
      <c r="Y225" s="132"/>
      <c r="Z225" s="134"/>
    </row>
    <row r="226" spans="1:26">
      <c r="A226" s="132">
        <v>224</v>
      </c>
      <c r="B226" s="126">
        <f t="shared" si="3"/>
        <v>45912</v>
      </c>
      <c r="C226" s="127">
        <f>YEAR(MC_2[[#This Row],[Date]])+IF(MONTH(MC_2[[#This Row],[Date]])&gt;=4,1,0)</f>
        <v>2026</v>
      </c>
      <c r="D226" s="128">
        <f>YEAR(MC_2[[#This Row],[Date]])</f>
        <v>2025</v>
      </c>
      <c r="E226" s="125" t="s">
        <v>157</v>
      </c>
      <c r="F226" s="125" t="s">
        <v>157</v>
      </c>
      <c r="G226" s="129" t="str">
        <f>TEXT(MC_2[[#This Row],[Date]],"mmm-yy")</f>
        <v>Sep-25</v>
      </c>
      <c r="H226" s="129">
        <f>DAY(EOMONTH(MC_2[[#This Row],[Month Year]],0))</f>
        <v>30</v>
      </c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4">
        <f>SUM(MC_2[[#This Row],[ICR1]:[ICR5]])</f>
        <v>0</v>
      </c>
      <c r="T226" s="132"/>
      <c r="U226" s="132"/>
      <c r="V226" s="132"/>
      <c r="W226" s="132"/>
      <c r="X226" s="132"/>
      <c r="Y226" s="132"/>
      <c r="Z226" s="134"/>
    </row>
    <row r="227" spans="1:26">
      <c r="A227" s="132">
        <v>225</v>
      </c>
      <c r="B227" s="126">
        <f t="shared" si="3"/>
        <v>45913</v>
      </c>
      <c r="C227" s="127">
        <f>YEAR(MC_2[[#This Row],[Date]])+IF(MONTH(MC_2[[#This Row],[Date]])&gt;=4,1,0)</f>
        <v>2026</v>
      </c>
      <c r="D227" s="128">
        <f>YEAR(MC_2[[#This Row],[Date]])</f>
        <v>2025</v>
      </c>
      <c r="E227" s="125" t="s">
        <v>157</v>
      </c>
      <c r="F227" s="125" t="s">
        <v>157</v>
      </c>
      <c r="G227" s="129" t="str">
        <f>TEXT(MC_2[[#This Row],[Date]],"mmm-yy")</f>
        <v>Sep-25</v>
      </c>
      <c r="H227" s="129">
        <f>DAY(EOMONTH(MC_2[[#This Row],[Month Year]],0))</f>
        <v>30</v>
      </c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4">
        <f>SUM(MC_2[[#This Row],[ICR1]:[ICR5]])</f>
        <v>0</v>
      </c>
      <c r="T227" s="132"/>
      <c r="U227" s="132"/>
      <c r="V227" s="132"/>
      <c r="W227" s="132"/>
      <c r="X227" s="132"/>
      <c r="Y227" s="132"/>
      <c r="Z227" s="134"/>
    </row>
    <row r="228" spans="1:26">
      <c r="A228" s="132">
        <v>226</v>
      </c>
      <c r="B228" s="126">
        <f t="shared" si="3"/>
        <v>45914</v>
      </c>
      <c r="C228" s="127">
        <f>YEAR(MC_2[[#This Row],[Date]])+IF(MONTH(MC_2[[#This Row],[Date]])&gt;=4,1,0)</f>
        <v>2026</v>
      </c>
      <c r="D228" s="128">
        <f>YEAR(MC_2[[#This Row],[Date]])</f>
        <v>2025</v>
      </c>
      <c r="E228" s="125" t="s">
        <v>157</v>
      </c>
      <c r="F228" s="125" t="s">
        <v>157</v>
      </c>
      <c r="G228" s="129" t="str">
        <f>TEXT(MC_2[[#This Row],[Date]],"mmm-yy")</f>
        <v>Sep-25</v>
      </c>
      <c r="H228" s="129">
        <f>DAY(EOMONTH(MC_2[[#This Row],[Month Year]],0))</f>
        <v>30</v>
      </c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4">
        <f>SUM(MC_2[[#This Row],[ICR1]:[ICR5]])</f>
        <v>0</v>
      </c>
      <c r="T228" s="132"/>
      <c r="U228" s="132"/>
      <c r="V228" s="132"/>
      <c r="W228" s="132"/>
      <c r="X228" s="132"/>
      <c r="Y228" s="132"/>
      <c r="Z228" s="134"/>
    </row>
    <row r="229" spans="1:26">
      <c r="A229" s="132">
        <v>227</v>
      </c>
      <c r="B229" s="126">
        <f t="shared" si="3"/>
        <v>45915</v>
      </c>
      <c r="C229" s="127">
        <f>YEAR(MC_2[[#This Row],[Date]])+IF(MONTH(MC_2[[#This Row],[Date]])&gt;=4,1,0)</f>
        <v>2026</v>
      </c>
      <c r="D229" s="128">
        <f>YEAR(MC_2[[#This Row],[Date]])</f>
        <v>2025</v>
      </c>
      <c r="E229" s="125" t="s">
        <v>157</v>
      </c>
      <c r="F229" s="125" t="s">
        <v>157</v>
      </c>
      <c r="G229" s="129" t="str">
        <f>TEXT(MC_2[[#This Row],[Date]],"mmm-yy")</f>
        <v>Sep-25</v>
      </c>
      <c r="H229" s="129">
        <f>DAY(EOMONTH(MC_2[[#This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4">
        <f>SUM(MC_2[[#This Row],[ICR1]:[ICR5]])</f>
        <v>0</v>
      </c>
      <c r="T229" s="132"/>
      <c r="U229" s="132"/>
      <c r="V229" s="132"/>
      <c r="W229" s="132"/>
      <c r="X229" s="132"/>
      <c r="Y229" s="132"/>
      <c r="Z229" s="134"/>
    </row>
    <row r="230" spans="1:26">
      <c r="A230" s="132">
        <v>228</v>
      </c>
      <c r="B230" s="126">
        <f t="shared" si="3"/>
        <v>45916</v>
      </c>
      <c r="C230" s="127">
        <f>YEAR(MC_2[[#This Row],[Date]])+IF(MONTH(MC_2[[#This Row],[Date]])&gt;=4,1,0)</f>
        <v>2026</v>
      </c>
      <c r="D230" s="128">
        <f>YEAR(MC_2[[#This Row],[Date]])</f>
        <v>2025</v>
      </c>
      <c r="E230" s="125" t="s">
        <v>157</v>
      </c>
      <c r="F230" s="125" t="s">
        <v>157</v>
      </c>
      <c r="G230" s="129" t="str">
        <f>TEXT(MC_2[[#This Row],[Date]],"mmm-yy")</f>
        <v>Sep-25</v>
      </c>
      <c r="H230" s="129">
        <f>DAY(EOMONTH(MC_2[[#This Row],[Month Year]],0))</f>
        <v>30</v>
      </c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4">
        <f>SUM(MC_2[[#This Row],[ICR1]:[ICR5]])</f>
        <v>0</v>
      </c>
      <c r="T230" s="132"/>
      <c r="U230" s="132"/>
      <c r="V230" s="132"/>
      <c r="W230" s="132"/>
      <c r="X230" s="132"/>
      <c r="Y230" s="132"/>
      <c r="Z230" s="134"/>
    </row>
    <row r="231" spans="1:26">
      <c r="A231" s="132">
        <v>229</v>
      </c>
      <c r="B231" s="126">
        <f t="shared" si="3"/>
        <v>45917</v>
      </c>
      <c r="C231" s="127">
        <f>YEAR(MC_2[[#This Row],[Date]])+IF(MONTH(MC_2[[#This Row],[Date]])&gt;=4,1,0)</f>
        <v>2026</v>
      </c>
      <c r="D231" s="128">
        <f>YEAR(MC_2[[#This Row],[Date]])</f>
        <v>2025</v>
      </c>
      <c r="E231" s="125" t="s">
        <v>157</v>
      </c>
      <c r="F231" s="125" t="s">
        <v>157</v>
      </c>
      <c r="G231" s="129" t="str">
        <f>TEXT(MC_2[[#This Row],[Date]],"mmm-yy")</f>
        <v>Sep-25</v>
      </c>
      <c r="H231" s="129">
        <f>DAY(EOMONTH(MC_2[[#This Row],[Month Year]],0))</f>
        <v>30</v>
      </c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4">
        <f>SUM(MC_2[[#This Row],[ICR1]:[ICR5]])</f>
        <v>0</v>
      </c>
      <c r="T231" s="132"/>
      <c r="U231" s="132"/>
      <c r="V231" s="132"/>
      <c r="W231" s="132"/>
      <c r="X231" s="132"/>
      <c r="Y231" s="132"/>
      <c r="Z231" s="134"/>
    </row>
    <row r="232" spans="1:26">
      <c r="A232" s="132">
        <v>230</v>
      </c>
      <c r="B232" s="126">
        <f t="shared" si="3"/>
        <v>45918</v>
      </c>
      <c r="C232" s="127">
        <f>YEAR(MC_2[[#This Row],[Date]])+IF(MONTH(MC_2[[#This Row],[Date]])&gt;=4,1,0)</f>
        <v>2026</v>
      </c>
      <c r="D232" s="128">
        <f>YEAR(MC_2[[#This Row],[Date]])</f>
        <v>2025</v>
      </c>
      <c r="E232" s="125" t="s">
        <v>157</v>
      </c>
      <c r="F232" s="125" t="s">
        <v>157</v>
      </c>
      <c r="G232" s="129" t="str">
        <f>TEXT(MC_2[[#This Row],[Date]],"mmm-yy")</f>
        <v>Sep-25</v>
      </c>
      <c r="H232" s="129">
        <f>DAY(EOMONTH(MC_2[[#This Row],[Month Year]],0))</f>
        <v>30</v>
      </c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4">
        <f>SUM(MC_2[[#This Row],[ICR1]:[ICR5]])</f>
        <v>0</v>
      </c>
      <c r="T232" s="132"/>
      <c r="U232" s="132"/>
      <c r="V232" s="132"/>
      <c r="W232" s="132"/>
      <c r="X232" s="132"/>
      <c r="Y232" s="132"/>
      <c r="Z232" s="134"/>
    </row>
    <row r="233" spans="1:26">
      <c r="A233" s="132">
        <v>231</v>
      </c>
      <c r="B233" s="126">
        <f t="shared" si="3"/>
        <v>45919</v>
      </c>
      <c r="C233" s="127">
        <f>YEAR(MC_2[[#This Row],[Date]])+IF(MONTH(MC_2[[#This Row],[Date]])&gt;=4,1,0)</f>
        <v>2026</v>
      </c>
      <c r="D233" s="128">
        <f>YEAR(MC_2[[#This Row],[Date]])</f>
        <v>2025</v>
      </c>
      <c r="E233" s="125" t="s">
        <v>157</v>
      </c>
      <c r="F233" s="125" t="s">
        <v>157</v>
      </c>
      <c r="G233" s="129" t="str">
        <f>TEXT(MC_2[[#This Row],[Date]],"mmm-yy")</f>
        <v>Sep-25</v>
      </c>
      <c r="H233" s="129">
        <f>DAY(EOMONTH(MC_2[[#This Row],[Month Year]],0))</f>
        <v>30</v>
      </c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4">
        <f>SUM(MC_2[[#This Row],[ICR1]:[ICR5]])</f>
        <v>0</v>
      </c>
      <c r="T233" s="132"/>
      <c r="U233" s="132"/>
      <c r="V233" s="132"/>
      <c r="W233" s="132"/>
      <c r="X233" s="132"/>
      <c r="Y233" s="132"/>
      <c r="Z233" s="134"/>
    </row>
    <row r="234" spans="1:26">
      <c r="A234" s="132">
        <v>232</v>
      </c>
      <c r="B234" s="126">
        <f t="shared" si="3"/>
        <v>45920</v>
      </c>
      <c r="C234" s="127">
        <f>YEAR(MC_2[[#This Row],[Date]])+IF(MONTH(MC_2[[#This Row],[Date]])&gt;=4,1,0)</f>
        <v>2026</v>
      </c>
      <c r="D234" s="128">
        <f>YEAR(MC_2[[#This Row],[Date]])</f>
        <v>2025</v>
      </c>
      <c r="E234" s="125" t="s">
        <v>157</v>
      </c>
      <c r="F234" s="125" t="s">
        <v>157</v>
      </c>
      <c r="G234" s="129" t="str">
        <f>TEXT(MC_2[[#This Row],[Date]],"mmm-yy")</f>
        <v>Sep-25</v>
      </c>
      <c r="H234" s="129">
        <f>DAY(EOMONTH(MC_2[[#This Row],[Month Year]],0))</f>
        <v>30</v>
      </c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4">
        <f>SUM(MC_2[[#This Row],[ICR1]:[ICR5]])</f>
        <v>0</v>
      </c>
      <c r="T234" s="132"/>
      <c r="U234" s="132"/>
      <c r="V234" s="132"/>
      <c r="W234" s="132"/>
      <c r="X234" s="132"/>
      <c r="Y234" s="132"/>
      <c r="Z234" s="134"/>
    </row>
    <row r="235" spans="1:26">
      <c r="A235" s="132">
        <v>233</v>
      </c>
      <c r="B235" s="126">
        <f t="shared" si="3"/>
        <v>45921</v>
      </c>
      <c r="C235" s="127">
        <f>YEAR(MC_2[[#This Row],[Date]])+IF(MONTH(MC_2[[#This Row],[Date]])&gt;=4,1,0)</f>
        <v>2026</v>
      </c>
      <c r="D235" s="128">
        <f>YEAR(MC_2[[#This Row],[Date]])</f>
        <v>2025</v>
      </c>
      <c r="E235" s="125" t="s">
        <v>157</v>
      </c>
      <c r="F235" s="125" t="s">
        <v>157</v>
      </c>
      <c r="G235" s="129" t="str">
        <f>TEXT(MC_2[[#This Row],[Date]],"mmm-yy")</f>
        <v>Sep-25</v>
      </c>
      <c r="H235" s="129">
        <f>DAY(EOMONTH(MC_2[[#This Row],[Month Year]],0))</f>
        <v>30</v>
      </c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4">
        <f>SUM(MC_2[[#This Row],[ICR1]:[ICR5]])</f>
        <v>0</v>
      </c>
      <c r="T235" s="132"/>
      <c r="U235" s="132"/>
      <c r="V235" s="132"/>
      <c r="W235" s="132"/>
      <c r="X235" s="132"/>
      <c r="Y235" s="132"/>
      <c r="Z235" s="134"/>
    </row>
    <row r="236" spans="1:26">
      <c r="A236" s="132">
        <v>234</v>
      </c>
      <c r="B236" s="126">
        <f t="shared" si="3"/>
        <v>45922</v>
      </c>
      <c r="C236" s="127">
        <f>YEAR(MC_2[[#This Row],[Date]])+IF(MONTH(MC_2[[#This Row],[Date]])&gt;=4,1,0)</f>
        <v>2026</v>
      </c>
      <c r="D236" s="128">
        <f>YEAR(MC_2[[#This Row],[Date]])</f>
        <v>2025</v>
      </c>
      <c r="E236" s="125" t="s">
        <v>157</v>
      </c>
      <c r="F236" s="125" t="s">
        <v>157</v>
      </c>
      <c r="G236" s="129" t="str">
        <f>TEXT(MC_2[[#This Row],[Date]],"mmm-yy")</f>
        <v>Sep-25</v>
      </c>
      <c r="H236" s="129">
        <f>DAY(EOMONTH(MC_2[[#This Row],[Month Year]],0))</f>
        <v>30</v>
      </c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4">
        <f>SUM(MC_2[[#This Row],[ICR1]:[ICR5]])</f>
        <v>0</v>
      </c>
      <c r="T236" s="132"/>
      <c r="U236" s="132"/>
      <c r="V236" s="132"/>
      <c r="W236" s="132"/>
      <c r="X236" s="132"/>
      <c r="Y236" s="132"/>
      <c r="Z236" s="134"/>
    </row>
    <row r="237" spans="1:26">
      <c r="A237" s="132">
        <v>235</v>
      </c>
      <c r="B237" s="126">
        <f t="shared" si="3"/>
        <v>45923</v>
      </c>
      <c r="C237" s="127">
        <f>YEAR(MC_2[[#This Row],[Date]])+IF(MONTH(MC_2[[#This Row],[Date]])&gt;=4,1,0)</f>
        <v>2026</v>
      </c>
      <c r="D237" s="128">
        <f>YEAR(MC_2[[#This Row],[Date]])</f>
        <v>2025</v>
      </c>
      <c r="E237" s="125" t="s">
        <v>157</v>
      </c>
      <c r="F237" s="125" t="s">
        <v>157</v>
      </c>
      <c r="G237" s="129" t="str">
        <f>TEXT(MC_2[[#This Row],[Date]],"mmm-yy")</f>
        <v>Sep-25</v>
      </c>
      <c r="H237" s="129">
        <f>DAY(EOMONTH(MC_2[[#This Row],[Month Year]],0))</f>
        <v>30</v>
      </c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4">
        <f>SUM(MC_2[[#This Row],[ICR1]:[ICR5]])</f>
        <v>0</v>
      </c>
      <c r="T237" s="132"/>
      <c r="U237" s="132"/>
      <c r="V237" s="132"/>
      <c r="W237" s="132"/>
      <c r="X237" s="132"/>
      <c r="Y237" s="132"/>
      <c r="Z237" s="134"/>
    </row>
    <row r="238" spans="1:26">
      <c r="A238" s="132">
        <v>236</v>
      </c>
      <c r="B238" s="126">
        <f t="shared" si="3"/>
        <v>45924</v>
      </c>
      <c r="C238" s="127">
        <f>YEAR(MC_2[[#This Row],[Date]])+IF(MONTH(MC_2[[#This Row],[Date]])&gt;=4,1,0)</f>
        <v>2026</v>
      </c>
      <c r="D238" s="128">
        <f>YEAR(MC_2[[#This Row],[Date]])</f>
        <v>2025</v>
      </c>
      <c r="E238" s="125" t="s">
        <v>157</v>
      </c>
      <c r="F238" s="125" t="s">
        <v>157</v>
      </c>
      <c r="G238" s="129" t="str">
        <f>TEXT(MC_2[[#This Row],[Date]],"mmm-yy")</f>
        <v>Sep-25</v>
      </c>
      <c r="H238" s="129">
        <f>DAY(EOMONTH(MC_2[[#This Row],[Month Year]],0))</f>
        <v>30</v>
      </c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4">
        <f>SUM(MC_2[[#This Row],[ICR1]:[ICR5]])</f>
        <v>0</v>
      </c>
      <c r="T238" s="132"/>
      <c r="U238" s="132"/>
      <c r="V238" s="132"/>
      <c r="W238" s="132"/>
      <c r="X238" s="132"/>
      <c r="Y238" s="132"/>
      <c r="Z238" s="134"/>
    </row>
    <row r="239" spans="1:26">
      <c r="A239" s="132">
        <v>237</v>
      </c>
      <c r="B239" s="126">
        <f t="shared" si="3"/>
        <v>45925</v>
      </c>
      <c r="C239" s="127">
        <f>YEAR(MC_2[[#This Row],[Date]])+IF(MONTH(MC_2[[#This Row],[Date]])&gt;=4,1,0)</f>
        <v>2026</v>
      </c>
      <c r="D239" s="128">
        <f>YEAR(MC_2[[#This Row],[Date]])</f>
        <v>2025</v>
      </c>
      <c r="E239" s="125" t="s">
        <v>157</v>
      </c>
      <c r="F239" s="125" t="s">
        <v>157</v>
      </c>
      <c r="G239" s="129" t="str">
        <f>TEXT(MC_2[[#This Row],[Date]],"mmm-yy")</f>
        <v>Sep-25</v>
      </c>
      <c r="H239" s="129">
        <f>DAY(EOMONTH(MC_2[[#This Row],[Month Year]],0))</f>
        <v>30</v>
      </c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4">
        <f>SUM(MC_2[[#This Row],[ICR1]:[ICR5]])</f>
        <v>0</v>
      </c>
      <c r="T239" s="132"/>
      <c r="U239" s="132"/>
      <c r="V239" s="132"/>
      <c r="W239" s="132"/>
      <c r="X239" s="132"/>
      <c r="Y239" s="132"/>
      <c r="Z239" s="134"/>
    </row>
    <row r="240" spans="1:26">
      <c r="A240" s="132">
        <v>238</v>
      </c>
      <c r="B240" s="126">
        <f t="shared" si="3"/>
        <v>45926</v>
      </c>
      <c r="C240" s="127">
        <f>YEAR(MC_2[[#This Row],[Date]])+IF(MONTH(MC_2[[#This Row],[Date]])&gt;=4,1,0)</f>
        <v>2026</v>
      </c>
      <c r="D240" s="128">
        <f>YEAR(MC_2[[#This Row],[Date]])</f>
        <v>2025</v>
      </c>
      <c r="E240" s="125" t="s">
        <v>157</v>
      </c>
      <c r="F240" s="125" t="s">
        <v>157</v>
      </c>
      <c r="G240" s="129" t="str">
        <f>TEXT(MC_2[[#This Row],[Date]],"mmm-yy")</f>
        <v>Sep-25</v>
      </c>
      <c r="H240" s="129">
        <f>DAY(EOMONTH(MC_2[[#This Row],[Month Year]],0))</f>
        <v>30</v>
      </c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4">
        <f>SUM(MC_2[[#This Row],[ICR1]:[ICR5]])</f>
        <v>0</v>
      </c>
      <c r="T240" s="132"/>
      <c r="U240" s="132"/>
      <c r="V240" s="132"/>
      <c r="W240" s="132"/>
      <c r="X240" s="132"/>
      <c r="Y240" s="132"/>
      <c r="Z240" s="134"/>
    </row>
    <row r="241" spans="1:26">
      <c r="A241" s="132">
        <v>239</v>
      </c>
      <c r="B241" s="126">
        <f t="shared" si="3"/>
        <v>45927</v>
      </c>
      <c r="C241" s="127">
        <f>YEAR(MC_2[[#This Row],[Date]])+IF(MONTH(MC_2[[#This Row],[Date]])&gt;=4,1,0)</f>
        <v>2026</v>
      </c>
      <c r="D241" s="128">
        <f>YEAR(MC_2[[#This Row],[Date]])</f>
        <v>2025</v>
      </c>
      <c r="E241" s="125" t="s">
        <v>157</v>
      </c>
      <c r="F241" s="125" t="s">
        <v>157</v>
      </c>
      <c r="G241" s="129" t="str">
        <f>TEXT(MC_2[[#This Row],[Date]],"mmm-yy")</f>
        <v>Sep-25</v>
      </c>
      <c r="H241" s="129">
        <f>DAY(EOMONTH(MC_2[[#This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4">
        <f>SUM(MC_2[[#This Row],[ICR1]:[ICR5]])</f>
        <v>0</v>
      </c>
      <c r="T241" s="132"/>
      <c r="U241" s="132"/>
      <c r="V241" s="132"/>
      <c r="W241" s="132"/>
      <c r="X241" s="132"/>
      <c r="Y241" s="132"/>
      <c r="Z241" s="134"/>
    </row>
    <row r="242" spans="1:26">
      <c r="A242" s="132">
        <v>240</v>
      </c>
      <c r="B242" s="126">
        <f t="shared" si="3"/>
        <v>45928</v>
      </c>
      <c r="C242" s="127">
        <f>YEAR(MC_2[[#This Row],[Date]])+IF(MONTH(MC_2[[#This Row],[Date]])&gt;=4,1,0)</f>
        <v>2026</v>
      </c>
      <c r="D242" s="128">
        <f>YEAR(MC_2[[#This Row],[Date]])</f>
        <v>2025</v>
      </c>
      <c r="E242" s="125" t="s">
        <v>157</v>
      </c>
      <c r="F242" s="125" t="s">
        <v>157</v>
      </c>
      <c r="G242" s="129" t="str">
        <f>TEXT(MC_2[[#This Row],[Date]],"mmm-yy")</f>
        <v>Sep-25</v>
      </c>
      <c r="H242" s="129">
        <f>DAY(EOMONTH(MC_2[[#This Row],[Month Year]],0))</f>
        <v>30</v>
      </c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4">
        <f>SUM(MC_2[[#This Row],[ICR1]:[ICR5]])</f>
        <v>0</v>
      </c>
      <c r="T242" s="132"/>
      <c r="U242" s="132"/>
      <c r="V242" s="132"/>
      <c r="W242" s="132"/>
      <c r="X242" s="132"/>
      <c r="Y242" s="132"/>
      <c r="Z242" s="134"/>
    </row>
    <row r="243" spans="1:26">
      <c r="A243" s="132">
        <v>241</v>
      </c>
      <c r="B243" s="126">
        <f t="shared" si="3"/>
        <v>45929</v>
      </c>
      <c r="C243" s="127">
        <f>YEAR(MC_2[[#This Row],[Date]])+IF(MONTH(MC_2[[#This Row],[Date]])&gt;=4,1,0)</f>
        <v>2026</v>
      </c>
      <c r="D243" s="128">
        <f>YEAR(MC_2[[#This Row],[Date]])</f>
        <v>2025</v>
      </c>
      <c r="E243" s="125" t="s">
        <v>157</v>
      </c>
      <c r="F243" s="125" t="s">
        <v>157</v>
      </c>
      <c r="G243" s="129" t="str">
        <f>TEXT(MC_2[[#This Row],[Date]],"mmm-yy")</f>
        <v>Sep-25</v>
      </c>
      <c r="H243" s="129">
        <f>DAY(EOMONTH(MC_2[[#This Row],[Month Year]],0))</f>
        <v>30</v>
      </c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4">
        <f>SUM(MC_2[[#This Row],[ICR1]:[ICR5]])</f>
        <v>0</v>
      </c>
      <c r="T243" s="132"/>
      <c r="U243" s="132"/>
      <c r="V243" s="132"/>
      <c r="W243" s="132"/>
      <c r="X243" s="132"/>
      <c r="Y243" s="132"/>
      <c r="Z243" s="134"/>
    </row>
    <row r="244" spans="1:26">
      <c r="A244" s="132">
        <v>242</v>
      </c>
      <c r="B244" s="126">
        <f t="shared" si="3"/>
        <v>45930</v>
      </c>
      <c r="C244" s="127">
        <f>YEAR(MC_2[[#This Row],[Date]])+IF(MONTH(MC_2[[#This Row],[Date]])&gt;=4,1,0)</f>
        <v>2026</v>
      </c>
      <c r="D244" s="128">
        <f>YEAR(MC_2[[#This Row],[Date]])</f>
        <v>2025</v>
      </c>
      <c r="E244" s="125" t="s">
        <v>157</v>
      </c>
      <c r="F244" s="125" t="s">
        <v>157</v>
      </c>
      <c r="G244" s="129" t="str">
        <f>TEXT(MC_2[[#This Row],[Date]],"mmm-yy")</f>
        <v>Sep-25</v>
      </c>
      <c r="H244" s="129">
        <f>DAY(EOMONTH(MC_2[[#This Row],[Month Year]],0))</f>
        <v>30</v>
      </c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4">
        <f>SUM(MC_2[[#This Row],[ICR1]:[ICR5]])</f>
        <v>0</v>
      </c>
      <c r="T244" s="132"/>
      <c r="U244" s="132"/>
      <c r="V244" s="132"/>
      <c r="W244" s="132"/>
      <c r="X244" s="132"/>
      <c r="Y244" s="132"/>
      <c r="Z244" s="134"/>
    </row>
    <row r="245" spans="1:26">
      <c r="A245" s="132">
        <v>243</v>
      </c>
      <c r="B245" s="126">
        <f t="shared" si="3"/>
        <v>45931</v>
      </c>
      <c r="C245" s="127">
        <f>YEAR(MC_2[[#This Row],[Date]])+IF(MONTH(MC_2[[#This Row],[Date]])&gt;=4,1,0)</f>
        <v>2026</v>
      </c>
      <c r="D245" s="128">
        <f>YEAR(MC_2[[#This Row],[Date]])</f>
        <v>2025</v>
      </c>
      <c r="E245" s="125" t="s">
        <v>157</v>
      </c>
      <c r="F245" s="125" t="s">
        <v>157</v>
      </c>
      <c r="G245" s="129" t="str">
        <f>TEXT(MC_2[[#This Row],[Date]],"mmm-yy")</f>
        <v>Oct-25</v>
      </c>
      <c r="H245" s="129">
        <f>DAY(EOMONTH(MC_2[[#This Row],[Month Year]],0))</f>
        <v>31</v>
      </c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4">
        <f>SUM(MC_2[[#This Row],[ICR1]:[ICR5]])</f>
        <v>0</v>
      </c>
      <c r="T245" s="132"/>
      <c r="U245" s="132"/>
      <c r="V245" s="132"/>
      <c r="W245" s="132"/>
      <c r="X245" s="132"/>
      <c r="Y245" s="132"/>
      <c r="Z245" s="134"/>
    </row>
    <row r="246" spans="1:26">
      <c r="A246" s="132">
        <v>244</v>
      </c>
      <c r="B246" s="126">
        <f t="shared" si="3"/>
        <v>45932</v>
      </c>
      <c r="C246" s="127">
        <f>YEAR(MC_2[[#This Row],[Date]])+IF(MONTH(MC_2[[#This Row],[Date]])&gt;=4,1,0)</f>
        <v>2026</v>
      </c>
      <c r="D246" s="128">
        <f>YEAR(MC_2[[#This Row],[Date]])</f>
        <v>2025</v>
      </c>
      <c r="E246" s="125" t="s">
        <v>157</v>
      </c>
      <c r="F246" s="125" t="s">
        <v>157</v>
      </c>
      <c r="G246" s="129" t="str">
        <f>TEXT(MC_2[[#This Row],[Date]],"mmm-yy")</f>
        <v>Oct-25</v>
      </c>
      <c r="H246" s="129">
        <f>DAY(EOMONTH(MC_2[[#This Row],[Month Year]],0))</f>
        <v>31</v>
      </c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4">
        <f>SUM(MC_2[[#This Row],[ICR1]:[ICR5]])</f>
        <v>0</v>
      </c>
      <c r="T246" s="132"/>
      <c r="U246" s="132"/>
      <c r="V246" s="132"/>
      <c r="W246" s="132"/>
      <c r="X246" s="132"/>
      <c r="Y246" s="132"/>
      <c r="Z246" s="134"/>
    </row>
    <row r="247" spans="1:26">
      <c r="A247" s="132">
        <v>245</v>
      </c>
      <c r="B247" s="126">
        <f t="shared" si="3"/>
        <v>45933</v>
      </c>
      <c r="C247" s="127">
        <f>YEAR(MC_2[[#This Row],[Date]])+IF(MONTH(MC_2[[#This Row],[Date]])&gt;=4,1,0)</f>
        <v>2026</v>
      </c>
      <c r="D247" s="128">
        <f>YEAR(MC_2[[#This Row],[Date]])</f>
        <v>2025</v>
      </c>
      <c r="E247" s="125" t="s">
        <v>157</v>
      </c>
      <c r="F247" s="125" t="s">
        <v>157</v>
      </c>
      <c r="G247" s="129" t="str">
        <f>TEXT(MC_2[[#This Row],[Date]],"mmm-yy")</f>
        <v>Oct-25</v>
      </c>
      <c r="H247" s="129">
        <f>DAY(EOMONTH(MC_2[[#This Row],[Month Year]],0))</f>
        <v>31</v>
      </c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4">
        <f>SUM(MC_2[[#This Row],[ICR1]:[ICR5]])</f>
        <v>0</v>
      </c>
      <c r="T247" s="132"/>
      <c r="U247" s="132"/>
      <c r="V247" s="132"/>
      <c r="W247" s="132"/>
      <c r="X247" s="132"/>
      <c r="Y247" s="132"/>
      <c r="Z247" s="134"/>
    </row>
    <row r="248" spans="1:26">
      <c r="A248" s="132">
        <v>246</v>
      </c>
      <c r="B248" s="126">
        <f t="shared" si="3"/>
        <v>45934</v>
      </c>
      <c r="C248" s="127">
        <f>YEAR(MC_2[[#This Row],[Date]])+IF(MONTH(MC_2[[#This Row],[Date]])&gt;=4,1,0)</f>
        <v>2026</v>
      </c>
      <c r="D248" s="128">
        <f>YEAR(MC_2[[#This Row],[Date]])</f>
        <v>2025</v>
      </c>
      <c r="E248" s="125" t="s">
        <v>157</v>
      </c>
      <c r="F248" s="125" t="s">
        <v>157</v>
      </c>
      <c r="G248" s="129" t="str">
        <f>TEXT(MC_2[[#This Row],[Date]],"mmm-yy")</f>
        <v>Oct-25</v>
      </c>
      <c r="H248" s="129">
        <f>DAY(EOMONTH(MC_2[[#This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4">
        <f>SUM(MC_2[[#This Row],[ICR1]:[ICR5]])</f>
        <v>0</v>
      </c>
      <c r="T248" s="132"/>
      <c r="U248" s="132"/>
      <c r="V248" s="132"/>
      <c r="W248" s="132"/>
      <c r="X248" s="132"/>
      <c r="Y248" s="132"/>
      <c r="Z248" s="134"/>
    </row>
    <row r="249" spans="1:26">
      <c r="A249" s="132">
        <v>247</v>
      </c>
      <c r="B249" s="126">
        <f t="shared" si="3"/>
        <v>45935</v>
      </c>
      <c r="C249" s="127">
        <f>YEAR(MC_2[[#This Row],[Date]])+IF(MONTH(MC_2[[#This Row],[Date]])&gt;=4,1,0)</f>
        <v>2026</v>
      </c>
      <c r="D249" s="128">
        <f>YEAR(MC_2[[#This Row],[Date]])</f>
        <v>2025</v>
      </c>
      <c r="E249" s="125" t="s">
        <v>157</v>
      </c>
      <c r="F249" s="125" t="s">
        <v>157</v>
      </c>
      <c r="G249" s="129" t="str">
        <f>TEXT(MC_2[[#This Row],[Date]],"mmm-yy")</f>
        <v>Oct-25</v>
      </c>
      <c r="H249" s="129">
        <f>DAY(EOMONTH(MC_2[[#This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4">
        <f>SUM(MC_2[[#This Row],[ICR1]:[ICR5]])</f>
        <v>0</v>
      </c>
      <c r="T249" s="132"/>
      <c r="U249" s="132"/>
      <c r="V249" s="132"/>
      <c r="W249" s="132"/>
      <c r="X249" s="132"/>
      <c r="Y249" s="132"/>
      <c r="Z249" s="134"/>
    </row>
    <row r="250" spans="1:26">
      <c r="A250" s="132">
        <v>248</v>
      </c>
      <c r="B250" s="126">
        <f t="shared" si="3"/>
        <v>45936</v>
      </c>
      <c r="C250" s="127">
        <f>YEAR(MC_2[[#This Row],[Date]])+IF(MONTH(MC_2[[#This Row],[Date]])&gt;=4,1,0)</f>
        <v>2026</v>
      </c>
      <c r="D250" s="128">
        <f>YEAR(MC_2[[#This Row],[Date]])</f>
        <v>2025</v>
      </c>
      <c r="E250" s="125" t="s">
        <v>157</v>
      </c>
      <c r="F250" s="125" t="s">
        <v>157</v>
      </c>
      <c r="G250" s="129" t="str">
        <f>TEXT(MC_2[[#This Row],[Date]],"mmm-yy")</f>
        <v>Oct-25</v>
      </c>
      <c r="H250" s="129">
        <f>DAY(EOMONTH(MC_2[[#This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4">
        <f>SUM(MC_2[[#This Row],[ICR1]:[ICR5]])</f>
        <v>0</v>
      </c>
      <c r="T250" s="132"/>
      <c r="U250" s="132"/>
      <c r="V250" s="132"/>
      <c r="W250" s="132"/>
      <c r="X250" s="132"/>
      <c r="Y250" s="132"/>
      <c r="Z250" s="134"/>
    </row>
    <row r="251" spans="1:26">
      <c r="A251" s="132">
        <v>249</v>
      </c>
      <c r="B251" s="126">
        <f t="shared" si="3"/>
        <v>45937</v>
      </c>
      <c r="C251" s="127">
        <f>YEAR(MC_2[[#This Row],[Date]])+IF(MONTH(MC_2[[#This Row],[Date]])&gt;=4,1,0)</f>
        <v>2026</v>
      </c>
      <c r="D251" s="128">
        <f>YEAR(MC_2[[#This Row],[Date]])</f>
        <v>2025</v>
      </c>
      <c r="E251" s="125" t="s">
        <v>157</v>
      </c>
      <c r="F251" s="125" t="s">
        <v>157</v>
      </c>
      <c r="G251" s="129" t="str">
        <f>TEXT(MC_2[[#This Row],[Date]],"mmm-yy")</f>
        <v>Oct-25</v>
      </c>
      <c r="H251" s="129">
        <f>DAY(EOMONTH(MC_2[[#This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4">
        <f>SUM(MC_2[[#This Row],[ICR1]:[ICR5]])</f>
        <v>0</v>
      </c>
      <c r="T251" s="132"/>
      <c r="U251" s="132"/>
      <c r="V251" s="132"/>
      <c r="W251" s="132"/>
      <c r="X251" s="132"/>
      <c r="Y251" s="132"/>
      <c r="Z251" s="134"/>
    </row>
    <row r="252" spans="1:26">
      <c r="A252" s="132">
        <v>250</v>
      </c>
      <c r="B252" s="126">
        <f t="shared" si="3"/>
        <v>45938</v>
      </c>
      <c r="C252" s="127">
        <f>YEAR(MC_2[[#This Row],[Date]])+IF(MONTH(MC_2[[#This Row],[Date]])&gt;=4,1,0)</f>
        <v>2026</v>
      </c>
      <c r="D252" s="128">
        <f>YEAR(MC_2[[#This Row],[Date]])</f>
        <v>2025</v>
      </c>
      <c r="E252" s="125" t="s">
        <v>157</v>
      </c>
      <c r="F252" s="125" t="s">
        <v>157</v>
      </c>
      <c r="G252" s="129" t="str">
        <f>TEXT(MC_2[[#This Row],[Date]],"mmm-yy")</f>
        <v>Oct-25</v>
      </c>
      <c r="H252" s="129">
        <f>DAY(EOMONTH(MC_2[[#This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4">
        <f>SUM(MC_2[[#This Row],[ICR1]:[ICR5]])</f>
        <v>0</v>
      </c>
      <c r="T252" s="132"/>
      <c r="U252" s="132"/>
      <c r="V252" s="132"/>
      <c r="W252" s="132"/>
      <c r="X252" s="132"/>
      <c r="Y252" s="132"/>
      <c r="Z252" s="134"/>
    </row>
    <row r="253" spans="1:26">
      <c r="A253" s="132">
        <v>251</v>
      </c>
      <c r="B253" s="126">
        <f t="shared" si="3"/>
        <v>45939</v>
      </c>
      <c r="C253" s="127">
        <f>YEAR(MC_2[[#This Row],[Date]])+IF(MONTH(MC_2[[#This Row],[Date]])&gt;=4,1,0)</f>
        <v>2026</v>
      </c>
      <c r="D253" s="128">
        <f>YEAR(MC_2[[#This Row],[Date]])</f>
        <v>2025</v>
      </c>
      <c r="E253" s="125" t="s">
        <v>157</v>
      </c>
      <c r="F253" s="125" t="s">
        <v>157</v>
      </c>
      <c r="G253" s="129" t="str">
        <f>TEXT(MC_2[[#This Row],[Date]],"mmm-yy")</f>
        <v>Oct-25</v>
      </c>
      <c r="H253" s="129">
        <f>DAY(EOMONTH(MC_2[[#This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4">
        <f>SUM(MC_2[[#This Row],[ICR1]:[ICR5]])</f>
        <v>0</v>
      </c>
      <c r="T253" s="132"/>
      <c r="U253" s="132"/>
      <c r="V253" s="132"/>
      <c r="W253" s="132"/>
      <c r="X253" s="132"/>
      <c r="Y253" s="132"/>
      <c r="Z253" s="134"/>
    </row>
    <row r="254" spans="1:26">
      <c r="A254" s="132">
        <v>252</v>
      </c>
      <c r="B254" s="126">
        <f t="shared" si="3"/>
        <v>45940</v>
      </c>
      <c r="C254" s="127">
        <f>YEAR(MC_2[[#This Row],[Date]])+IF(MONTH(MC_2[[#This Row],[Date]])&gt;=4,1,0)</f>
        <v>2026</v>
      </c>
      <c r="D254" s="128">
        <f>YEAR(MC_2[[#This Row],[Date]])</f>
        <v>2025</v>
      </c>
      <c r="E254" s="125" t="s">
        <v>157</v>
      </c>
      <c r="F254" s="125" t="s">
        <v>157</v>
      </c>
      <c r="G254" s="129" t="str">
        <f>TEXT(MC_2[[#This Row],[Date]],"mmm-yy")</f>
        <v>Oct-25</v>
      </c>
      <c r="H254" s="129">
        <f>DAY(EOMONTH(MC_2[[#This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4">
        <f>SUM(MC_2[[#This Row],[ICR1]:[ICR5]])</f>
        <v>0</v>
      </c>
      <c r="T254" s="132"/>
      <c r="U254" s="132"/>
      <c r="V254" s="132"/>
      <c r="W254" s="132"/>
      <c r="X254" s="132"/>
      <c r="Y254" s="132"/>
      <c r="Z254" s="134"/>
    </row>
    <row r="255" spans="1:26">
      <c r="A255" s="132">
        <v>253</v>
      </c>
      <c r="B255" s="126">
        <f t="shared" si="3"/>
        <v>45941</v>
      </c>
      <c r="C255" s="127">
        <f>YEAR(MC_2[[#This Row],[Date]])+IF(MONTH(MC_2[[#This Row],[Date]])&gt;=4,1,0)</f>
        <v>2026</v>
      </c>
      <c r="D255" s="128">
        <f>YEAR(MC_2[[#This Row],[Date]])</f>
        <v>2025</v>
      </c>
      <c r="E255" s="125" t="s">
        <v>157</v>
      </c>
      <c r="F255" s="125" t="s">
        <v>157</v>
      </c>
      <c r="G255" s="129" t="str">
        <f>TEXT(MC_2[[#This Row],[Date]],"mmm-yy")</f>
        <v>Oct-25</v>
      </c>
      <c r="H255" s="129">
        <f>DAY(EOMONTH(MC_2[[#This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4">
        <f>SUM(MC_2[[#This Row],[ICR1]:[ICR5]])</f>
        <v>0</v>
      </c>
      <c r="T255" s="132"/>
      <c r="U255" s="132"/>
      <c r="V255" s="132"/>
      <c r="W255" s="132"/>
      <c r="X255" s="132"/>
      <c r="Y255" s="132"/>
      <c r="Z255" s="134"/>
    </row>
    <row r="256" spans="1:26">
      <c r="A256" s="132">
        <v>254</v>
      </c>
      <c r="B256" s="126">
        <f t="shared" si="3"/>
        <v>45942</v>
      </c>
      <c r="C256" s="127">
        <f>YEAR(MC_2[[#This Row],[Date]])+IF(MONTH(MC_2[[#This Row],[Date]])&gt;=4,1,0)</f>
        <v>2026</v>
      </c>
      <c r="D256" s="128">
        <f>YEAR(MC_2[[#This Row],[Date]])</f>
        <v>2025</v>
      </c>
      <c r="E256" s="125" t="s">
        <v>157</v>
      </c>
      <c r="F256" s="125" t="s">
        <v>157</v>
      </c>
      <c r="G256" s="129" t="str">
        <f>TEXT(MC_2[[#This Row],[Date]],"mmm-yy")</f>
        <v>Oct-25</v>
      </c>
      <c r="H256" s="129">
        <f>DAY(EOMONTH(MC_2[[#This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4">
        <f>SUM(MC_2[[#This Row],[ICR1]:[ICR5]])</f>
        <v>0</v>
      </c>
      <c r="T256" s="132"/>
      <c r="U256" s="132"/>
      <c r="V256" s="132"/>
      <c r="W256" s="132"/>
      <c r="X256" s="132"/>
      <c r="Y256" s="132"/>
      <c r="Z256" s="134"/>
    </row>
    <row r="257" spans="1:26">
      <c r="A257" s="132">
        <v>255</v>
      </c>
      <c r="B257" s="126">
        <f t="shared" si="3"/>
        <v>45943</v>
      </c>
      <c r="C257" s="127">
        <f>YEAR(MC_2[[#This Row],[Date]])+IF(MONTH(MC_2[[#This Row],[Date]])&gt;=4,1,0)</f>
        <v>2026</v>
      </c>
      <c r="D257" s="128">
        <f>YEAR(MC_2[[#This Row],[Date]])</f>
        <v>2025</v>
      </c>
      <c r="E257" s="125" t="s">
        <v>157</v>
      </c>
      <c r="F257" s="125" t="s">
        <v>157</v>
      </c>
      <c r="G257" s="129" t="str">
        <f>TEXT(MC_2[[#This Row],[Date]],"mmm-yy")</f>
        <v>Oct-25</v>
      </c>
      <c r="H257" s="129">
        <f>DAY(EOMONTH(MC_2[[#This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4">
        <f>SUM(MC_2[[#This Row],[ICR1]:[ICR5]])</f>
        <v>0</v>
      </c>
      <c r="T257" s="132"/>
      <c r="U257" s="132"/>
      <c r="V257" s="132"/>
      <c r="W257" s="132"/>
      <c r="X257" s="132"/>
      <c r="Y257" s="132"/>
      <c r="Z257" s="134"/>
    </row>
    <row r="258" spans="1:26">
      <c r="A258" s="132">
        <v>256</v>
      </c>
      <c r="B258" s="126">
        <f t="shared" si="3"/>
        <v>45944</v>
      </c>
      <c r="C258" s="127">
        <f>YEAR(MC_2[[#This Row],[Date]])+IF(MONTH(MC_2[[#This Row],[Date]])&gt;=4,1,0)</f>
        <v>2026</v>
      </c>
      <c r="D258" s="128">
        <f>YEAR(MC_2[[#This Row],[Date]])</f>
        <v>2025</v>
      </c>
      <c r="E258" s="125" t="s">
        <v>157</v>
      </c>
      <c r="F258" s="125" t="s">
        <v>157</v>
      </c>
      <c r="G258" s="129" t="str">
        <f>TEXT(MC_2[[#This Row],[Date]],"mmm-yy")</f>
        <v>Oct-25</v>
      </c>
      <c r="H258" s="129">
        <f>DAY(EOMONTH(MC_2[[#This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4">
        <f>SUM(MC_2[[#This Row],[ICR1]:[ICR5]])</f>
        <v>0</v>
      </c>
      <c r="T258" s="132"/>
      <c r="U258" s="132"/>
      <c r="V258" s="132"/>
      <c r="W258" s="132"/>
      <c r="X258" s="132"/>
      <c r="Y258" s="132"/>
      <c r="Z258" s="134"/>
    </row>
    <row r="259" spans="1:26">
      <c r="A259" s="132">
        <v>257</v>
      </c>
      <c r="B259" s="126">
        <f t="shared" si="3"/>
        <v>45945</v>
      </c>
      <c r="C259" s="127">
        <f>YEAR(MC_2[[#This Row],[Date]])+IF(MONTH(MC_2[[#This Row],[Date]])&gt;=4,1,0)</f>
        <v>2026</v>
      </c>
      <c r="D259" s="128">
        <f>YEAR(MC_2[[#This Row],[Date]])</f>
        <v>2025</v>
      </c>
      <c r="E259" s="125" t="s">
        <v>157</v>
      </c>
      <c r="F259" s="125" t="s">
        <v>157</v>
      </c>
      <c r="G259" s="129" t="str">
        <f>TEXT(MC_2[[#This Row],[Date]],"mmm-yy")</f>
        <v>Oct-25</v>
      </c>
      <c r="H259" s="129">
        <f>DAY(EOMONTH(MC_2[[#This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4">
        <f>SUM(MC_2[[#This Row],[ICR1]:[ICR5]])</f>
        <v>0</v>
      </c>
      <c r="T259" s="132"/>
      <c r="U259" s="132"/>
      <c r="V259" s="132"/>
      <c r="W259" s="132"/>
      <c r="X259" s="132"/>
      <c r="Y259" s="132"/>
      <c r="Z259" s="134"/>
    </row>
    <row r="260" spans="1:26">
      <c r="A260" s="132">
        <v>258</v>
      </c>
      <c r="B260" s="126">
        <f t="shared" si="3"/>
        <v>45946</v>
      </c>
      <c r="C260" s="127">
        <f>YEAR(MC_2[[#This Row],[Date]])+IF(MONTH(MC_2[[#This Row],[Date]])&gt;=4,1,0)</f>
        <v>2026</v>
      </c>
      <c r="D260" s="128">
        <f>YEAR(MC_2[[#This Row],[Date]])</f>
        <v>2025</v>
      </c>
      <c r="E260" s="125" t="s">
        <v>157</v>
      </c>
      <c r="F260" s="125" t="s">
        <v>157</v>
      </c>
      <c r="G260" s="129" t="str">
        <f>TEXT(MC_2[[#This Row],[Date]],"mmm-yy")</f>
        <v>Oct-25</v>
      </c>
      <c r="H260" s="129">
        <f>DAY(EOMONTH(MC_2[[#This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4">
        <f>SUM(MC_2[[#This Row],[ICR1]:[ICR5]])</f>
        <v>0</v>
      </c>
      <c r="T260" s="132"/>
      <c r="U260" s="132"/>
      <c r="V260" s="132"/>
      <c r="W260" s="132"/>
      <c r="X260" s="132"/>
      <c r="Y260" s="132"/>
      <c r="Z260" s="134"/>
    </row>
    <row r="261" spans="1:26">
      <c r="A261" s="132">
        <v>259</v>
      </c>
      <c r="B261" s="126">
        <f t="shared" ref="B261:B324" si="4">B260+1</f>
        <v>45947</v>
      </c>
      <c r="C261" s="127">
        <f>YEAR(MC_2[[#This Row],[Date]])+IF(MONTH(MC_2[[#This Row],[Date]])&gt;=4,1,0)</f>
        <v>2026</v>
      </c>
      <c r="D261" s="128">
        <f>YEAR(MC_2[[#This Row],[Date]])</f>
        <v>2025</v>
      </c>
      <c r="E261" s="125" t="s">
        <v>157</v>
      </c>
      <c r="F261" s="125" t="s">
        <v>157</v>
      </c>
      <c r="G261" s="129" t="str">
        <f>TEXT(MC_2[[#This Row],[Date]],"mmm-yy")</f>
        <v>Oct-25</v>
      </c>
      <c r="H261" s="129">
        <f>DAY(EOMONTH(MC_2[[#This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4">
        <f>SUM(MC_2[[#This Row],[ICR1]:[ICR5]])</f>
        <v>0</v>
      </c>
      <c r="T261" s="132"/>
      <c r="U261" s="132"/>
      <c r="V261" s="132"/>
      <c r="W261" s="132"/>
      <c r="X261" s="132"/>
      <c r="Y261" s="132"/>
      <c r="Z261" s="134"/>
    </row>
    <row r="262" spans="1:26">
      <c r="A262" s="132">
        <v>260</v>
      </c>
      <c r="B262" s="126">
        <f t="shared" si="4"/>
        <v>45948</v>
      </c>
      <c r="C262" s="127">
        <f>YEAR(MC_2[[#This Row],[Date]])+IF(MONTH(MC_2[[#This Row],[Date]])&gt;=4,1,0)</f>
        <v>2026</v>
      </c>
      <c r="D262" s="128">
        <f>YEAR(MC_2[[#This Row],[Date]])</f>
        <v>2025</v>
      </c>
      <c r="E262" s="125" t="s">
        <v>157</v>
      </c>
      <c r="F262" s="125" t="s">
        <v>157</v>
      </c>
      <c r="G262" s="129" t="str">
        <f>TEXT(MC_2[[#This Row],[Date]],"mmm-yy")</f>
        <v>Oct-25</v>
      </c>
      <c r="H262" s="129">
        <f>DAY(EOMONTH(MC_2[[#This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4">
        <f>SUM(MC_2[[#This Row],[ICR1]:[ICR5]])</f>
        <v>0</v>
      </c>
      <c r="T262" s="132"/>
      <c r="U262" s="132"/>
      <c r="V262" s="132"/>
      <c r="W262" s="132"/>
      <c r="X262" s="132"/>
      <c r="Y262" s="132"/>
      <c r="Z262" s="134"/>
    </row>
    <row r="263" spans="1:26">
      <c r="A263" s="132">
        <v>261</v>
      </c>
      <c r="B263" s="126">
        <f t="shared" si="4"/>
        <v>45949</v>
      </c>
      <c r="C263" s="127">
        <f>YEAR(MC_2[[#This Row],[Date]])+IF(MONTH(MC_2[[#This Row],[Date]])&gt;=4,1,0)</f>
        <v>2026</v>
      </c>
      <c r="D263" s="128">
        <f>YEAR(MC_2[[#This Row],[Date]])</f>
        <v>2025</v>
      </c>
      <c r="E263" s="125" t="s">
        <v>157</v>
      </c>
      <c r="F263" s="125" t="s">
        <v>157</v>
      </c>
      <c r="G263" s="129" t="str">
        <f>TEXT(MC_2[[#This Row],[Date]],"mmm-yy")</f>
        <v>Oct-25</v>
      </c>
      <c r="H263" s="129">
        <f>DAY(EOMONTH(MC_2[[#This Row],[Month Year]],0))</f>
        <v>31</v>
      </c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4">
        <f>SUM(MC_2[[#This Row],[ICR1]:[ICR5]])</f>
        <v>0</v>
      </c>
      <c r="T263" s="132"/>
      <c r="U263" s="132"/>
      <c r="V263" s="132"/>
      <c r="W263" s="132"/>
      <c r="X263" s="132"/>
      <c r="Y263" s="132"/>
      <c r="Z263" s="134"/>
    </row>
    <row r="264" spans="1:26">
      <c r="A264" s="132">
        <v>262</v>
      </c>
      <c r="B264" s="126">
        <f t="shared" si="4"/>
        <v>45950</v>
      </c>
      <c r="C264" s="127">
        <f>YEAR(MC_2[[#This Row],[Date]])+IF(MONTH(MC_2[[#This Row],[Date]])&gt;=4,1,0)</f>
        <v>2026</v>
      </c>
      <c r="D264" s="128">
        <f>YEAR(MC_2[[#This Row],[Date]])</f>
        <v>2025</v>
      </c>
      <c r="E264" s="125" t="s">
        <v>157</v>
      </c>
      <c r="F264" s="125" t="s">
        <v>157</v>
      </c>
      <c r="G264" s="129" t="str">
        <f>TEXT(MC_2[[#This Row],[Date]],"mmm-yy")</f>
        <v>Oct-25</v>
      </c>
      <c r="H264" s="129">
        <f>DAY(EOMONTH(MC_2[[#This Row],[Month Year]],0))</f>
        <v>31</v>
      </c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4">
        <f>SUM(MC_2[[#This Row],[ICR1]:[ICR5]])</f>
        <v>0</v>
      </c>
      <c r="T264" s="132"/>
      <c r="U264" s="132"/>
      <c r="V264" s="132"/>
      <c r="W264" s="132"/>
      <c r="X264" s="132"/>
      <c r="Y264" s="132"/>
      <c r="Z264" s="134"/>
    </row>
    <row r="265" spans="1:26">
      <c r="A265" s="132">
        <v>263</v>
      </c>
      <c r="B265" s="126">
        <f t="shared" si="4"/>
        <v>45951</v>
      </c>
      <c r="C265" s="127">
        <f>YEAR(MC_2[[#This Row],[Date]])+IF(MONTH(MC_2[[#This Row],[Date]])&gt;=4,1,0)</f>
        <v>2026</v>
      </c>
      <c r="D265" s="128">
        <f>YEAR(MC_2[[#This Row],[Date]])</f>
        <v>2025</v>
      </c>
      <c r="E265" s="125" t="s">
        <v>157</v>
      </c>
      <c r="F265" s="125" t="s">
        <v>157</v>
      </c>
      <c r="G265" s="129" t="str">
        <f>TEXT(MC_2[[#This Row],[Date]],"mmm-yy")</f>
        <v>Oct-25</v>
      </c>
      <c r="H265" s="129">
        <f>DAY(EOMONTH(MC_2[[#This Row],[Month Year]],0))</f>
        <v>31</v>
      </c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4">
        <f>SUM(MC_2[[#This Row],[ICR1]:[ICR5]])</f>
        <v>0</v>
      </c>
      <c r="T265" s="132"/>
      <c r="U265" s="132"/>
      <c r="V265" s="132"/>
      <c r="W265" s="132"/>
      <c r="X265" s="132"/>
      <c r="Y265" s="132"/>
      <c r="Z265" s="134"/>
    </row>
    <row r="266" spans="1:26">
      <c r="A266" s="132">
        <v>264</v>
      </c>
      <c r="B266" s="126">
        <f t="shared" si="4"/>
        <v>45952</v>
      </c>
      <c r="C266" s="127">
        <f>YEAR(MC_2[[#This Row],[Date]])+IF(MONTH(MC_2[[#This Row],[Date]])&gt;=4,1,0)</f>
        <v>2026</v>
      </c>
      <c r="D266" s="128">
        <f>YEAR(MC_2[[#This Row],[Date]])</f>
        <v>2025</v>
      </c>
      <c r="E266" s="125" t="s">
        <v>157</v>
      </c>
      <c r="F266" s="125" t="s">
        <v>157</v>
      </c>
      <c r="G266" s="129" t="str">
        <f>TEXT(MC_2[[#This Row],[Date]],"mmm-yy")</f>
        <v>Oct-25</v>
      </c>
      <c r="H266" s="129">
        <f>DAY(EOMONTH(MC_2[[#This Row],[Month Year]],0))</f>
        <v>31</v>
      </c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4">
        <f>SUM(MC_2[[#This Row],[ICR1]:[ICR5]])</f>
        <v>0</v>
      </c>
      <c r="T266" s="132"/>
      <c r="U266" s="132"/>
      <c r="V266" s="132"/>
      <c r="W266" s="132"/>
      <c r="X266" s="132"/>
      <c r="Y266" s="132"/>
      <c r="Z266" s="134"/>
    </row>
    <row r="267" spans="1:26">
      <c r="A267" s="132">
        <v>265</v>
      </c>
      <c r="B267" s="126">
        <f t="shared" si="4"/>
        <v>45953</v>
      </c>
      <c r="C267" s="127">
        <f>YEAR(MC_2[[#This Row],[Date]])+IF(MONTH(MC_2[[#This Row],[Date]])&gt;=4,1,0)</f>
        <v>2026</v>
      </c>
      <c r="D267" s="128">
        <f>YEAR(MC_2[[#This Row],[Date]])</f>
        <v>2025</v>
      </c>
      <c r="E267" s="125" t="s">
        <v>157</v>
      </c>
      <c r="F267" s="125" t="s">
        <v>157</v>
      </c>
      <c r="G267" s="129" t="str">
        <f>TEXT(MC_2[[#This Row],[Date]],"mmm-yy")</f>
        <v>Oct-25</v>
      </c>
      <c r="H267" s="129">
        <f>DAY(EOMONTH(MC_2[[#This Row],[Month Year]],0))</f>
        <v>31</v>
      </c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4">
        <f>SUM(MC_2[[#This Row],[ICR1]:[ICR5]])</f>
        <v>0</v>
      </c>
      <c r="T267" s="132"/>
      <c r="U267" s="132"/>
      <c r="V267" s="132"/>
      <c r="W267" s="132"/>
      <c r="X267" s="132"/>
      <c r="Y267" s="132"/>
      <c r="Z267" s="134"/>
    </row>
    <row r="268" spans="1:26">
      <c r="A268" s="132">
        <v>266</v>
      </c>
      <c r="B268" s="126">
        <f t="shared" si="4"/>
        <v>45954</v>
      </c>
      <c r="C268" s="127">
        <f>YEAR(MC_2[[#This Row],[Date]])+IF(MONTH(MC_2[[#This Row],[Date]])&gt;=4,1,0)</f>
        <v>2026</v>
      </c>
      <c r="D268" s="128">
        <f>YEAR(MC_2[[#This Row],[Date]])</f>
        <v>2025</v>
      </c>
      <c r="E268" s="125" t="s">
        <v>157</v>
      </c>
      <c r="F268" s="125" t="s">
        <v>157</v>
      </c>
      <c r="G268" s="129" t="str">
        <f>TEXT(MC_2[[#This Row],[Date]],"mmm-yy")</f>
        <v>Oct-25</v>
      </c>
      <c r="H268" s="129">
        <f>DAY(EOMONTH(MC_2[[#This Row],[Month Year]],0))</f>
        <v>31</v>
      </c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4">
        <f>SUM(MC_2[[#This Row],[ICR1]:[ICR5]])</f>
        <v>0</v>
      </c>
      <c r="T268" s="132"/>
      <c r="U268" s="132"/>
      <c r="V268" s="132"/>
      <c r="W268" s="132"/>
      <c r="X268" s="132"/>
      <c r="Y268" s="132"/>
      <c r="Z268" s="134"/>
    </row>
    <row r="269" spans="1:26">
      <c r="A269" s="132">
        <v>267</v>
      </c>
      <c r="B269" s="126">
        <f t="shared" si="4"/>
        <v>45955</v>
      </c>
      <c r="C269" s="127">
        <f>YEAR(MC_2[[#This Row],[Date]])+IF(MONTH(MC_2[[#This Row],[Date]])&gt;=4,1,0)</f>
        <v>2026</v>
      </c>
      <c r="D269" s="128">
        <f>YEAR(MC_2[[#This Row],[Date]])</f>
        <v>2025</v>
      </c>
      <c r="E269" s="125" t="s">
        <v>157</v>
      </c>
      <c r="F269" s="125" t="s">
        <v>157</v>
      </c>
      <c r="G269" s="129" t="str">
        <f>TEXT(MC_2[[#This Row],[Date]],"mmm-yy")</f>
        <v>Oct-25</v>
      </c>
      <c r="H269" s="129">
        <f>DAY(EOMONTH(MC_2[[#This Row],[Month Year]],0))</f>
        <v>31</v>
      </c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4">
        <f>SUM(MC_2[[#This Row],[ICR1]:[ICR5]])</f>
        <v>0</v>
      </c>
      <c r="T269" s="132"/>
      <c r="U269" s="132"/>
      <c r="V269" s="132"/>
      <c r="W269" s="132"/>
      <c r="X269" s="132"/>
      <c r="Y269" s="132"/>
      <c r="Z269" s="134"/>
    </row>
    <row r="270" spans="1:26">
      <c r="A270" s="132">
        <v>268</v>
      </c>
      <c r="B270" s="126">
        <f t="shared" si="4"/>
        <v>45956</v>
      </c>
      <c r="C270" s="127">
        <f>YEAR(MC_2[[#This Row],[Date]])+IF(MONTH(MC_2[[#This Row],[Date]])&gt;=4,1,0)</f>
        <v>2026</v>
      </c>
      <c r="D270" s="128">
        <f>YEAR(MC_2[[#This Row],[Date]])</f>
        <v>2025</v>
      </c>
      <c r="E270" s="125" t="s">
        <v>157</v>
      </c>
      <c r="F270" s="125" t="s">
        <v>157</v>
      </c>
      <c r="G270" s="129" t="str">
        <f>TEXT(MC_2[[#This Row],[Date]],"mmm-yy")</f>
        <v>Oct-25</v>
      </c>
      <c r="H270" s="129">
        <f>DAY(EOMONTH(MC_2[[#This Row],[Month Year]],0))</f>
        <v>31</v>
      </c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4">
        <f>SUM(MC_2[[#This Row],[ICR1]:[ICR5]])</f>
        <v>0</v>
      </c>
      <c r="T270" s="132"/>
      <c r="U270" s="132"/>
      <c r="V270" s="132"/>
      <c r="W270" s="132"/>
      <c r="X270" s="132"/>
      <c r="Y270" s="132"/>
      <c r="Z270" s="134"/>
    </row>
    <row r="271" spans="1:26">
      <c r="A271" s="132">
        <v>269</v>
      </c>
      <c r="B271" s="126">
        <f t="shared" si="4"/>
        <v>45957</v>
      </c>
      <c r="C271" s="127">
        <f>YEAR(MC_2[[#This Row],[Date]])+IF(MONTH(MC_2[[#This Row],[Date]])&gt;=4,1,0)</f>
        <v>2026</v>
      </c>
      <c r="D271" s="128">
        <f>YEAR(MC_2[[#This Row],[Date]])</f>
        <v>2025</v>
      </c>
      <c r="E271" s="125" t="s">
        <v>157</v>
      </c>
      <c r="F271" s="125" t="s">
        <v>157</v>
      </c>
      <c r="G271" s="129" t="str">
        <f>TEXT(MC_2[[#This Row],[Date]],"mmm-yy")</f>
        <v>Oct-25</v>
      </c>
      <c r="H271" s="129">
        <f>DAY(EOMONTH(MC_2[[#This Row],[Month Year]],0))</f>
        <v>31</v>
      </c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4">
        <f>SUM(MC_2[[#This Row],[ICR1]:[ICR5]])</f>
        <v>0</v>
      </c>
      <c r="T271" s="132"/>
      <c r="U271" s="132"/>
      <c r="V271" s="132"/>
      <c r="W271" s="132"/>
      <c r="X271" s="132"/>
      <c r="Y271" s="132"/>
      <c r="Z271" s="134"/>
    </row>
    <row r="272" spans="1:26">
      <c r="A272" s="132">
        <v>270</v>
      </c>
      <c r="B272" s="126">
        <f t="shared" si="4"/>
        <v>45958</v>
      </c>
      <c r="C272" s="127">
        <f>YEAR(MC_2[[#This Row],[Date]])+IF(MONTH(MC_2[[#This Row],[Date]])&gt;=4,1,0)</f>
        <v>2026</v>
      </c>
      <c r="D272" s="128">
        <f>YEAR(MC_2[[#This Row],[Date]])</f>
        <v>2025</v>
      </c>
      <c r="E272" s="125" t="s">
        <v>157</v>
      </c>
      <c r="F272" s="125" t="s">
        <v>157</v>
      </c>
      <c r="G272" s="129" t="str">
        <f>TEXT(MC_2[[#This Row],[Date]],"mmm-yy")</f>
        <v>Oct-25</v>
      </c>
      <c r="H272" s="129">
        <f>DAY(EOMONTH(MC_2[[#This Row],[Month Year]],0))</f>
        <v>31</v>
      </c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4">
        <f>SUM(MC_2[[#This Row],[ICR1]:[ICR5]])</f>
        <v>0</v>
      </c>
      <c r="T272" s="132"/>
      <c r="U272" s="132"/>
      <c r="V272" s="132"/>
      <c r="W272" s="132"/>
      <c r="X272" s="132"/>
      <c r="Y272" s="132"/>
      <c r="Z272" s="134"/>
    </row>
    <row r="273" spans="1:26">
      <c r="A273" s="132">
        <v>271</v>
      </c>
      <c r="B273" s="126">
        <f t="shared" si="4"/>
        <v>45959</v>
      </c>
      <c r="C273" s="127">
        <f>YEAR(MC_2[[#This Row],[Date]])+IF(MONTH(MC_2[[#This Row],[Date]])&gt;=4,1,0)</f>
        <v>2026</v>
      </c>
      <c r="D273" s="128">
        <f>YEAR(MC_2[[#This Row],[Date]])</f>
        <v>2025</v>
      </c>
      <c r="E273" s="125" t="s">
        <v>157</v>
      </c>
      <c r="F273" s="125" t="s">
        <v>157</v>
      </c>
      <c r="G273" s="129" t="str">
        <f>TEXT(MC_2[[#This Row],[Date]],"mmm-yy")</f>
        <v>Oct-25</v>
      </c>
      <c r="H273" s="129">
        <f>DAY(EOMONTH(MC_2[[#This Row],[Month Year]],0))</f>
        <v>31</v>
      </c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4">
        <f>SUM(MC_2[[#This Row],[ICR1]:[ICR5]])</f>
        <v>0</v>
      </c>
      <c r="T273" s="132"/>
      <c r="U273" s="132"/>
      <c r="V273" s="132"/>
      <c r="W273" s="132"/>
      <c r="X273" s="132"/>
      <c r="Y273" s="132"/>
      <c r="Z273" s="134"/>
    </row>
    <row r="274" spans="1:26">
      <c r="A274" s="132">
        <v>272</v>
      </c>
      <c r="B274" s="126">
        <f t="shared" si="4"/>
        <v>45960</v>
      </c>
      <c r="C274" s="127">
        <f>YEAR(MC_2[[#This Row],[Date]])+IF(MONTH(MC_2[[#This Row],[Date]])&gt;=4,1,0)</f>
        <v>2026</v>
      </c>
      <c r="D274" s="128">
        <f>YEAR(MC_2[[#This Row],[Date]])</f>
        <v>2025</v>
      </c>
      <c r="E274" s="125" t="s">
        <v>157</v>
      </c>
      <c r="F274" s="125" t="s">
        <v>157</v>
      </c>
      <c r="G274" s="129" t="str">
        <f>TEXT(MC_2[[#This Row],[Date]],"mmm-yy")</f>
        <v>Oct-25</v>
      </c>
      <c r="H274" s="129">
        <f>DAY(EOMONTH(MC_2[[#This Row],[Month Year]],0))</f>
        <v>31</v>
      </c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4">
        <f>SUM(MC_2[[#This Row],[ICR1]:[ICR5]])</f>
        <v>0</v>
      </c>
      <c r="T274" s="132"/>
      <c r="U274" s="132"/>
      <c r="V274" s="132"/>
      <c r="W274" s="132"/>
      <c r="X274" s="132"/>
      <c r="Y274" s="132"/>
      <c r="Z274" s="134"/>
    </row>
    <row r="275" spans="1:26">
      <c r="A275" s="132">
        <v>273</v>
      </c>
      <c r="B275" s="126">
        <f t="shared" si="4"/>
        <v>45961</v>
      </c>
      <c r="C275" s="127">
        <f>YEAR(MC_2[[#This Row],[Date]])+IF(MONTH(MC_2[[#This Row],[Date]])&gt;=4,1,0)</f>
        <v>2026</v>
      </c>
      <c r="D275" s="128">
        <f>YEAR(MC_2[[#This Row],[Date]])</f>
        <v>2025</v>
      </c>
      <c r="E275" s="125" t="s">
        <v>157</v>
      </c>
      <c r="F275" s="125" t="s">
        <v>157</v>
      </c>
      <c r="G275" s="129" t="str">
        <f>TEXT(MC_2[[#This Row],[Date]],"mmm-yy")</f>
        <v>Oct-25</v>
      </c>
      <c r="H275" s="129">
        <f>DAY(EOMONTH(MC_2[[#This Row],[Month Year]],0))</f>
        <v>31</v>
      </c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4">
        <f>SUM(MC_2[[#This Row],[ICR1]:[ICR5]])</f>
        <v>0</v>
      </c>
      <c r="T275" s="132"/>
      <c r="U275" s="132"/>
      <c r="V275" s="132"/>
      <c r="W275" s="132"/>
      <c r="X275" s="132"/>
      <c r="Y275" s="132"/>
      <c r="Z275" s="134"/>
    </row>
    <row r="276" spans="1:26">
      <c r="A276" s="132">
        <v>274</v>
      </c>
      <c r="B276" s="126">
        <f t="shared" si="4"/>
        <v>45962</v>
      </c>
      <c r="C276" s="127">
        <f>YEAR(MC_2[[#This Row],[Date]])+IF(MONTH(MC_2[[#This Row],[Date]])&gt;=4,1,0)</f>
        <v>2026</v>
      </c>
      <c r="D276" s="128">
        <f>YEAR(MC_2[[#This Row],[Date]])</f>
        <v>2025</v>
      </c>
      <c r="E276" s="125" t="s">
        <v>157</v>
      </c>
      <c r="F276" s="125" t="s">
        <v>157</v>
      </c>
      <c r="G276" s="129" t="str">
        <f>TEXT(MC_2[[#This Row],[Date]],"mmm-yy")</f>
        <v>Nov-25</v>
      </c>
      <c r="H276" s="129">
        <f>DAY(EOMONTH(MC_2[[#This Row],[Month Year]],0))</f>
        <v>30</v>
      </c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4">
        <f>SUM(MC_2[[#This Row],[ICR1]:[ICR5]])</f>
        <v>0</v>
      </c>
      <c r="T276" s="132"/>
      <c r="U276" s="132"/>
      <c r="V276" s="132"/>
      <c r="W276" s="132"/>
      <c r="X276" s="132"/>
      <c r="Y276" s="132"/>
      <c r="Z276" s="134"/>
    </row>
    <row r="277" spans="1:26">
      <c r="A277" s="132">
        <v>275</v>
      </c>
      <c r="B277" s="126">
        <f t="shared" si="4"/>
        <v>45963</v>
      </c>
      <c r="C277" s="127">
        <f>YEAR(MC_2[[#This Row],[Date]])+IF(MONTH(MC_2[[#This Row],[Date]])&gt;=4,1,0)</f>
        <v>2026</v>
      </c>
      <c r="D277" s="128">
        <f>YEAR(MC_2[[#This Row],[Date]])</f>
        <v>2025</v>
      </c>
      <c r="E277" s="125" t="s">
        <v>157</v>
      </c>
      <c r="F277" s="125" t="s">
        <v>157</v>
      </c>
      <c r="G277" s="129" t="str">
        <f>TEXT(MC_2[[#This Row],[Date]],"mmm-yy")</f>
        <v>Nov-25</v>
      </c>
      <c r="H277" s="129">
        <f>DAY(EOMONTH(MC_2[[#This Row],[Month Year]],0))</f>
        <v>30</v>
      </c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4">
        <f>SUM(MC_2[[#This Row],[ICR1]:[ICR5]])</f>
        <v>0</v>
      </c>
      <c r="T277" s="132"/>
      <c r="U277" s="132"/>
      <c r="V277" s="132"/>
      <c r="W277" s="132"/>
      <c r="X277" s="132"/>
      <c r="Y277" s="132"/>
      <c r="Z277" s="134"/>
    </row>
    <row r="278" spans="1:26">
      <c r="A278" s="132">
        <v>276</v>
      </c>
      <c r="B278" s="126">
        <f t="shared" si="4"/>
        <v>45964</v>
      </c>
      <c r="C278" s="127">
        <f>YEAR(MC_2[[#This Row],[Date]])+IF(MONTH(MC_2[[#This Row],[Date]])&gt;=4,1,0)</f>
        <v>2026</v>
      </c>
      <c r="D278" s="128">
        <f>YEAR(MC_2[[#This Row],[Date]])</f>
        <v>2025</v>
      </c>
      <c r="E278" s="125" t="s">
        <v>157</v>
      </c>
      <c r="F278" s="125" t="s">
        <v>157</v>
      </c>
      <c r="G278" s="129" t="str">
        <f>TEXT(MC_2[[#This Row],[Date]],"mmm-yy")</f>
        <v>Nov-25</v>
      </c>
      <c r="H278" s="129">
        <f>DAY(EOMONTH(MC_2[[#This Row],[Month Year]],0))</f>
        <v>30</v>
      </c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4">
        <f>SUM(MC_2[[#This Row],[ICR1]:[ICR5]])</f>
        <v>0</v>
      </c>
      <c r="T278" s="132"/>
      <c r="U278" s="132"/>
      <c r="V278" s="132"/>
      <c r="W278" s="132"/>
      <c r="X278" s="132"/>
      <c r="Y278" s="132"/>
      <c r="Z278" s="134"/>
    </row>
    <row r="279" spans="1:26">
      <c r="A279" s="132">
        <v>277</v>
      </c>
      <c r="B279" s="126">
        <f t="shared" si="4"/>
        <v>45965</v>
      </c>
      <c r="C279" s="127">
        <f>YEAR(MC_2[[#This Row],[Date]])+IF(MONTH(MC_2[[#This Row],[Date]])&gt;=4,1,0)</f>
        <v>2026</v>
      </c>
      <c r="D279" s="128">
        <f>YEAR(MC_2[[#This Row],[Date]])</f>
        <v>2025</v>
      </c>
      <c r="E279" s="125" t="s">
        <v>157</v>
      </c>
      <c r="F279" s="125" t="s">
        <v>157</v>
      </c>
      <c r="G279" s="129" t="str">
        <f>TEXT(MC_2[[#This Row],[Date]],"mmm-yy")</f>
        <v>Nov-25</v>
      </c>
      <c r="H279" s="129">
        <f>DAY(EOMONTH(MC_2[[#This Row],[Month Year]],0))</f>
        <v>30</v>
      </c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4">
        <f>SUM(MC_2[[#This Row],[ICR1]:[ICR5]])</f>
        <v>0</v>
      </c>
      <c r="T279" s="132"/>
      <c r="U279" s="132"/>
      <c r="V279" s="132"/>
      <c r="W279" s="132"/>
      <c r="X279" s="132"/>
      <c r="Y279" s="132"/>
      <c r="Z279" s="134"/>
    </row>
    <row r="280" spans="1:26">
      <c r="A280" s="132">
        <v>278</v>
      </c>
      <c r="B280" s="126">
        <f t="shared" si="4"/>
        <v>45966</v>
      </c>
      <c r="C280" s="127">
        <f>YEAR(MC_2[[#This Row],[Date]])+IF(MONTH(MC_2[[#This Row],[Date]])&gt;=4,1,0)</f>
        <v>2026</v>
      </c>
      <c r="D280" s="128">
        <f>YEAR(MC_2[[#This Row],[Date]])</f>
        <v>2025</v>
      </c>
      <c r="E280" s="125" t="s">
        <v>157</v>
      </c>
      <c r="F280" s="125" t="s">
        <v>157</v>
      </c>
      <c r="G280" s="129" t="str">
        <f>TEXT(MC_2[[#This Row],[Date]],"mmm-yy")</f>
        <v>Nov-25</v>
      </c>
      <c r="H280" s="129">
        <f>DAY(EOMONTH(MC_2[[#This Row],[Month Year]],0))</f>
        <v>30</v>
      </c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4">
        <f>SUM(MC_2[[#This Row],[ICR1]:[ICR5]])</f>
        <v>0</v>
      </c>
      <c r="T280" s="132"/>
      <c r="U280" s="132"/>
      <c r="V280" s="132"/>
      <c r="W280" s="132"/>
      <c r="X280" s="132"/>
      <c r="Y280" s="132"/>
      <c r="Z280" s="134"/>
    </row>
    <row r="281" spans="1:26">
      <c r="A281" s="132">
        <v>279</v>
      </c>
      <c r="B281" s="126">
        <f t="shared" si="4"/>
        <v>45967</v>
      </c>
      <c r="C281" s="127">
        <f>YEAR(MC_2[[#This Row],[Date]])+IF(MONTH(MC_2[[#This Row],[Date]])&gt;=4,1,0)</f>
        <v>2026</v>
      </c>
      <c r="D281" s="128">
        <f>YEAR(MC_2[[#This Row],[Date]])</f>
        <v>2025</v>
      </c>
      <c r="E281" s="125" t="s">
        <v>157</v>
      </c>
      <c r="F281" s="125" t="s">
        <v>157</v>
      </c>
      <c r="G281" s="129" t="str">
        <f>TEXT(MC_2[[#This Row],[Date]],"mmm-yy")</f>
        <v>Nov-25</v>
      </c>
      <c r="H281" s="129">
        <f>DAY(EOMONTH(MC_2[[#This Row],[Month Year]],0))</f>
        <v>30</v>
      </c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4">
        <f>SUM(MC_2[[#This Row],[ICR1]:[ICR5]])</f>
        <v>0</v>
      </c>
      <c r="T281" s="132"/>
      <c r="U281" s="132"/>
      <c r="V281" s="132"/>
      <c r="W281" s="132"/>
      <c r="X281" s="132"/>
      <c r="Y281" s="132"/>
      <c r="Z281" s="134"/>
    </row>
    <row r="282" spans="1:26">
      <c r="A282" s="132">
        <v>280</v>
      </c>
      <c r="B282" s="126">
        <f t="shared" si="4"/>
        <v>45968</v>
      </c>
      <c r="C282" s="127">
        <f>YEAR(MC_2[[#This Row],[Date]])+IF(MONTH(MC_2[[#This Row],[Date]])&gt;=4,1,0)</f>
        <v>2026</v>
      </c>
      <c r="D282" s="128">
        <f>YEAR(MC_2[[#This Row],[Date]])</f>
        <v>2025</v>
      </c>
      <c r="E282" s="125" t="s">
        <v>157</v>
      </c>
      <c r="F282" s="125" t="s">
        <v>157</v>
      </c>
      <c r="G282" s="129" t="str">
        <f>TEXT(MC_2[[#This Row],[Date]],"mmm-yy")</f>
        <v>Nov-25</v>
      </c>
      <c r="H282" s="129">
        <f>DAY(EOMONTH(MC_2[[#This Row],[Month Year]],0))</f>
        <v>30</v>
      </c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4">
        <f>SUM(MC_2[[#This Row],[ICR1]:[ICR5]])</f>
        <v>0</v>
      </c>
      <c r="T282" s="132"/>
      <c r="U282" s="132"/>
      <c r="V282" s="132"/>
      <c r="W282" s="132"/>
      <c r="X282" s="132"/>
      <c r="Y282" s="132"/>
      <c r="Z282" s="134"/>
    </row>
    <row r="283" spans="1:26">
      <c r="A283" s="132">
        <v>281</v>
      </c>
      <c r="B283" s="126">
        <f t="shared" si="4"/>
        <v>45969</v>
      </c>
      <c r="C283" s="127">
        <f>YEAR(MC_2[[#This Row],[Date]])+IF(MONTH(MC_2[[#This Row],[Date]])&gt;=4,1,0)</f>
        <v>2026</v>
      </c>
      <c r="D283" s="128">
        <f>YEAR(MC_2[[#This Row],[Date]])</f>
        <v>2025</v>
      </c>
      <c r="E283" s="125" t="s">
        <v>157</v>
      </c>
      <c r="F283" s="125" t="s">
        <v>157</v>
      </c>
      <c r="G283" s="129" t="str">
        <f>TEXT(MC_2[[#This Row],[Date]],"mmm-yy")</f>
        <v>Nov-25</v>
      </c>
      <c r="H283" s="129">
        <f>DAY(EOMONTH(MC_2[[#This Row],[Month Year]],0))</f>
        <v>30</v>
      </c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4">
        <f>SUM(MC_2[[#This Row],[ICR1]:[ICR5]])</f>
        <v>0</v>
      </c>
      <c r="T283" s="132"/>
      <c r="U283" s="132"/>
      <c r="V283" s="132"/>
      <c r="W283" s="132"/>
      <c r="X283" s="132"/>
      <c r="Y283" s="132"/>
      <c r="Z283" s="134"/>
    </row>
    <row r="284" spans="1:26">
      <c r="A284" s="132">
        <v>282</v>
      </c>
      <c r="B284" s="126">
        <f t="shared" si="4"/>
        <v>45970</v>
      </c>
      <c r="C284" s="127">
        <f>YEAR(MC_2[[#This Row],[Date]])+IF(MONTH(MC_2[[#This Row],[Date]])&gt;=4,1,0)</f>
        <v>2026</v>
      </c>
      <c r="D284" s="128">
        <f>YEAR(MC_2[[#This Row],[Date]])</f>
        <v>2025</v>
      </c>
      <c r="E284" s="125" t="s">
        <v>157</v>
      </c>
      <c r="F284" s="125" t="s">
        <v>157</v>
      </c>
      <c r="G284" s="129" t="str">
        <f>TEXT(MC_2[[#This Row],[Date]],"mmm-yy")</f>
        <v>Nov-25</v>
      </c>
      <c r="H284" s="129">
        <f>DAY(EOMONTH(MC_2[[#This Row],[Month Year]],0))</f>
        <v>30</v>
      </c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4">
        <f>SUM(MC_2[[#This Row],[ICR1]:[ICR5]])</f>
        <v>0</v>
      </c>
      <c r="T284" s="132"/>
      <c r="U284" s="132"/>
      <c r="V284" s="132"/>
      <c r="W284" s="132"/>
      <c r="X284" s="132"/>
      <c r="Y284" s="132"/>
      <c r="Z284" s="134"/>
    </row>
    <row r="285" spans="1:26">
      <c r="A285" s="132">
        <v>283</v>
      </c>
      <c r="B285" s="126">
        <f t="shared" si="4"/>
        <v>45971</v>
      </c>
      <c r="C285" s="127">
        <f>YEAR(MC_2[[#This Row],[Date]])+IF(MONTH(MC_2[[#This Row],[Date]])&gt;=4,1,0)</f>
        <v>2026</v>
      </c>
      <c r="D285" s="128">
        <f>YEAR(MC_2[[#This Row],[Date]])</f>
        <v>2025</v>
      </c>
      <c r="E285" s="125" t="s">
        <v>157</v>
      </c>
      <c r="F285" s="125" t="s">
        <v>157</v>
      </c>
      <c r="G285" s="129" t="str">
        <f>TEXT(MC_2[[#This Row],[Date]],"mmm-yy")</f>
        <v>Nov-25</v>
      </c>
      <c r="H285" s="129">
        <f>DAY(EOMONTH(MC_2[[#This Row],[Month Year]],0))</f>
        <v>30</v>
      </c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4">
        <f>SUM(MC_2[[#This Row],[ICR1]:[ICR5]])</f>
        <v>0</v>
      </c>
      <c r="T285" s="132"/>
      <c r="U285" s="132"/>
      <c r="V285" s="132"/>
      <c r="W285" s="132"/>
      <c r="X285" s="132"/>
      <c r="Y285" s="132"/>
      <c r="Z285" s="134"/>
    </row>
    <row r="286" spans="1:26">
      <c r="A286" s="132">
        <v>284</v>
      </c>
      <c r="B286" s="126">
        <f t="shared" si="4"/>
        <v>45972</v>
      </c>
      <c r="C286" s="127">
        <f>YEAR(MC_2[[#This Row],[Date]])+IF(MONTH(MC_2[[#This Row],[Date]])&gt;=4,1,0)</f>
        <v>2026</v>
      </c>
      <c r="D286" s="128">
        <f>YEAR(MC_2[[#This Row],[Date]])</f>
        <v>2025</v>
      </c>
      <c r="E286" s="125" t="s">
        <v>157</v>
      </c>
      <c r="F286" s="125" t="s">
        <v>157</v>
      </c>
      <c r="G286" s="129" t="str">
        <f>TEXT(MC_2[[#This Row],[Date]],"mmm-yy")</f>
        <v>Nov-25</v>
      </c>
      <c r="H286" s="129">
        <f>DAY(EOMONTH(MC_2[[#This Row],[Month Year]],0))</f>
        <v>30</v>
      </c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4">
        <f>SUM(MC_2[[#This Row],[ICR1]:[ICR5]])</f>
        <v>0</v>
      </c>
      <c r="T286" s="132"/>
      <c r="U286" s="132"/>
      <c r="V286" s="132"/>
      <c r="W286" s="132"/>
      <c r="X286" s="132"/>
      <c r="Y286" s="132"/>
      <c r="Z286" s="134"/>
    </row>
    <row r="287" spans="1:26">
      <c r="A287" s="132">
        <v>285</v>
      </c>
      <c r="B287" s="126">
        <f t="shared" si="4"/>
        <v>45973</v>
      </c>
      <c r="C287" s="127">
        <f>YEAR(MC_2[[#This Row],[Date]])+IF(MONTH(MC_2[[#This Row],[Date]])&gt;=4,1,0)</f>
        <v>2026</v>
      </c>
      <c r="D287" s="128">
        <f>YEAR(MC_2[[#This Row],[Date]])</f>
        <v>2025</v>
      </c>
      <c r="E287" s="125" t="s">
        <v>157</v>
      </c>
      <c r="F287" s="125" t="s">
        <v>157</v>
      </c>
      <c r="G287" s="129" t="str">
        <f>TEXT(MC_2[[#This Row],[Date]],"mmm-yy")</f>
        <v>Nov-25</v>
      </c>
      <c r="H287" s="129">
        <f>DAY(EOMONTH(MC_2[[#This Row],[Month Year]],0))</f>
        <v>30</v>
      </c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4">
        <f>SUM(MC_2[[#This Row],[ICR1]:[ICR5]])</f>
        <v>0</v>
      </c>
      <c r="T287" s="132"/>
      <c r="U287" s="132"/>
      <c r="V287" s="132"/>
      <c r="W287" s="132"/>
      <c r="X287" s="132"/>
      <c r="Y287" s="132"/>
      <c r="Z287" s="134"/>
    </row>
    <row r="288" spans="1:26">
      <c r="A288" s="132">
        <v>286</v>
      </c>
      <c r="B288" s="126">
        <f t="shared" si="4"/>
        <v>45974</v>
      </c>
      <c r="C288" s="127">
        <f>YEAR(MC_2[[#This Row],[Date]])+IF(MONTH(MC_2[[#This Row],[Date]])&gt;=4,1,0)</f>
        <v>2026</v>
      </c>
      <c r="D288" s="128">
        <f>YEAR(MC_2[[#This Row],[Date]])</f>
        <v>2025</v>
      </c>
      <c r="E288" s="125" t="s">
        <v>157</v>
      </c>
      <c r="F288" s="125" t="s">
        <v>157</v>
      </c>
      <c r="G288" s="129" t="str">
        <f>TEXT(MC_2[[#This Row],[Date]],"mmm-yy")</f>
        <v>Nov-25</v>
      </c>
      <c r="H288" s="129">
        <f>DAY(EOMONTH(MC_2[[#This Row],[Month Year]],0))</f>
        <v>30</v>
      </c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4">
        <f>SUM(MC_2[[#This Row],[ICR1]:[ICR5]])</f>
        <v>0</v>
      </c>
      <c r="T288" s="132"/>
      <c r="U288" s="132"/>
      <c r="V288" s="132"/>
      <c r="W288" s="132"/>
      <c r="X288" s="132"/>
      <c r="Y288" s="132"/>
      <c r="Z288" s="134"/>
    </row>
    <row r="289" spans="1:26">
      <c r="A289" s="132">
        <v>287</v>
      </c>
      <c r="B289" s="126">
        <f t="shared" si="4"/>
        <v>45975</v>
      </c>
      <c r="C289" s="127">
        <f>YEAR(MC_2[[#This Row],[Date]])+IF(MONTH(MC_2[[#This Row],[Date]])&gt;=4,1,0)</f>
        <v>2026</v>
      </c>
      <c r="D289" s="128">
        <f>YEAR(MC_2[[#This Row],[Date]])</f>
        <v>2025</v>
      </c>
      <c r="E289" s="125" t="s">
        <v>157</v>
      </c>
      <c r="F289" s="125" t="s">
        <v>157</v>
      </c>
      <c r="G289" s="129" t="str">
        <f>TEXT(MC_2[[#This Row],[Date]],"mmm-yy")</f>
        <v>Nov-25</v>
      </c>
      <c r="H289" s="129">
        <f>DAY(EOMONTH(MC_2[[#This Row],[Month Year]],0))</f>
        <v>30</v>
      </c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4">
        <f>SUM(MC_2[[#This Row],[ICR1]:[ICR5]])</f>
        <v>0</v>
      </c>
      <c r="T289" s="132"/>
      <c r="U289" s="132"/>
      <c r="V289" s="132"/>
      <c r="W289" s="132"/>
      <c r="X289" s="132"/>
      <c r="Y289" s="132"/>
      <c r="Z289" s="134"/>
    </row>
    <row r="290" spans="1:26">
      <c r="A290" s="132">
        <v>288</v>
      </c>
      <c r="B290" s="126">
        <f t="shared" si="4"/>
        <v>45976</v>
      </c>
      <c r="C290" s="127">
        <f>YEAR(MC_2[[#This Row],[Date]])+IF(MONTH(MC_2[[#This Row],[Date]])&gt;=4,1,0)</f>
        <v>2026</v>
      </c>
      <c r="D290" s="128">
        <f>YEAR(MC_2[[#This Row],[Date]])</f>
        <v>2025</v>
      </c>
      <c r="E290" s="125" t="s">
        <v>157</v>
      </c>
      <c r="F290" s="125" t="s">
        <v>157</v>
      </c>
      <c r="G290" s="129" t="str">
        <f>TEXT(MC_2[[#This Row],[Date]],"mmm-yy")</f>
        <v>Nov-25</v>
      </c>
      <c r="H290" s="129">
        <f>DAY(EOMONTH(MC_2[[#This Row],[Month Year]],0))</f>
        <v>30</v>
      </c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4">
        <f>SUM(MC_2[[#This Row],[ICR1]:[ICR5]])</f>
        <v>0</v>
      </c>
      <c r="T290" s="132"/>
      <c r="U290" s="132"/>
      <c r="V290" s="132"/>
      <c r="W290" s="132"/>
      <c r="X290" s="132"/>
      <c r="Y290" s="132"/>
      <c r="Z290" s="134"/>
    </row>
    <row r="291" spans="1:26">
      <c r="A291" s="132">
        <v>289</v>
      </c>
      <c r="B291" s="126">
        <f t="shared" si="4"/>
        <v>45977</v>
      </c>
      <c r="C291" s="127">
        <f>YEAR(MC_2[[#This Row],[Date]])+IF(MONTH(MC_2[[#This Row],[Date]])&gt;=4,1,0)</f>
        <v>2026</v>
      </c>
      <c r="D291" s="128">
        <f>YEAR(MC_2[[#This Row],[Date]])</f>
        <v>2025</v>
      </c>
      <c r="E291" s="125" t="s">
        <v>157</v>
      </c>
      <c r="F291" s="125" t="s">
        <v>157</v>
      </c>
      <c r="G291" s="129" t="str">
        <f>TEXT(MC_2[[#This Row],[Date]],"mmm-yy")</f>
        <v>Nov-25</v>
      </c>
      <c r="H291" s="129">
        <f>DAY(EOMONTH(MC_2[[#This Row],[Month Year]],0))</f>
        <v>30</v>
      </c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4">
        <f>SUM(MC_2[[#This Row],[ICR1]:[ICR5]])</f>
        <v>0</v>
      </c>
      <c r="T291" s="132"/>
      <c r="U291" s="132"/>
      <c r="V291" s="132"/>
      <c r="W291" s="132"/>
      <c r="X291" s="132"/>
      <c r="Y291" s="132"/>
      <c r="Z291" s="134"/>
    </row>
    <row r="292" spans="1:26">
      <c r="A292" s="132">
        <v>290</v>
      </c>
      <c r="B292" s="126">
        <f t="shared" si="4"/>
        <v>45978</v>
      </c>
      <c r="C292" s="127">
        <f>YEAR(MC_2[[#This Row],[Date]])+IF(MONTH(MC_2[[#This Row],[Date]])&gt;=4,1,0)</f>
        <v>2026</v>
      </c>
      <c r="D292" s="128">
        <f>YEAR(MC_2[[#This Row],[Date]])</f>
        <v>2025</v>
      </c>
      <c r="E292" s="125" t="s">
        <v>157</v>
      </c>
      <c r="F292" s="125" t="s">
        <v>157</v>
      </c>
      <c r="G292" s="129" t="str">
        <f>TEXT(MC_2[[#This Row],[Date]],"mmm-yy")</f>
        <v>Nov-25</v>
      </c>
      <c r="H292" s="129">
        <f>DAY(EOMONTH(MC_2[[#This Row],[Month Year]],0))</f>
        <v>30</v>
      </c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4">
        <f>SUM(MC_2[[#This Row],[ICR1]:[ICR5]])</f>
        <v>0</v>
      </c>
      <c r="T292" s="132"/>
      <c r="U292" s="132"/>
      <c r="V292" s="132"/>
      <c r="W292" s="132"/>
      <c r="X292" s="132"/>
      <c r="Y292" s="132"/>
      <c r="Z292" s="134"/>
    </row>
    <row r="293" spans="1:26">
      <c r="A293" s="132">
        <v>291</v>
      </c>
      <c r="B293" s="126">
        <f t="shared" si="4"/>
        <v>45979</v>
      </c>
      <c r="C293" s="127">
        <f>YEAR(MC_2[[#This Row],[Date]])+IF(MONTH(MC_2[[#This Row],[Date]])&gt;=4,1,0)</f>
        <v>2026</v>
      </c>
      <c r="D293" s="128">
        <f>YEAR(MC_2[[#This Row],[Date]])</f>
        <v>2025</v>
      </c>
      <c r="E293" s="125" t="s">
        <v>157</v>
      </c>
      <c r="F293" s="125" t="s">
        <v>157</v>
      </c>
      <c r="G293" s="129" t="str">
        <f>TEXT(MC_2[[#This Row],[Date]],"mmm-yy")</f>
        <v>Nov-25</v>
      </c>
      <c r="H293" s="129">
        <f>DAY(EOMONTH(MC_2[[#This Row],[Month Year]],0))</f>
        <v>30</v>
      </c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4">
        <f>SUM(MC_2[[#This Row],[ICR1]:[ICR5]])</f>
        <v>0</v>
      </c>
      <c r="T293" s="132"/>
      <c r="U293" s="132"/>
      <c r="V293" s="132"/>
      <c r="W293" s="132"/>
      <c r="X293" s="132"/>
      <c r="Y293" s="132"/>
      <c r="Z293" s="134"/>
    </row>
    <row r="294" spans="1:26">
      <c r="A294" s="132">
        <v>292</v>
      </c>
      <c r="B294" s="126">
        <f t="shared" si="4"/>
        <v>45980</v>
      </c>
      <c r="C294" s="127">
        <f>YEAR(MC_2[[#This Row],[Date]])+IF(MONTH(MC_2[[#This Row],[Date]])&gt;=4,1,0)</f>
        <v>2026</v>
      </c>
      <c r="D294" s="128">
        <f>YEAR(MC_2[[#This Row],[Date]])</f>
        <v>2025</v>
      </c>
      <c r="E294" s="125" t="s">
        <v>157</v>
      </c>
      <c r="F294" s="125" t="s">
        <v>157</v>
      </c>
      <c r="G294" s="129" t="str">
        <f>TEXT(MC_2[[#This Row],[Date]],"mmm-yy")</f>
        <v>Nov-25</v>
      </c>
      <c r="H294" s="129">
        <f>DAY(EOMONTH(MC_2[[#This Row],[Month Year]],0))</f>
        <v>30</v>
      </c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4">
        <f>SUM(MC_2[[#This Row],[ICR1]:[ICR5]])</f>
        <v>0</v>
      </c>
      <c r="T294" s="132"/>
      <c r="U294" s="132"/>
      <c r="V294" s="132"/>
      <c r="W294" s="132"/>
      <c r="X294" s="132"/>
      <c r="Y294" s="132"/>
      <c r="Z294" s="134"/>
    </row>
    <row r="295" spans="1:26">
      <c r="A295" s="132">
        <v>293</v>
      </c>
      <c r="B295" s="126">
        <f t="shared" si="4"/>
        <v>45981</v>
      </c>
      <c r="C295" s="127">
        <f>YEAR(MC_2[[#This Row],[Date]])+IF(MONTH(MC_2[[#This Row],[Date]])&gt;=4,1,0)</f>
        <v>2026</v>
      </c>
      <c r="D295" s="128">
        <f>YEAR(MC_2[[#This Row],[Date]])</f>
        <v>2025</v>
      </c>
      <c r="E295" s="125" t="s">
        <v>157</v>
      </c>
      <c r="F295" s="125" t="s">
        <v>157</v>
      </c>
      <c r="G295" s="129" t="str">
        <f>TEXT(MC_2[[#This Row],[Date]],"mmm-yy")</f>
        <v>Nov-25</v>
      </c>
      <c r="H295" s="129">
        <f>DAY(EOMONTH(MC_2[[#This Row],[Month Year]],0))</f>
        <v>30</v>
      </c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4">
        <f>SUM(MC_2[[#This Row],[ICR1]:[ICR5]])</f>
        <v>0</v>
      </c>
      <c r="T295" s="132"/>
      <c r="U295" s="132"/>
      <c r="V295" s="132"/>
      <c r="W295" s="132"/>
      <c r="X295" s="132"/>
      <c r="Y295" s="132"/>
      <c r="Z295" s="134"/>
    </row>
    <row r="296" spans="1:26">
      <c r="A296" s="132">
        <v>294</v>
      </c>
      <c r="B296" s="126">
        <f t="shared" si="4"/>
        <v>45982</v>
      </c>
      <c r="C296" s="127">
        <f>YEAR(MC_2[[#This Row],[Date]])+IF(MONTH(MC_2[[#This Row],[Date]])&gt;=4,1,0)</f>
        <v>2026</v>
      </c>
      <c r="D296" s="128">
        <f>YEAR(MC_2[[#This Row],[Date]])</f>
        <v>2025</v>
      </c>
      <c r="E296" s="125" t="s">
        <v>157</v>
      </c>
      <c r="F296" s="125" t="s">
        <v>157</v>
      </c>
      <c r="G296" s="129" t="str">
        <f>TEXT(MC_2[[#This Row],[Date]],"mmm-yy")</f>
        <v>Nov-25</v>
      </c>
      <c r="H296" s="129">
        <f>DAY(EOMONTH(MC_2[[#This Row],[Month Year]],0))</f>
        <v>30</v>
      </c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4">
        <f>SUM(MC_2[[#This Row],[ICR1]:[ICR5]])</f>
        <v>0</v>
      </c>
      <c r="T296" s="132"/>
      <c r="U296" s="132"/>
      <c r="V296" s="132"/>
      <c r="W296" s="132"/>
      <c r="X296" s="132"/>
      <c r="Y296" s="132"/>
      <c r="Z296" s="134"/>
    </row>
    <row r="297" spans="1:26">
      <c r="A297" s="132">
        <v>295</v>
      </c>
      <c r="B297" s="126">
        <f t="shared" si="4"/>
        <v>45983</v>
      </c>
      <c r="C297" s="127">
        <f>YEAR(MC_2[[#This Row],[Date]])+IF(MONTH(MC_2[[#This Row],[Date]])&gt;=4,1,0)</f>
        <v>2026</v>
      </c>
      <c r="D297" s="128">
        <f>YEAR(MC_2[[#This Row],[Date]])</f>
        <v>2025</v>
      </c>
      <c r="E297" s="125" t="s">
        <v>157</v>
      </c>
      <c r="F297" s="125" t="s">
        <v>157</v>
      </c>
      <c r="G297" s="129" t="str">
        <f>TEXT(MC_2[[#This Row],[Date]],"mmm-yy")</f>
        <v>Nov-25</v>
      </c>
      <c r="H297" s="129">
        <f>DAY(EOMONTH(MC_2[[#This Row],[Month Year]],0))</f>
        <v>30</v>
      </c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4">
        <f>SUM(MC_2[[#This Row],[ICR1]:[ICR5]])</f>
        <v>0</v>
      </c>
      <c r="T297" s="132"/>
      <c r="U297" s="132"/>
      <c r="V297" s="132"/>
      <c r="W297" s="132"/>
      <c r="X297" s="132"/>
      <c r="Y297" s="132"/>
      <c r="Z297" s="134"/>
    </row>
    <row r="298" spans="1:26">
      <c r="A298" s="132">
        <v>296</v>
      </c>
      <c r="B298" s="126">
        <f t="shared" si="4"/>
        <v>45984</v>
      </c>
      <c r="C298" s="127">
        <f>YEAR(MC_2[[#This Row],[Date]])+IF(MONTH(MC_2[[#This Row],[Date]])&gt;=4,1,0)</f>
        <v>2026</v>
      </c>
      <c r="D298" s="128">
        <f>YEAR(MC_2[[#This Row],[Date]])</f>
        <v>2025</v>
      </c>
      <c r="E298" s="125" t="s">
        <v>157</v>
      </c>
      <c r="F298" s="125" t="s">
        <v>157</v>
      </c>
      <c r="G298" s="129" t="str">
        <f>TEXT(MC_2[[#This Row],[Date]],"mmm-yy")</f>
        <v>Nov-25</v>
      </c>
      <c r="H298" s="129">
        <f>DAY(EOMONTH(MC_2[[#This Row],[Month Year]],0))</f>
        <v>30</v>
      </c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4">
        <f>SUM(MC_2[[#This Row],[ICR1]:[ICR5]])</f>
        <v>0</v>
      </c>
      <c r="T298" s="132"/>
      <c r="U298" s="132"/>
      <c r="V298" s="132"/>
      <c r="W298" s="132"/>
      <c r="X298" s="132"/>
      <c r="Y298" s="132"/>
      <c r="Z298" s="134"/>
    </row>
    <row r="299" spans="1:26">
      <c r="A299" s="132">
        <v>297</v>
      </c>
      <c r="B299" s="126">
        <f t="shared" si="4"/>
        <v>45985</v>
      </c>
      <c r="C299" s="127">
        <f>YEAR(MC_2[[#This Row],[Date]])+IF(MONTH(MC_2[[#This Row],[Date]])&gt;=4,1,0)</f>
        <v>2026</v>
      </c>
      <c r="D299" s="128">
        <f>YEAR(MC_2[[#This Row],[Date]])</f>
        <v>2025</v>
      </c>
      <c r="E299" s="125" t="s">
        <v>157</v>
      </c>
      <c r="F299" s="125" t="s">
        <v>157</v>
      </c>
      <c r="G299" s="129" t="str">
        <f>TEXT(MC_2[[#This Row],[Date]],"mmm-yy")</f>
        <v>Nov-25</v>
      </c>
      <c r="H299" s="129">
        <f>DAY(EOMONTH(MC_2[[#This Row],[Month Year]],0))</f>
        <v>30</v>
      </c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4">
        <f>SUM(MC_2[[#This Row],[ICR1]:[ICR5]])</f>
        <v>0</v>
      </c>
      <c r="T299" s="132"/>
      <c r="U299" s="132"/>
      <c r="V299" s="132"/>
      <c r="W299" s="132"/>
      <c r="X299" s="132"/>
      <c r="Y299" s="132"/>
      <c r="Z299" s="134"/>
    </row>
    <row r="300" spans="1:26">
      <c r="A300" s="132">
        <v>298</v>
      </c>
      <c r="B300" s="126">
        <f t="shared" si="4"/>
        <v>45986</v>
      </c>
      <c r="C300" s="127">
        <f>YEAR(MC_2[[#This Row],[Date]])+IF(MONTH(MC_2[[#This Row],[Date]])&gt;=4,1,0)</f>
        <v>2026</v>
      </c>
      <c r="D300" s="128">
        <f>YEAR(MC_2[[#This Row],[Date]])</f>
        <v>2025</v>
      </c>
      <c r="E300" s="125" t="s">
        <v>157</v>
      </c>
      <c r="F300" s="125" t="s">
        <v>157</v>
      </c>
      <c r="G300" s="129" t="str">
        <f>TEXT(MC_2[[#This Row],[Date]],"mmm-yy")</f>
        <v>Nov-25</v>
      </c>
      <c r="H300" s="129">
        <f>DAY(EOMONTH(MC_2[[#This Row],[Month Year]],0))</f>
        <v>30</v>
      </c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4">
        <f>SUM(MC_2[[#This Row],[ICR1]:[ICR5]])</f>
        <v>0</v>
      </c>
      <c r="T300" s="132"/>
      <c r="U300" s="132"/>
      <c r="V300" s="132"/>
      <c r="W300" s="132"/>
      <c r="X300" s="132"/>
      <c r="Y300" s="132"/>
      <c r="Z300" s="134"/>
    </row>
    <row r="301" spans="1:26">
      <c r="A301" s="132">
        <v>299</v>
      </c>
      <c r="B301" s="126">
        <f t="shared" si="4"/>
        <v>45987</v>
      </c>
      <c r="C301" s="127">
        <f>YEAR(MC_2[[#This Row],[Date]])+IF(MONTH(MC_2[[#This Row],[Date]])&gt;=4,1,0)</f>
        <v>2026</v>
      </c>
      <c r="D301" s="128">
        <f>YEAR(MC_2[[#This Row],[Date]])</f>
        <v>2025</v>
      </c>
      <c r="E301" s="125" t="s">
        <v>157</v>
      </c>
      <c r="F301" s="125" t="s">
        <v>157</v>
      </c>
      <c r="G301" s="129" t="str">
        <f>TEXT(MC_2[[#This Row],[Date]],"mmm-yy")</f>
        <v>Nov-25</v>
      </c>
      <c r="H301" s="129">
        <f>DAY(EOMONTH(MC_2[[#This Row],[Month Year]],0))</f>
        <v>30</v>
      </c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4">
        <f>SUM(MC_2[[#This Row],[ICR1]:[ICR5]])</f>
        <v>0</v>
      </c>
      <c r="T301" s="132"/>
      <c r="U301" s="132"/>
      <c r="V301" s="132"/>
      <c r="W301" s="132"/>
      <c r="X301" s="132"/>
      <c r="Y301" s="132"/>
      <c r="Z301" s="134"/>
    </row>
    <row r="302" spans="1:26">
      <c r="A302" s="132">
        <v>300</v>
      </c>
      <c r="B302" s="126">
        <f t="shared" si="4"/>
        <v>45988</v>
      </c>
      <c r="C302" s="127">
        <f>YEAR(MC_2[[#This Row],[Date]])+IF(MONTH(MC_2[[#This Row],[Date]])&gt;=4,1,0)</f>
        <v>2026</v>
      </c>
      <c r="D302" s="128">
        <f>YEAR(MC_2[[#This Row],[Date]])</f>
        <v>2025</v>
      </c>
      <c r="E302" s="125" t="s">
        <v>157</v>
      </c>
      <c r="F302" s="125" t="s">
        <v>157</v>
      </c>
      <c r="G302" s="129" t="str">
        <f>TEXT(MC_2[[#This Row],[Date]],"mmm-yy")</f>
        <v>Nov-25</v>
      </c>
      <c r="H302" s="129">
        <f>DAY(EOMONTH(MC_2[[#This Row],[Month Year]],0))</f>
        <v>30</v>
      </c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4">
        <f>SUM(MC_2[[#This Row],[ICR1]:[ICR5]])</f>
        <v>0</v>
      </c>
      <c r="T302" s="132"/>
      <c r="U302" s="132"/>
      <c r="V302" s="132"/>
      <c r="W302" s="132"/>
      <c r="X302" s="132"/>
      <c r="Y302" s="132"/>
      <c r="Z302" s="134"/>
    </row>
    <row r="303" spans="1:26">
      <c r="A303" s="132">
        <v>301</v>
      </c>
      <c r="B303" s="126">
        <f t="shared" si="4"/>
        <v>45989</v>
      </c>
      <c r="C303" s="127">
        <f>YEAR(MC_2[[#This Row],[Date]])+IF(MONTH(MC_2[[#This Row],[Date]])&gt;=4,1,0)</f>
        <v>2026</v>
      </c>
      <c r="D303" s="128">
        <f>YEAR(MC_2[[#This Row],[Date]])</f>
        <v>2025</v>
      </c>
      <c r="E303" s="125" t="s">
        <v>157</v>
      </c>
      <c r="F303" s="125" t="s">
        <v>157</v>
      </c>
      <c r="G303" s="129" t="str">
        <f>TEXT(MC_2[[#This Row],[Date]],"mmm-yy")</f>
        <v>Nov-25</v>
      </c>
      <c r="H303" s="129">
        <f>DAY(EOMONTH(MC_2[[#This Row],[Month Year]],0))</f>
        <v>30</v>
      </c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4">
        <f>SUM(MC_2[[#This Row],[ICR1]:[ICR5]])</f>
        <v>0</v>
      </c>
      <c r="T303" s="132"/>
      <c r="U303" s="132"/>
      <c r="V303" s="132"/>
      <c r="W303" s="132"/>
      <c r="X303" s="132"/>
      <c r="Y303" s="132"/>
      <c r="Z303" s="134"/>
    </row>
    <row r="304" spans="1:26">
      <c r="A304" s="132">
        <v>302</v>
      </c>
      <c r="B304" s="126">
        <f t="shared" si="4"/>
        <v>45990</v>
      </c>
      <c r="C304" s="127">
        <f>YEAR(MC_2[[#This Row],[Date]])+IF(MONTH(MC_2[[#This Row],[Date]])&gt;=4,1,0)</f>
        <v>2026</v>
      </c>
      <c r="D304" s="128">
        <f>YEAR(MC_2[[#This Row],[Date]])</f>
        <v>2025</v>
      </c>
      <c r="E304" s="125" t="s">
        <v>157</v>
      </c>
      <c r="F304" s="125" t="s">
        <v>157</v>
      </c>
      <c r="G304" s="129" t="str">
        <f>TEXT(MC_2[[#This Row],[Date]],"mmm-yy")</f>
        <v>Nov-25</v>
      </c>
      <c r="H304" s="129">
        <f>DAY(EOMONTH(MC_2[[#This Row],[Month Year]],0))</f>
        <v>30</v>
      </c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4">
        <f>SUM(MC_2[[#This Row],[ICR1]:[ICR5]])</f>
        <v>0</v>
      </c>
      <c r="T304" s="132"/>
      <c r="U304" s="132"/>
      <c r="V304" s="132"/>
      <c r="W304" s="132"/>
      <c r="X304" s="132"/>
      <c r="Y304" s="132"/>
      <c r="Z304" s="134"/>
    </row>
    <row r="305" spans="1:26">
      <c r="A305" s="132">
        <v>303</v>
      </c>
      <c r="B305" s="126">
        <f t="shared" si="4"/>
        <v>45991</v>
      </c>
      <c r="C305" s="127">
        <f>YEAR(MC_2[[#This Row],[Date]])+IF(MONTH(MC_2[[#This Row],[Date]])&gt;=4,1,0)</f>
        <v>2026</v>
      </c>
      <c r="D305" s="128">
        <f>YEAR(MC_2[[#This Row],[Date]])</f>
        <v>2025</v>
      </c>
      <c r="E305" s="125" t="s">
        <v>157</v>
      </c>
      <c r="F305" s="125" t="s">
        <v>157</v>
      </c>
      <c r="G305" s="129" t="str">
        <f>TEXT(MC_2[[#This Row],[Date]],"mmm-yy")</f>
        <v>Nov-25</v>
      </c>
      <c r="H305" s="129">
        <f>DAY(EOMONTH(MC_2[[#This Row],[Month Year]],0))</f>
        <v>30</v>
      </c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4">
        <f>SUM(MC_2[[#This Row],[ICR1]:[ICR5]])</f>
        <v>0</v>
      </c>
      <c r="T305" s="132"/>
      <c r="U305" s="132"/>
      <c r="V305" s="132"/>
      <c r="W305" s="132"/>
      <c r="X305" s="132"/>
      <c r="Y305" s="132"/>
      <c r="Z305" s="134"/>
    </row>
    <row r="306" spans="1:26">
      <c r="A306" s="132">
        <v>304</v>
      </c>
      <c r="B306" s="126">
        <f t="shared" si="4"/>
        <v>45992</v>
      </c>
      <c r="C306" s="127">
        <f>YEAR(MC_2[[#This Row],[Date]])+IF(MONTH(MC_2[[#This Row],[Date]])&gt;=4,1,0)</f>
        <v>2026</v>
      </c>
      <c r="D306" s="128">
        <f>YEAR(MC_2[[#This Row],[Date]])</f>
        <v>2025</v>
      </c>
      <c r="E306" s="125" t="s">
        <v>157</v>
      </c>
      <c r="F306" s="125" t="s">
        <v>157</v>
      </c>
      <c r="G306" s="129" t="str">
        <f>TEXT(MC_2[[#This Row],[Date]],"mmm-yy")</f>
        <v>Dec-25</v>
      </c>
      <c r="H306" s="129">
        <f>DAY(EOMONTH(MC_2[[#This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4">
        <f>SUM(MC_2[[#This Row],[ICR1]:[ICR5]])</f>
        <v>0</v>
      </c>
      <c r="T306" s="132"/>
      <c r="U306" s="132"/>
      <c r="V306" s="132"/>
      <c r="W306" s="132"/>
      <c r="X306" s="132"/>
      <c r="Y306" s="132"/>
      <c r="Z306" s="134"/>
    </row>
    <row r="307" spans="1:26">
      <c r="A307" s="132">
        <v>305</v>
      </c>
      <c r="B307" s="126">
        <f t="shared" si="4"/>
        <v>45993</v>
      </c>
      <c r="C307" s="127">
        <f>YEAR(MC_2[[#This Row],[Date]])+IF(MONTH(MC_2[[#This Row],[Date]])&gt;=4,1,0)</f>
        <v>2026</v>
      </c>
      <c r="D307" s="128">
        <f>YEAR(MC_2[[#This Row],[Date]])</f>
        <v>2025</v>
      </c>
      <c r="E307" s="125" t="s">
        <v>157</v>
      </c>
      <c r="F307" s="125" t="s">
        <v>157</v>
      </c>
      <c r="G307" s="129" t="str">
        <f>TEXT(MC_2[[#This Row],[Date]],"mmm-yy")</f>
        <v>Dec-25</v>
      </c>
      <c r="H307" s="129">
        <f>DAY(EOMONTH(MC_2[[#This Row],[Month Year]],0))</f>
        <v>31</v>
      </c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4">
        <f>SUM(MC_2[[#This Row],[ICR1]:[ICR5]])</f>
        <v>0</v>
      </c>
      <c r="T307" s="132"/>
      <c r="U307" s="132"/>
      <c r="V307" s="132"/>
      <c r="W307" s="132"/>
      <c r="X307" s="132"/>
      <c r="Y307" s="132"/>
      <c r="Z307" s="134"/>
    </row>
    <row r="308" spans="1:26">
      <c r="A308" s="132">
        <v>306</v>
      </c>
      <c r="B308" s="126">
        <f t="shared" si="4"/>
        <v>45994</v>
      </c>
      <c r="C308" s="127">
        <f>YEAR(MC_2[[#This Row],[Date]])+IF(MONTH(MC_2[[#This Row],[Date]])&gt;=4,1,0)</f>
        <v>2026</v>
      </c>
      <c r="D308" s="128">
        <f>YEAR(MC_2[[#This Row],[Date]])</f>
        <v>2025</v>
      </c>
      <c r="E308" s="125" t="s">
        <v>157</v>
      </c>
      <c r="F308" s="125" t="s">
        <v>157</v>
      </c>
      <c r="G308" s="129" t="str">
        <f>TEXT(MC_2[[#This Row],[Date]],"mmm-yy")</f>
        <v>Dec-25</v>
      </c>
      <c r="H308" s="129">
        <f>DAY(EOMONTH(MC_2[[#This Row],[Month Year]],0))</f>
        <v>31</v>
      </c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4">
        <f>SUM(MC_2[[#This Row],[ICR1]:[ICR5]])</f>
        <v>0</v>
      </c>
      <c r="T308" s="132"/>
      <c r="U308" s="132"/>
      <c r="V308" s="132"/>
      <c r="W308" s="132"/>
      <c r="X308" s="132"/>
      <c r="Y308" s="132"/>
      <c r="Z308" s="134"/>
    </row>
    <row r="309" spans="1:26">
      <c r="A309" s="132">
        <v>307</v>
      </c>
      <c r="B309" s="126">
        <f t="shared" si="4"/>
        <v>45995</v>
      </c>
      <c r="C309" s="127">
        <f>YEAR(MC_2[[#This Row],[Date]])+IF(MONTH(MC_2[[#This Row],[Date]])&gt;=4,1,0)</f>
        <v>2026</v>
      </c>
      <c r="D309" s="128">
        <f>YEAR(MC_2[[#This Row],[Date]])</f>
        <v>2025</v>
      </c>
      <c r="E309" s="125" t="s">
        <v>157</v>
      </c>
      <c r="F309" s="125" t="s">
        <v>157</v>
      </c>
      <c r="G309" s="129" t="str">
        <f>TEXT(MC_2[[#This Row],[Date]],"mmm-yy")</f>
        <v>Dec-25</v>
      </c>
      <c r="H309" s="129">
        <f>DAY(EOMONTH(MC_2[[#This Row],[Month Year]],0))</f>
        <v>31</v>
      </c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4">
        <f>SUM(MC_2[[#This Row],[ICR1]:[ICR5]])</f>
        <v>0</v>
      </c>
      <c r="T309" s="132"/>
      <c r="U309" s="132"/>
      <c r="V309" s="132"/>
      <c r="W309" s="132"/>
      <c r="X309" s="132"/>
      <c r="Y309" s="132"/>
      <c r="Z309" s="134"/>
    </row>
    <row r="310" spans="1:26">
      <c r="A310" s="132">
        <v>308</v>
      </c>
      <c r="B310" s="126">
        <f t="shared" si="4"/>
        <v>45996</v>
      </c>
      <c r="C310" s="127">
        <f>YEAR(MC_2[[#This Row],[Date]])+IF(MONTH(MC_2[[#This Row],[Date]])&gt;=4,1,0)</f>
        <v>2026</v>
      </c>
      <c r="D310" s="128">
        <f>YEAR(MC_2[[#This Row],[Date]])</f>
        <v>2025</v>
      </c>
      <c r="E310" s="125" t="s">
        <v>157</v>
      </c>
      <c r="F310" s="125" t="s">
        <v>157</v>
      </c>
      <c r="G310" s="129" t="str">
        <f>TEXT(MC_2[[#This Row],[Date]],"mmm-yy")</f>
        <v>Dec-25</v>
      </c>
      <c r="H310" s="129">
        <f>DAY(EOMONTH(MC_2[[#This Row],[Month Year]],0))</f>
        <v>31</v>
      </c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4">
        <f>SUM(MC_2[[#This Row],[ICR1]:[ICR5]])</f>
        <v>0</v>
      </c>
      <c r="T310" s="132"/>
      <c r="U310" s="132"/>
      <c r="V310" s="132"/>
      <c r="W310" s="132"/>
      <c r="X310" s="132"/>
      <c r="Y310" s="132"/>
      <c r="Z310" s="134"/>
    </row>
    <row r="311" spans="1:26">
      <c r="A311" s="132">
        <v>309</v>
      </c>
      <c r="B311" s="126">
        <f t="shared" si="4"/>
        <v>45997</v>
      </c>
      <c r="C311" s="127">
        <f>YEAR(MC_2[[#This Row],[Date]])+IF(MONTH(MC_2[[#This Row],[Date]])&gt;=4,1,0)</f>
        <v>2026</v>
      </c>
      <c r="D311" s="128">
        <f>YEAR(MC_2[[#This Row],[Date]])</f>
        <v>2025</v>
      </c>
      <c r="E311" s="125" t="s">
        <v>157</v>
      </c>
      <c r="F311" s="125" t="s">
        <v>157</v>
      </c>
      <c r="G311" s="129" t="str">
        <f>TEXT(MC_2[[#This Row],[Date]],"mmm-yy")</f>
        <v>Dec-25</v>
      </c>
      <c r="H311" s="129">
        <f>DAY(EOMONTH(MC_2[[#This Row],[Month Year]],0))</f>
        <v>31</v>
      </c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4">
        <f>SUM(MC_2[[#This Row],[ICR1]:[ICR5]])</f>
        <v>0</v>
      </c>
      <c r="T311" s="132"/>
      <c r="U311" s="132"/>
      <c r="V311" s="132"/>
      <c r="W311" s="132"/>
      <c r="X311" s="132"/>
      <c r="Y311" s="132"/>
      <c r="Z311" s="134"/>
    </row>
    <row r="312" spans="1:26">
      <c r="A312" s="132">
        <v>310</v>
      </c>
      <c r="B312" s="126">
        <f t="shared" si="4"/>
        <v>45998</v>
      </c>
      <c r="C312" s="127">
        <f>YEAR(MC_2[[#This Row],[Date]])+IF(MONTH(MC_2[[#This Row],[Date]])&gt;=4,1,0)</f>
        <v>2026</v>
      </c>
      <c r="D312" s="128">
        <f>YEAR(MC_2[[#This Row],[Date]])</f>
        <v>2025</v>
      </c>
      <c r="E312" s="125" t="s">
        <v>157</v>
      </c>
      <c r="F312" s="125" t="s">
        <v>157</v>
      </c>
      <c r="G312" s="129" t="str">
        <f>TEXT(MC_2[[#This Row],[Date]],"mmm-yy")</f>
        <v>Dec-25</v>
      </c>
      <c r="H312" s="129">
        <f>DAY(EOMONTH(MC_2[[#This Row],[Month Year]],0))</f>
        <v>31</v>
      </c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4">
        <f>SUM(MC_2[[#This Row],[ICR1]:[ICR5]])</f>
        <v>0</v>
      </c>
      <c r="T312" s="132"/>
      <c r="U312" s="132"/>
      <c r="V312" s="132"/>
      <c r="W312" s="132"/>
      <c r="X312" s="132"/>
      <c r="Y312" s="132"/>
      <c r="Z312" s="134"/>
    </row>
    <row r="313" spans="1:26">
      <c r="A313" s="132">
        <v>311</v>
      </c>
      <c r="B313" s="126">
        <f t="shared" si="4"/>
        <v>45999</v>
      </c>
      <c r="C313" s="127">
        <f>YEAR(MC_2[[#This Row],[Date]])+IF(MONTH(MC_2[[#This Row],[Date]])&gt;=4,1,0)</f>
        <v>2026</v>
      </c>
      <c r="D313" s="128">
        <f>YEAR(MC_2[[#This Row],[Date]])</f>
        <v>2025</v>
      </c>
      <c r="E313" s="125" t="s">
        <v>157</v>
      </c>
      <c r="F313" s="125" t="s">
        <v>157</v>
      </c>
      <c r="G313" s="129" t="str">
        <f>TEXT(MC_2[[#This Row],[Date]],"mmm-yy")</f>
        <v>Dec-25</v>
      </c>
      <c r="H313" s="129">
        <f>DAY(EOMONTH(MC_2[[#This Row],[Month Year]],0))</f>
        <v>31</v>
      </c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4">
        <f>SUM(MC_2[[#This Row],[ICR1]:[ICR5]])</f>
        <v>0</v>
      </c>
      <c r="T313" s="132"/>
      <c r="U313" s="132"/>
      <c r="V313" s="132"/>
      <c r="W313" s="132"/>
      <c r="X313" s="132"/>
      <c r="Y313" s="132"/>
      <c r="Z313" s="134"/>
    </row>
    <row r="314" spans="1:26">
      <c r="A314" s="132">
        <v>312</v>
      </c>
      <c r="B314" s="126">
        <f t="shared" si="4"/>
        <v>46000</v>
      </c>
      <c r="C314" s="127">
        <f>YEAR(MC_2[[#This Row],[Date]])+IF(MONTH(MC_2[[#This Row],[Date]])&gt;=4,1,0)</f>
        <v>2026</v>
      </c>
      <c r="D314" s="128">
        <f>YEAR(MC_2[[#This Row],[Date]])</f>
        <v>2025</v>
      </c>
      <c r="E314" s="125" t="s">
        <v>157</v>
      </c>
      <c r="F314" s="125" t="s">
        <v>157</v>
      </c>
      <c r="G314" s="129" t="str">
        <f>TEXT(MC_2[[#This Row],[Date]],"mmm-yy")</f>
        <v>Dec-25</v>
      </c>
      <c r="H314" s="129">
        <f>DAY(EOMONTH(MC_2[[#This Row],[Month Year]],0))</f>
        <v>31</v>
      </c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4">
        <f>SUM(MC_2[[#This Row],[ICR1]:[ICR5]])</f>
        <v>0</v>
      </c>
      <c r="T314" s="132"/>
      <c r="U314" s="132"/>
      <c r="V314" s="132"/>
      <c r="W314" s="132"/>
      <c r="X314" s="132"/>
      <c r="Y314" s="132"/>
      <c r="Z314" s="134"/>
    </row>
    <row r="315" spans="1:26">
      <c r="A315" s="132">
        <v>313</v>
      </c>
      <c r="B315" s="126">
        <f t="shared" si="4"/>
        <v>46001</v>
      </c>
      <c r="C315" s="127">
        <f>YEAR(MC_2[[#This Row],[Date]])+IF(MONTH(MC_2[[#This Row],[Date]])&gt;=4,1,0)</f>
        <v>2026</v>
      </c>
      <c r="D315" s="128">
        <f>YEAR(MC_2[[#This Row],[Date]])</f>
        <v>2025</v>
      </c>
      <c r="E315" s="125" t="s">
        <v>157</v>
      </c>
      <c r="F315" s="125" t="s">
        <v>157</v>
      </c>
      <c r="G315" s="129" t="str">
        <f>TEXT(MC_2[[#This Row],[Date]],"mmm-yy")</f>
        <v>Dec-25</v>
      </c>
      <c r="H315" s="129">
        <f>DAY(EOMONTH(MC_2[[#This Row],[Month Year]],0))</f>
        <v>31</v>
      </c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4">
        <f>SUM(MC_2[[#This Row],[ICR1]:[ICR5]])</f>
        <v>0</v>
      </c>
      <c r="T315" s="132"/>
      <c r="U315" s="132"/>
      <c r="V315" s="132"/>
      <c r="W315" s="132"/>
      <c r="X315" s="132"/>
      <c r="Y315" s="132"/>
      <c r="Z315" s="134"/>
    </row>
    <row r="316" spans="1:26">
      <c r="A316" s="132">
        <v>314</v>
      </c>
      <c r="B316" s="126">
        <f t="shared" si="4"/>
        <v>46002</v>
      </c>
      <c r="C316" s="127">
        <f>YEAR(MC_2[[#This Row],[Date]])+IF(MONTH(MC_2[[#This Row],[Date]])&gt;=4,1,0)</f>
        <v>2026</v>
      </c>
      <c r="D316" s="128">
        <f>YEAR(MC_2[[#This Row],[Date]])</f>
        <v>2025</v>
      </c>
      <c r="E316" s="125" t="s">
        <v>157</v>
      </c>
      <c r="F316" s="125" t="s">
        <v>157</v>
      </c>
      <c r="G316" s="129" t="str">
        <f>TEXT(MC_2[[#This Row],[Date]],"mmm-yy")</f>
        <v>Dec-25</v>
      </c>
      <c r="H316" s="129">
        <f>DAY(EOMONTH(MC_2[[#This Row],[Month Year]],0))</f>
        <v>31</v>
      </c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4">
        <f>SUM(MC_2[[#This Row],[ICR1]:[ICR5]])</f>
        <v>0</v>
      </c>
      <c r="T316" s="132"/>
      <c r="U316" s="132"/>
      <c r="V316" s="132"/>
      <c r="W316" s="132"/>
      <c r="X316" s="132"/>
      <c r="Y316" s="132"/>
      <c r="Z316" s="134"/>
    </row>
    <row r="317" spans="1:26">
      <c r="A317" s="132">
        <v>315</v>
      </c>
      <c r="B317" s="126">
        <f t="shared" si="4"/>
        <v>46003</v>
      </c>
      <c r="C317" s="127">
        <f>YEAR(MC_2[[#This Row],[Date]])+IF(MONTH(MC_2[[#This Row],[Date]])&gt;=4,1,0)</f>
        <v>2026</v>
      </c>
      <c r="D317" s="128">
        <f>YEAR(MC_2[[#This Row],[Date]])</f>
        <v>2025</v>
      </c>
      <c r="E317" s="125" t="s">
        <v>157</v>
      </c>
      <c r="F317" s="125" t="s">
        <v>157</v>
      </c>
      <c r="G317" s="129" t="str">
        <f>TEXT(MC_2[[#This Row],[Date]],"mmm-yy")</f>
        <v>Dec-25</v>
      </c>
      <c r="H317" s="129">
        <f>DAY(EOMONTH(MC_2[[#This Row],[Month Year]],0))</f>
        <v>31</v>
      </c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4">
        <f>SUM(MC_2[[#This Row],[ICR1]:[ICR5]])</f>
        <v>0</v>
      </c>
      <c r="T317" s="132"/>
      <c r="U317" s="132"/>
      <c r="V317" s="132"/>
      <c r="W317" s="132"/>
      <c r="X317" s="132"/>
      <c r="Y317" s="132"/>
      <c r="Z317" s="134"/>
    </row>
    <row r="318" spans="1:26">
      <c r="A318" s="132">
        <v>316</v>
      </c>
      <c r="B318" s="126">
        <f t="shared" si="4"/>
        <v>46004</v>
      </c>
      <c r="C318" s="127">
        <f>YEAR(MC_2[[#This Row],[Date]])+IF(MONTH(MC_2[[#This Row],[Date]])&gt;=4,1,0)</f>
        <v>2026</v>
      </c>
      <c r="D318" s="128">
        <f>YEAR(MC_2[[#This Row],[Date]])</f>
        <v>2025</v>
      </c>
      <c r="E318" s="125" t="s">
        <v>157</v>
      </c>
      <c r="F318" s="125" t="s">
        <v>157</v>
      </c>
      <c r="G318" s="129" t="str">
        <f>TEXT(MC_2[[#This Row],[Date]],"mmm-yy")</f>
        <v>Dec-25</v>
      </c>
      <c r="H318" s="129">
        <f>DAY(EOMONTH(MC_2[[#This Row],[Month Year]],0))</f>
        <v>31</v>
      </c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4">
        <f>SUM(MC_2[[#This Row],[ICR1]:[ICR5]])</f>
        <v>0</v>
      </c>
      <c r="T318" s="132"/>
      <c r="U318" s="132"/>
      <c r="V318" s="132"/>
      <c r="W318" s="132"/>
      <c r="X318" s="132"/>
      <c r="Y318" s="132"/>
      <c r="Z318" s="134"/>
    </row>
    <row r="319" spans="1:26">
      <c r="A319" s="132">
        <v>317</v>
      </c>
      <c r="B319" s="126">
        <f t="shared" si="4"/>
        <v>46005</v>
      </c>
      <c r="C319" s="127">
        <f>YEAR(MC_2[[#This Row],[Date]])+IF(MONTH(MC_2[[#This Row],[Date]])&gt;=4,1,0)</f>
        <v>2026</v>
      </c>
      <c r="D319" s="128">
        <f>YEAR(MC_2[[#This Row],[Date]])</f>
        <v>2025</v>
      </c>
      <c r="E319" s="125" t="s">
        <v>157</v>
      </c>
      <c r="F319" s="125" t="s">
        <v>157</v>
      </c>
      <c r="G319" s="129" t="str">
        <f>TEXT(MC_2[[#This Row],[Date]],"mmm-yy")</f>
        <v>Dec-25</v>
      </c>
      <c r="H319" s="129">
        <f>DAY(EOMONTH(MC_2[[#This Row],[Month Year]],0))</f>
        <v>31</v>
      </c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4">
        <f>SUM(MC_2[[#This Row],[ICR1]:[ICR5]])</f>
        <v>0</v>
      </c>
      <c r="T319" s="132"/>
      <c r="U319" s="132"/>
      <c r="V319" s="132"/>
      <c r="W319" s="132"/>
      <c r="X319" s="132"/>
      <c r="Y319" s="132"/>
      <c r="Z319" s="134"/>
    </row>
    <row r="320" spans="1:26">
      <c r="A320" s="132">
        <v>318</v>
      </c>
      <c r="B320" s="126">
        <f t="shared" si="4"/>
        <v>46006</v>
      </c>
      <c r="C320" s="127">
        <f>YEAR(MC_2[[#This Row],[Date]])+IF(MONTH(MC_2[[#This Row],[Date]])&gt;=4,1,0)</f>
        <v>2026</v>
      </c>
      <c r="D320" s="128">
        <f>YEAR(MC_2[[#This Row],[Date]])</f>
        <v>2025</v>
      </c>
      <c r="E320" s="125" t="s">
        <v>157</v>
      </c>
      <c r="F320" s="125" t="s">
        <v>157</v>
      </c>
      <c r="G320" s="129" t="str">
        <f>TEXT(MC_2[[#This Row],[Date]],"mmm-yy")</f>
        <v>Dec-25</v>
      </c>
      <c r="H320" s="129">
        <f>DAY(EOMONTH(MC_2[[#This Row],[Month Year]],0))</f>
        <v>31</v>
      </c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4">
        <f>SUM(MC_2[[#This Row],[ICR1]:[ICR5]])</f>
        <v>0</v>
      </c>
      <c r="T320" s="132"/>
      <c r="U320" s="132"/>
      <c r="V320" s="132"/>
      <c r="W320" s="132"/>
      <c r="X320" s="132"/>
      <c r="Y320" s="132"/>
      <c r="Z320" s="134"/>
    </row>
    <row r="321" spans="1:26">
      <c r="A321" s="132">
        <v>319</v>
      </c>
      <c r="B321" s="126">
        <f t="shared" si="4"/>
        <v>46007</v>
      </c>
      <c r="C321" s="127">
        <f>YEAR(MC_2[[#This Row],[Date]])+IF(MONTH(MC_2[[#This Row],[Date]])&gt;=4,1,0)</f>
        <v>2026</v>
      </c>
      <c r="D321" s="128">
        <f>YEAR(MC_2[[#This Row],[Date]])</f>
        <v>2025</v>
      </c>
      <c r="E321" s="125" t="s">
        <v>157</v>
      </c>
      <c r="F321" s="125" t="s">
        <v>157</v>
      </c>
      <c r="G321" s="129" t="str">
        <f>TEXT(MC_2[[#This Row],[Date]],"mmm-yy")</f>
        <v>Dec-25</v>
      </c>
      <c r="H321" s="129">
        <f>DAY(EOMONTH(MC_2[[#This Row],[Month Year]],0))</f>
        <v>31</v>
      </c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4">
        <f>SUM(MC_2[[#This Row],[ICR1]:[ICR5]])</f>
        <v>0</v>
      </c>
      <c r="T321" s="132"/>
      <c r="U321" s="132"/>
      <c r="V321" s="132"/>
      <c r="W321" s="132"/>
      <c r="X321" s="132"/>
      <c r="Y321" s="132"/>
      <c r="Z321" s="134"/>
    </row>
    <row r="322" spans="1:26">
      <c r="A322" s="132">
        <v>320</v>
      </c>
      <c r="B322" s="126">
        <f t="shared" si="4"/>
        <v>46008</v>
      </c>
      <c r="C322" s="127">
        <f>YEAR(MC_2[[#This Row],[Date]])+IF(MONTH(MC_2[[#This Row],[Date]])&gt;=4,1,0)</f>
        <v>2026</v>
      </c>
      <c r="D322" s="128">
        <f>YEAR(MC_2[[#This Row],[Date]])</f>
        <v>2025</v>
      </c>
      <c r="E322" s="125" t="s">
        <v>157</v>
      </c>
      <c r="F322" s="125" t="s">
        <v>157</v>
      </c>
      <c r="G322" s="129" t="str">
        <f>TEXT(MC_2[[#This Row],[Date]],"mmm-yy")</f>
        <v>Dec-25</v>
      </c>
      <c r="H322" s="129">
        <f>DAY(EOMONTH(MC_2[[#This Row],[Month Year]],0))</f>
        <v>31</v>
      </c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4">
        <f>SUM(MC_2[[#This Row],[ICR1]:[ICR5]])</f>
        <v>0</v>
      </c>
      <c r="T322" s="132"/>
      <c r="U322" s="132"/>
      <c r="V322" s="132"/>
      <c r="W322" s="132"/>
      <c r="X322" s="132"/>
      <c r="Y322" s="132"/>
      <c r="Z322" s="134"/>
    </row>
    <row r="323" spans="1:26">
      <c r="A323" s="132">
        <v>321</v>
      </c>
      <c r="B323" s="126">
        <f t="shared" si="4"/>
        <v>46009</v>
      </c>
      <c r="C323" s="127">
        <f>YEAR(MC_2[[#This Row],[Date]])+IF(MONTH(MC_2[[#This Row],[Date]])&gt;=4,1,0)</f>
        <v>2026</v>
      </c>
      <c r="D323" s="128">
        <f>YEAR(MC_2[[#This Row],[Date]])</f>
        <v>2025</v>
      </c>
      <c r="E323" s="125" t="s">
        <v>157</v>
      </c>
      <c r="F323" s="125" t="s">
        <v>157</v>
      </c>
      <c r="G323" s="129" t="str">
        <f>TEXT(MC_2[[#This Row],[Date]],"mmm-yy")</f>
        <v>Dec-25</v>
      </c>
      <c r="H323" s="129">
        <f>DAY(EOMONTH(MC_2[[#This Row],[Month Year]],0))</f>
        <v>31</v>
      </c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4">
        <f>SUM(MC_2[[#This Row],[ICR1]:[ICR5]])</f>
        <v>0</v>
      </c>
      <c r="T323" s="132"/>
      <c r="U323" s="132"/>
      <c r="V323" s="132"/>
      <c r="W323" s="132"/>
      <c r="X323" s="132"/>
      <c r="Y323" s="132"/>
      <c r="Z323" s="134"/>
    </row>
    <row r="324" spans="1:26">
      <c r="A324" s="132">
        <v>322</v>
      </c>
      <c r="B324" s="126">
        <f t="shared" si="4"/>
        <v>46010</v>
      </c>
      <c r="C324" s="127">
        <f>YEAR(MC_2[[#This Row],[Date]])+IF(MONTH(MC_2[[#This Row],[Date]])&gt;=4,1,0)</f>
        <v>2026</v>
      </c>
      <c r="D324" s="128">
        <f>YEAR(MC_2[[#This Row],[Date]])</f>
        <v>2025</v>
      </c>
      <c r="E324" s="125" t="s">
        <v>157</v>
      </c>
      <c r="F324" s="125" t="s">
        <v>157</v>
      </c>
      <c r="G324" s="129" t="str">
        <f>TEXT(MC_2[[#This Row],[Date]],"mmm-yy")</f>
        <v>Dec-25</v>
      </c>
      <c r="H324" s="129">
        <f>DAY(EOMONTH(MC_2[[#This Row],[Month Year]],0))</f>
        <v>31</v>
      </c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4">
        <f>SUM(MC_2[[#This Row],[ICR1]:[ICR5]])</f>
        <v>0</v>
      </c>
      <c r="T324" s="132"/>
      <c r="U324" s="132"/>
      <c r="V324" s="132"/>
      <c r="W324" s="132"/>
      <c r="X324" s="132"/>
      <c r="Y324" s="132"/>
      <c r="Z324" s="134"/>
    </row>
    <row r="325" spans="1:26">
      <c r="A325" s="132">
        <v>323</v>
      </c>
      <c r="B325" s="126">
        <f t="shared" ref="B325:B388" si="5">B324+1</f>
        <v>46011</v>
      </c>
      <c r="C325" s="127">
        <f>YEAR(MC_2[[#This Row],[Date]])+IF(MONTH(MC_2[[#This Row],[Date]])&gt;=4,1,0)</f>
        <v>2026</v>
      </c>
      <c r="D325" s="128">
        <f>YEAR(MC_2[[#This Row],[Date]])</f>
        <v>2025</v>
      </c>
      <c r="E325" s="125" t="s">
        <v>157</v>
      </c>
      <c r="F325" s="125" t="s">
        <v>157</v>
      </c>
      <c r="G325" s="129" t="str">
        <f>TEXT(MC_2[[#This Row],[Date]],"mmm-yy")</f>
        <v>Dec-25</v>
      </c>
      <c r="H325" s="129">
        <f>DAY(EOMONTH(MC_2[[#This Row],[Month Year]],0))</f>
        <v>31</v>
      </c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4">
        <f>SUM(MC_2[[#This Row],[ICR1]:[ICR5]])</f>
        <v>0</v>
      </c>
      <c r="T325" s="132"/>
      <c r="U325" s="132"/>
      <c r="V325" s="132"/>
      <c r="W325" s="132"/>
      <c r="X325" s="132"/>
      <c r="Y325" s="132"/>
      <c r="Z325" s="134"/>
    </row>
    <row r="326" spans="1:26">
      <c r="A326" s="132">
        <v>324</v>
      </c>
      <c r="B326" s="126">
        <f t="shared" si="5"/>
        <v>46012</v>
      </c>
      <c r="C326" s="127">
        <f>YEAR(MC_2[[#This Row],[Date]])+IF(MONTH(MC_2[[#This Row],[Date]])&gt;=4,1,0)</f>
        <v>2026</v>
      </c>
      <c r="D326" s="128">
        <f>YEAR(MC_2[[#This Row],[Date]])</f>
        <v>2025</v>
      </c>
      <c r="E326" s="125" t="s">
        <v>157</v>
      </c>
      <c r="F326" s="125" t="s">
        <v>157</v>
      </c>
      <c r="G326" s="129" t="str">
        <f>TEXT(MC_2[[#This Row],[Date]],"mmm-yy")</f>
        <v>Dec-25</v>
      </c>
      <c r="H326" s="129">
        <f>DAY(EOMONTH(MC_2[[#This Row],[Month Year]],0))</f>
        <v>31</v>
      </c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4">
        <f>SUM(MC_2[[#This Row],[ICR1]:[ICR5]])</f>
        <v>0</v>
      </c>
      <c r="T326" s="132"/>
      <c r="U326" s="132"/>
      <c r="V326" s="132"/>
      <c r="W326" s="132"/>
      <c r="X326" s="132"/>
      <c r="Y326" s="132"/>
      <c r="Z326" s="134"/>
    </row>
    <row r="327" spans="1:26">
      <c r="A327" s="132">
        <v>325</v>
      </c>
      <c r="B327" s="126">
        <f t="shared" si="5"/>
        <v>46013</v>
      </c>
      <c r="C327" s="127">
        <f>YEAR(MC_2[[#This Row],[Date]])+IF(MONTH(MC_2[[#This Row],[Date]])&gt;=4,1,0)</f>
        <v>2026</v>
      </c>
      <c r="D327" s="128">
        <f>YEAR(MC_2[[#This Row],[Date]])</f>
        <v>2025</v>
      </c>
      <c r="E327" s="125" t="s">
        <v>157</v>
      </c>
      <c r="F327" s="125" t="s">
        <v>157</v>
      </c>
      <c r="G327" s="129" t="str">
        <f>TEXT(MC_2[[#This Row],[Date]],"mmm-yy")</f>
        <v>Dec-25</v>
      </c>
      <c r="H327" s="129">
        <f>DAY(EOMONTH(MC_2[[#This Row],[Month Year]],0))</f>
        <v>31</v>
      </c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4">
        <f>SUM(MC_2[[#This Row],[ICR1]:[ICR5]])</f>
        <v>0</v>
      </c>
      <c r="T327" s="132"/>
      <c r="U327" s="132"/>
      <c r="V327" s="132"/>
      <c r="W327" s="132"/>
      <c r="X327" s="132"/>
      <c r="Y327" s="132"/>
      <c r="Z327" s="134"/>
    </row>
    <row r="328" spans="1:26">
      <c r="A328" s="132">
        <v>326</v>
      </c>
      <c r="B328" s="126">
        <f t="shared" si="5"/>
        <v>46014</v>
      </c>
      <c r="C328" s="127">
        <f>YEAR(MC_2[[#This Row],[Date]])+IF(MONTH(MC_2[[#This Row],[Date]])&gt;=4,1,0)</f>
        <v>2026</v>
      </c>
      <c r="D328" s="128">
        <f>YEAR(MC_2[[#This Row],[Date]])</f>
        <v>2025</v>
      </c>
      <c r="E328" s="125" t="s">
        <v>157</v>
      </c>
      <c r="F328" s="125" t="s">
        <v>157</v>
      </c>
      <c r="G328" s="129" t="str">
        <f>TEXT(MC_2[[#This Row],[Date]],"mmm-yy")</f>
        <v>Dec-25</v>
      </c>
      <c r="H328" s="129">
        <f>DAY(EOMONTH(MC_2[[#This Row],[Month Year]],0))</f>
        <v>31</v>
      </c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4">
        <f>SUM(MC_2[[#This Row],[ICR1]:[ICR5]])</f>
        <v>0</v>
      </c>
      <c r="T328" s="132"/>
      <c r="U328" s="132"/>
      <c r="V328" s="132"/>
      <c r="W328" s="132"/>
      <c r="X328" s="132"/>
      <c r="Y328" s="132"/>
      <c r="Z328" s="134"/>
    </row>
    <row r="329" spans="1:26">
      <c r="A329" s="132">
        <v>327</v>
      </c>
      <c r="B329" s="126">
        <f t="shared" si="5"/>
        <v>46015</v>
      </c>
      <c r="C329" s="127">
        <f>YEAR(MC_2[[#This Row],[Date]])+IF(MONTH(MC_2[[#This Row],[Date]])&gt;=4,1,0)</f>
        <v>2026</v>
      </c>
      <c r="D329" s="128">
        <f>YEAR(MC_2[[#This Row],[Date]])</f>
        <v>2025</v>
      </c>
      <c r="E329" s="125" t="s">
        <v>157</v>
      </c>
      <c r="F329" s="125" t="s">
        <v>157</v>
      </c>
      <c r="G329" s="129" t="str">
        <f>TEXT(MC_2[[#This Row],[Date]],"mmm-yy")</f>
        <v>Dec-25</v>
      </c>
      <c r="H329" s="129">
        <f>DAY(EOMONTH(MC_2[[#This Row],[Month Year]],0))</f>
        <v>31</v>
      </c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4">
        <f>SUM(MC_2[[#This Row],[ICR1]:[ICR5]])</f>
        <v>0</v>
      </c>
      <c r="T329" s="132"/>
      <c r="U329" s="132"/>
      <c r="V329" s="132"/>
      <c r="W329" s="132"/>
      <c r="X329" s="132"/>
      <c r="Y329" s="132"/>
      <c r="Z329" s="134"/>
    </row>
    <row r="330" spans="1:26">
      <c r="A330" s="132">
        <v>328</v>
      </c>
      <c r="B330" s="126">
        <f t="shared" si="5"/>
        <v>46016</v>
      </c>
      <c r="C330" s="127">
        <f>YEAR(MC_2[[#This Row],[Date]])+IF(MONTH(MC_2[[#This Row],[Date]])&gt;=4,1,0)</f>
        <v>2026</v>
      </c>
      <c r="D330" s="128">
        <f>YEAR(MC_2[[#This Row],[Date]])</f>
        <v>2025</v>
      </c>
      <c r="E330" s="125" t="s">
        <v>157</v>
      </c>
      <c r="F330" s="125" t="s">
        <v>157</v>
      </c>
      <c r="G330" s="129" t="str">
        <f>TEXT(MC_2[[#This Row],[Date]],"mmm-yy")</f>
        <v>Dec-25</v>
      </c>
      <c r="H330" s="129">
        <f>DAY(EOMONTH(MC_2[[#This Row],[Month Year]],0))</f>
        <v>31</v>
      </c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4">
        <f>SUM(MC_2[[#This Row],[ICR1]:[ICR5]])</f>
        <v>0</v>
      </c>
      <c r="T330" s="132"/>
      <c r="U330" s="132"/>
      <c r="V330" s="132"/>
      <c r="W330" s="132"/>
      <c r="X330" s="132"/>
      <c r="Y330" s="132"/>
      <c r="Z330" s="134"/>
    </row>
    <row r="331" spans="1:26">
      <c r="A331" s="132">
        <v>329</v>
      </c>
      <c r="B331" s="126">
        <f t="shared" si="5"/>
        <v>46017</v>
      </c>
      <c r="C331" s="127">
        <f>YEAR(MC_2[[#This Row],[Date]])+IF(MONTH(MC_2[[#This Row],[Date]])&gt;=4,1,0)</f>
        <v>2026</v>
      </c>
      <c r="D331" s="128">
        <f>YEAR(MC_2[[#This Row],[Date]])</f>
        <v>2025</v>
      </c>
      <c r="E331" s="125" t="s">
        <v>157</v>
      </c>
      <c r="F331" s="125" t="s">
        <v>157</v>
      </c>
      <c r="G331" s="129" t="str">
        <f>TEXT(MC_2[[#This Row],[Date]],"mmm-yy")</f>
        <v>Dec-25</v>
      </c>
      <c r="H331" s="129">
        <f>DAY(EOMONTH(MC_2[[#This Row],[Month Year]],0))</f>
        <v>31</v>
      </c>
      <c r="I331" s="132">
        <v>2</v>
      </c>
      <c r="J331" s="132">
        <v>2</v>
      </c>
      <c r="K331" s="132">
        <v>464</v>
      </c>
      <c r="L331" s="132">
        <v>0</v>
      </c>
      <c r="M331" s="132">
        <v>0</v>
      </c>
      <c r="N331" s="132">
        <v>0</v>
      </c>
      <c r="O331" s="132">
        <v>0</v>
      </c>
      <c r="P331" s="132"/>
      <c r="Q331" s="132"/>
      <c r="R331" s="132"/>
      <c r="S331" s="4">
        <f>SUM(MC_2[[#This Row],[ICR1]:[ICR5]])</f>
        <v>464</v>
      </c>
      <c r="T331" s="132"/>
      <c r="U331" s="132"/>
      <c r="V331" s="133">
        <v>0.625</v>
      </c>
      <c r="W331" s="133">
        <v>0.75</v>
      </c>
      <c r="X331" s="132" t="s">
        <v>353</v>
      </c>
      <c r="Y331" s="132"/>
      <c r="Z331" s="134"/>
    </row>
    <row r="332" spans="1:26">
      <c r="A332" s="132">
        <v>330</v>
      </c>
      <c r="B332" s="126">
        <f t="shared" si="5"/>
        <v>46018</v>
      </c>
      <c r="C332" s="127">
        <f>YEAR(MC_2[[#This Row],[Date]])+IF(MONTH(MC_2[[#This Row],[Date]])&gt;=4,1,0)</f>
        <v>2026</v>
      </c>
      <c r="D332" s="128">
        <f>YEAR(MC_2[[#This Row],[Date]])</f>
        <v>2025</v>
      </c>
      <c r="E332" s="125" t="s">
        <v>157</v>
      </c>
      <c r="F332" s="125" t="s">
        <v>157</v>
      </c>
      <c r="G332" s="129" t="str">
        <f>TEXT(MC_2[[#This Row],[Date]],"mmm-yy")</f>
        <v>Dec-25</v>
      </c>
      <c r="H332" s="129">
        <f>DAY(EOMONTH(MC_2[[#This Row],[Month Year]],0))</f>
        <v>31</v>
      </c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4">
        <f>SUM(MC_2[[#This Row],[ICR1]:[ICR5]])</f>
        <v>0</v>
      </c>
      <c r="T332" s="132"/>
      <c r="U332" s="132"/>
      <c r="V332" s="132"/>
      <c r="W332" s="132"/>
      <c r="X332" s="132"/>
      <c r="Y332" s="132"/>
      <c r="Z332" s="134"/>
    </row>
    <row r="333" spans="1:26">
      <c r="A333" s="132">
        <v>331</v>
      </c>
      <c r="B333" s="126">
        <f t="shared" si="5"/>
        <v>46019</v>
      </c>
      <c r="C333" s="127">
        <f>YEAR(MC_2[[#This Row],[Date]])+IF(MONTH(MC_2[[#This Row],[Date]])&gt;=4,1,0)</f>
        <v>2026</v>
      </c>
      <c r="D333" s="128">
        <f>YEAR(MC_2[[#This Row],[Date]])</f>
        <v>2025</v>
      </c>
      <c r="E333" s="125" t="s">
        <v>157</v>
      </c>
      <c r="F333" s="125" t="s">
        <v>157</v>
      </c>
      <c r="G333" s="129" t="str">
        <f>TEXT(MC_2[[#This Row],[Date]],"mmm-yy")</f>
        <v>Dec-25</v>
      </c>
      <c r="H333" s="129">
        <f>DAY(EOMONTH(MC_2[[#This Row],[Month Year]],0))</f>
        <v>31</v>
      </c>
      <c r="I333" s="132">
        <v>2</v>
      </c>
      <c r="J333" s="132">
        <v>5</v>
      </c>
      <c r="K333" s="132">
        <v>2088</v>
      </c>
      <c r="L333" s="132">
        <v>0</v>
      </c>
      <c r="M333" s="132">
        <v>0</v>
      </c>
      <c r="N333" s="132">
        <v>0</v>
      </c>
      <c r="O333" s="132">
        <v>0</v>
      </c>
      <c r="P333" s="132"/>
      <c r="Q333" s="132"/>
      <c r="R333" s="132"/>
      <c r="S333" s="4">
        <f>SUM(MC_2[[#This Row],[ICR1]:[ICR5]])</f>
        <v>2088</v>
      </c>
      <c r="T333" s="133">
        <v>0.16666666666666666</v>
      </c>
      <c r="U333" s="133">
        <v>0.45833333333333331</v>
      </c>
      <c r="V333" s="132"/>
      <c r="W333" s="132"/>
      <c r="X333" s="132" t="s">
        <v>353</v>
      </c>
      <c r="Y333" s="132"/>
      <c r="Z333" s="134"/>
    </row>
    <row r="334" spans="1:26">
      <c r="A334" s="132">
        <v>332</v>
      </c>
      <c r="B334" s="126">
        <f t="shared" si="5"/>
        <v>46020</v>
      </c>
      <c r="C334" s="127">
        <f>YEAR(MC_2[[#This Row],[Date]])+IF(MONTH(MC_2[[#This Row],[Date]])&gt;=4,1,0)</f>
        <v>2026</v>
      </c>
      <c r="D334" s="128">
        <f>YEAR(MC_2[[#This Row],[Date]])</f>
        <v>2025</v>
      </c>
      <c r="E334" s="125" t="s">
        <v>157</v>
      </c>
      <c r="F334" s="125" t="s">
        <v>157</v>
      </c>
      <c r="G334" s="129" t="str">
        <f>TEXT(MC_2[[#This Row],[Date]],"mmm-yy")</f>
        <v>Dec-25</v>
      </c>
      <c r="H334" s="129">
        <f>DAY(EOMONTH(MC_2[[#This Row],[Month Year]],0))</f>
        <v>31</v>
      </c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4">
        <f>SUM(MC_2[[#This Row],[ICR1]:[ICR5]])</f>
        <v>0</v>
      </c>
      <c r="T334" s="132"/>
      <c r="U334" s="132"/>
      <c r="V334" s="132"/>
      <c r="W334" s="132"/>
      <c r="X334" s="132"/>
      <c r="Y334" s="132"/>
      <c r="Z334" s="134"/>
    </row>
    <row r="335" spans="1:26">
      <c r="A335" s="132">
        <v>333</v>
      </c>
      <c r="B335" s="126">
        <f t="shared" si="5"/>
        <v>46021</v>
      </c>
      <c r="C335" s="127">
        <f>YEAR(MC_2[[#This Row],[Date]])+IF(MONTH(MC_2[[#This Row],[Date]])&gt;=4,1,0)</f>
        <v>2026</v>
      </c>
      <c r="D335" s="128">
        <f>YEAR(MC_2[[#This Row],[Date]])</f>
        <v>2025</v>
      </c>
      <c r="E335" s="125" t="s">
        <v>157</v>
      </c>
      <c r="F335" s="125" t="s">
        <v>157</v>
      </c>
      <c r="G335" s="129" t="str">
        <f>TEXT(MC_2[[#This Row],[Date]],"mmm-yy")</f>
        <v>Dec-25</v>
      </c>
      <c r="H335" s="129">
        <f>DAY(EOMONTH(MC_2[[#This Row],[Month Year]],0))</f>
        <v>31</v>
      </c>
      <c r="I335" s="132">
        <v>2</v>
      </c>
      <c r="J335" s="132">
        <v>5</v>
      </c>
      <c r="K335" s="132">
        <v>2088</v>
      </c>
      <c r="L335" s="132">
        <v>0</v>
      </c>
      <c r="M335" s="132">
        <v>0</v>
      </c>
      <c r="N335" s="132">
        <v>0</v>
      </c>
      <c r="O335" s="132">
        <v>0</v>
      </c>
      <c r="P335" s="132"/>
      <c r="Q335" s="132"/>
      <c r="R335" s="132"/>
      <c r="S335" s="4">
        <f>SUM(MC_2[[#This Row],[ICR1]:[ICR5]])</f>
        <v>2088</v>
      </c>
      <c r="T335" s="133">
        <v>0.16666666666666666</v>
      </c>
      <c r="U335" s="133">
        <v>0.45833333333333331</v>
      </c>
      <c r="V335" s="132"/>
      <c r="W335" s="132"/>
      <c r="X335" s="132" t="s">
        <v>353</v>
      </c>
      <c r="Y335" s="132"/>
      <c r="Z335" s="134"/>
    </row>
    <row r="336" spans="1:26">
      <c r="A336" s="132">
        <v>334</v>
      </c>
      <c r="B336" s="126">
        <f t="shared" si="5"/>
        <v>46022</v>
      </c>
      <c r="C336" s="127">
        <f>YEAR(MC_2[[#This Row],[Date]])+IF(MONTH(MC_2[[#This Row],[Date]])&gt;=4,1,0)</f>
        <v>2026</v>
      </c>
      <c r="D336" s="128">
        <f>YEAR(MC_2[[#This Row],[Date]])</f>
        <v>2025</v>
      </c>
      <c r="E336" s="125" t="s">
        <v>157</v>
      </c>
      <c r="F336" s="125" t="s">
        <v>157</v>
      </c>
      <c r="G336" s="129" t="str">
        <f>TEXT(MC_2[[#This Row],[Date]],"mmm-yy")</f>
        <v>Dec-25</v>
      </c>
      <c r="H336" s="129">
        <f>DAY(EOMONTH(MC_2[[#This Row],[Month Year]],0))</f>
        <v>31</v>
      </c>
      <c r="I336" s="132">
        <v>2</v>
      </c>
      <c r="J336" s="132">
        <v>5</v>
      </c>
      <c r="K336" s="132">
        <v>1392</v>
      </c>
      <c r="L336" s="132">
        <v>0</v>
      </c>
      <c r="M336" s="132">
        <v>0</v>
      </c>
      <c r="N336" s="132">
        <v>0</v>
      </c>
      <c r="O336" s="132">
        <v>0</v>
      </c>
      <c r="P336" s="132"/>
      <c r="Q336" s="132"/>
      <c r="R336" s="132"/>
      <c r="S336" s="4">
        <f>SUM(MC_2[[#This Row],[ICR1]:[ICR5]])</f>
        <v>1392</v>
      </c>
      <c r="T336" s="132"/>
      <c r="U336" s="132"/>
      <c r="V336" s="133">
        <v>0.625</v>
      </c>
      <c r="W336" s="133">
        <v>0.75</v>
      </c>
      <c r="X336" s="132" t="s">
        <v>353</v>
      </c>
      <c r="Y336" s="132"/>
      <c r="Z336" s="134"/>
    </row>
    <row r="337" spans="1:26">
      <c r="A337" s="132">
        <v>335</v>
      </c>
      <c r="B337" s="126">
        <f t="shared" si="5"/>
        <v>46023</v>
      </c>
      <c r="C337" s="127">
        <f>YEAR(MC_2[[#This Row],[Date]])+IF(MONTH(MC_2[[#This Row],[Date]])&gt;=4,1,0)</f>
        <v>2026</v>
      </c>
      <c r="D337" s="128">
        <f>YEAR(MC_2[[#This Row],[Date]])</f>
        <v>2026</v>
      </c>
      <c r="E337" s="125" t="s">
        <v>157</v>
      </c>
      <c r="F337" s="125" t="s">
        <v>157</v>
      </c>
      <c r="G337" s="129" t="str">
        <f>TEXT(MC_2[[#This Row],[Date]],"mmm-yy")</f>
        <v>Jan-26</v>
      </c>
      <c r="H337" s="129">
        <f>DAY(EOMONTH(MC_2[[#This Row],[Month Year]],0))</f>
        <v>31</v>
      </c>
      <c r="I337" s="132">
        <v>2</v>
      </c>
      <c r="J337" s="132">
        <v>5</v>
      </c>
      <c r="K337" s="132">
        <v>0</v>
      </c>
      <c r="L337" s="132">
        <v>0</v>
      </c>
      <c r="M337" s="132">
        <v>754</v>
      </c>
      <c r="N337" s="132">
        <v>0</v>
      </c>
      <c r="O337" s="132">
        <v>0</v>
      </c>
      <c r="P337" s="132">
        <v>2436</v>
      </c>
      <c r="Q337" s="132"/>
      <c r="R337" s="132"/>
      <c r="S337" s="4">
        <f>SUM(MC_2[[#This Row],[ICR1]:[ICR6]])</f>
        <v>3190</v>
      </c>
      <c r="T337" s="133">
        <v>0.25</v>
      </c>
      <c r="U337" s="133">
        <v>0.54166666666666663</v>
      </c>
      <c r="V337" s="133">
        <v>0.58333333333333337</v>
      </c>
      <c r="W337" s="133">
        <v>0.625</v>
      </c>
      <c r="X337" s="132" t="s">
        <v>353</v>
      </c>
      <c r="Y337" s="132"/>
      <c r="Z337" s="134"/>
    </row>
    <row r="338" spans="1:26">
      <c r="A338" s="132">
        <v>336</v>
      </c>
      <c r="B338" s="126">
        <f t="shared" si="5"/>
        <v>46024</v>
      </c>
      <c r="C338" s="127">
        <f>YEAR(MC_2[[#This Row],[Date]])+IF(MONTH(MC_2[[#This Row],[Date]])&gt;=4,1,0)</f>
        <v>2026</v>
      </c>
      <c r="D338" s="128">
        <f>YEAR(MC_2[[#This Row],[Date]])</f>
        <v>2026</v>
      </c>
      <c r="E338" s="125" t="s">
        <v>157</v>
      </c>
      <c r="F338" s="125" t="s">
        <v>157</v>
      </c>
      <c r="G338" s="129" t="str">
        <f>TEXT(MC_2[[#This Row],[Date]],"mmm-yy")</f>
        <v>Jan-26</v>
      </c>
      <c r="H338" s="129">
        <f>DAY(EOMONTH(MC_2[[#This Row],[Month Year]],0))</f>
        <v>31</v>
      </c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4">
        <f>SUM(MC_2[[#This Row],[ICR1]:[ICR5]])</f>
        <v>0</v>
      </c>
      <c r="T338" s="133"/>
      <c r="U338" s="133"/>
      <c r="V338" s="133"/>
      <c r="W338" s="133"/>
      <c r="X338" s="132"/>
      <c r="Y338" s="132"/>
      <c r="Z338" s="134"/>
    </row>
    <row r="339" spans="1:26">
      <c r="A339" s="132">
        <v>337</v>
      </c>
      <c r="B339" s="126">
        <f t="shared" si="5"/>
        <v>46025</v>
      </c>
      <c r="C339" s="127">
        <f>YEAR(MC_2[[#This Row],[Date]])+IF(MONTH(MC_2[[#This Row],[Date]])&gt;=4,1,0)</f>
        <v>2026</v>
      </c>
      <c r="D339" s="128">
        <f>YEAR(MC_2[[#This Row],[Date]])</f>
        <v>2026</v>
      </c>
      <c r="E339" s="125" t="s">
        <v>157</v>
      </c>
      <c r="F339" s="125" t="s">
        <v>157</v>
      </c>
      <c r="G339" s="129" t="str">
        <f>TEXT(MC_2[[#This Row],[Date]],"mmm-yy")</f>
        <v>Jan-26</v>
      </c>
      <c r="H339" s="129">
        <f>DAY(EOMONTH(MC_2[[#This Row],[Month Year]],0))</f>
        <v>31</v>
      </c>
      <c r="I339" s="132">
        <v>2</v>
      </c>
      <c r="J339" s="132">
        <v>5</v>
      </c>
      <c r="K339" s="132">
        <v>0</v>
      </c>
      <c r="L339" s="132">
        <v>0</v>
      </c>
      <c r="M339" s="132">
        <v>3016</v>
      </c>
      <c r="N339" s="132">
        <v>0</v>
      </c>
      <c r="O339" s="132">
        <v>0</v>
      </c>
      <c r="P339" s="132">
        <v>0</v>
      </c>
      <c r="Q339" s="132"/>
      <c r="R339" s="132"/>
      <c r="S339" s="4">
        <f>SUM(MC_2[[#This Row],[ICR1]:[ICR5]])</f>
        <v>3016</v>
      </c>
      <c r="T339" s="133">
        <v>0.25</v>
      </c>
      <c r="U339" s="133">
        <v>0.54166666666666663</v>
      </c>
      <c r="V339" s="133">
        <v>0.58333333333333337</v>
      </c>
      <c r="W339" s="133">
        <v>0.625</v>
      </c>
      <c r="X339" s="132" t="s">
        <v>353</v>
      </c>
      <c r="Y339" s="132"/>
      <c r="Z339" s="134"/>
    </row>
    <row r="340" spans="1:26">
      <c r="A340" s="132">
        <v>338</v>
      </c>
      <c r="B340" s="126">
        <f t="shared" si="5"/>
        <v>46026</v>
      </c>
      <c r="C340" s="127">
        <f>YEAR(MC_2[[#This Row],[Date]])+IF(MONTH(MC_2[[#This Row],[Date]])&gt;=4,1,0)</f>
        <v>2026</v>
      </c>
      <c r="D340" s="128">
        <f>YEAR(MC_2[[#This Row],[Date]])</f>
        <v>2026</v>
      </c>
      <c r="E340" s="125" t="s">
        <v>157</v>
      </c>
      <c r="F340" s="125" t="s">
        <v>157</v>
      </c>
      <c r="G340" s="129" t="str">
        <f>TEXT(MC_2[[#This Row],[Date]],"mmm-yy")</f>
        <v>Jan-26</v>
      </c>
      <c r="H340" s="129">
        <f>DAY(EOMONTH(MC_2[[#This Row],[Month Year]],0))</f>
        <v>31</v>
      </c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4">
        <f>SUM(MC_2[[#This Row],[ICR1]:[ICR5]])</f>
        <v>0</v>
      </c>
      <c r="T340" s="132"/>
      <c r="U340" s="132"/>
      <c r="V340" s="132"/>
      <c r="W340" s="132"/>
      <c r="X340" s="132"/>
      <c r="Y340" s="132"/>
      <c r="Z340" s="134"/>
    </row>
    <row r="341" spans="1:26">
      <c r="A341" s="132">
        <v>339</v>
      </c>
      <c r="B341" s="126">
        <f t="shared" si="5"/>
        <v>46027</v>
      </c>
      <c r="C341" s="127">
        <f>YEAR(MC_2[[#This Row],[Date]])+IF(MONTH(MC_2[[#This Row],[Date]])&gt;=4,1,0)</f>
        <v>2026</v>
      </c>
      <c r="D341" s="128">
        <f>YEAR(MC_2[[#This Row],[Date]])</f>
        <v>2026</v>
      </c>
      <c r="E341" s="125" t="s">
        <v>157</v>
      </c>
      <c r="F341" s="125" t="s">
        <v>157</v>
      </c>
      <c r="G341" s="129" t="str">
        <f>TEXT(MC_2[[#This Row],[Date]],"mmm-yy")</f>
        <v>Jan-26</v>
      </c>
      <c r="H341" s="129">
        <f>DAY(EOMONTH(MC_2[[#This Row],[Month Year]],0))</f>
        <v>31</v>
      </c>
      <c r="I341" s="132">
        <v>2</v>
      </c>
      <c r="J341" s="132">
        <v>5</v>
      </c>
      <c r="K341" s="132">
        <v>0</v>
      </c>
      <c r="L341" s="132">
        <v>0</v>
      </c>
      <c r="M341" s="132">
        <v>464</v>
      </c>
      <c r="N341" s="132">
        <v>0</v>
      </c>
      <c r="O341" s="132">
        <v>0</v>
      </c>
      <c r="P341" s="132">
        <v>0</v>
      </c>
      <c r="Q341" s="132"/>
      <c r="R341" s="132"/>
      <c r="S341" s="4">
        <f>SUM(MC_2[[#This Row],[ICR1]:[ICR5]])</f>
        <v>464</v>
      </c>
      <c r="T341" s="132"/>
      <c r="U341" s="132"/>
      <c r="V341" s="133">
        <v>0.70833333333333337</v>
      </c>
      <c r="W341" s="133">
        <v>0.75</v>
      </c>
      <c r="X341" s="132" t="s">
        <v>353</v>
      </c>
      <c r="Y341" s="132"/>
      <c r="Z341" s="134"/>
    </row>
    <row r="342" spans="1:26">
      <c r="A342" s="132">
        <v>340</v>
      </c>
      <c r="B342" s="126">
        <f t="shared" si="5"/>
        <v>46028</v>
      </c>
      <c r="C342" s="127">
        <f>YEAR(MC_2[[#This Row],[Date]])+IF(MONTH(MC_2[[#This Row],[Date]])&gt;=4,1,0)</f>
        <v>2026</v>
      </c>
      <c r="D342" s="128">
        <f>YEAR(MC_2[[#This Row],[Date]])</f>
        <v>2026</v>
      </c>
      <c r="E342" s="125" t="s">
        <v>157</v>
      </c>
      <c r="F342" s="125" t="s">
        <v>157</v>
      </c>
      <c r="G342" s="129" t="str">
        <f>TEXT(MC_2[[#This Row],[Date]],"mmm-yy")</f>
        <v>Jan-26</v>
      </c>
      <c r="H342" s="129">
        <f>DAY(EOMONTH(MC_2[[#This Row],[Month Year]],0))</f>
        <v>31</v>
      </c>
      <c r="I342" s="132">
        <v>2</v>
      </c>
      <c r="J342" s="132">
        <v>5</v>
      </c>
      <c r="K342" s="132">
        <v>0</v>
      </c>
      <c r="L342" s="132">
        <v>0</v>
      </c>
      <c r="M342" s="132">
        <v>2987</v>
      </c>
      <c r="N342" s="132">
        <v>0</v>
      </c>
      <c r="O342" s="132">
        <v>0</v>
      </c>
      <c r="P342" s="132">
        <v>0</v>
      </c>
      <c r="Q342" s="132"/>
      <c r="R342" s="132"/>
      <c r="S342" s="4">
        <f>SUM(MC_2[[#This Row],[ICR1]:[ICR5]])</f>
        <v>2987</v>
      </c>
      <c r="T342" s="133">
        <v>0.16666666666666666</v>
      </c>
      <c r="U342" s="133">
        <v>0.45833333333333331</v>
      </c>
      <c r="V342" s="132"/>
      <c r="W342" s="132"/>
      <c r="X342" s="132" t="s">
        <v>353</v>
      </c>
      <c r="Y342" s="132"/>
      <c r="Z342" s="134"/>
    </row>
    <row r="343" spans="1:26">
      <c r="A343" s="132">
        <v>341</v>
      </c>
      <c r="B343" s="126">
        <f t="shared" si="5"/>
        <v>46029</v>
      </c>
      <c r="C343" s="127">
        <f>YEAR(MC_2[[#This Row],[Date]])+IF(MONTH(MC_2[[#This Row],[Date]])&gt;=4,1,0)</f>
        <v>2026</v>
      </c>
      <c r="D343" s="128">
        <f>YEAR(MC_2[[#This Row],[Date]])</f>
        <v>2026</v>
      </c>
      <c r="E343" s="125" t="s">
        <v>157</v>
      </c>
      <c r="F343" s="125" t="s">
        <v>157</v>
      </c>
      <c r="G343" s="129" t="str">
        <f>TEXT(MC_2[[#This Row],[Date]],"mmm-yy")</f>
        <v>Jan-26</v>
      </c>
      <c r="H343" s="129">
        <f>DAY(EOMONTH(MC_2[[#This Row],[Month Year]],0))</f>
        <v>31</v>
      </c>
      <c r="I343" s="132">
        <v>2</v>
      </c>
      <c r="J343" s="132">
        <v>5</v>
      </c>
      <c r="K343" s="132">
        <v>0</v>
      </c>
      <c r="L343" s="132">
        <v>0</v>
      </c>
      <c r="M343" s="132">
        <v>0</v>
      </c>
      <c r="N343" s="132">
        <v>0</v>
      </c>
      <c r="O343" s="132">
        <v>0</v>
      </c>
      <c r="P343" s="132">
        <v>3248</v>
      </c>
      <c r="Q343" s="132"/>
      <c r="R343" s="132"/>
      <c r="S343" s="4">
        <f>SUM(MC_2[[#This Row],[ICR1]:[ICR6]])</f>
        <v>3248</v>
      </c>
      <c r="T343" s="133">
        <v>0.25</v>
      </c>
      <c r="U343" s="133">
        <v>0.58333333333333337</v>
      </c>
      <c r="V343" s="132"/>
      <c r="W343" s="132"/>
      <c r="X343" s="132" t="s">
        <v>353</v>
      </c>
      <c r="Y343" s="132"/>
      <c r="Z343" s="134"/>
    </row>
    <row r="344" spans="1:26">
      <c r="A344" s="132">
        <v>342</v>
      </c>
      <c r="B344" s="126">
        <f t="shared" si="5"/>
        <v>46030</v>
      </c>
      <c r="C344" s="127">
        <f>YEAR(MC_2[[#This Row],[Date]])+IF(MONTH(MC_2[[#This Row],[Date]])&gt;=4,1,0)</f>
        <v>2026</v>
      </c>
      <c r="D344" s="128">
        <f>YEAR(MC_2[[#This Row],[Date]])</f>
        <v>2026</v>
      </c>
      <c r="E344" s="125" t="s">
        <v>157</v>
      </c>
      <c r="F344" s="125" t="s">
        <v>157</v>
      </c>
      <c r="G344" s="129" t="str">
        <f>TEXT(MC_2[[#This Row],[Date]],"mmm-yy")</f>
        <v>Jan-26</v>
      </c>
      <c r="H344" s="129">
        <f>DAY(EOMONTH(MC_2[[#This Row],[Month Year]],0))</f>
        <v>31</v>
      </c>
      <c r="I344" s="132">
        <v>2</v>
      </c>
      <c r="J344" s="132">
        <v>7</v>
      </c>
      <c r="K344" s="132">
        <v>0</v>
      </c>
      <c r="L344" s="132">
        <v>0</v>
      </c>
      <c r="M344" s="132">
        <v>0</v>
      </c>
      <c r="N344" s="132">
        <v>0</v>
      </c>
      <c r="O344" s="132">
        <v>0</v>
      </c>
      <c r="P344" s="132">
        <v>2523</v>
      </c>
      <c r="Q344" s="132"/>
      <c r="R344" s="132"/>
      <c r="S344" s="4">
        <f>SUM(MC_2[[#This Row],[ICR1]:[ICR6]])</f>
        <v>2523</v>
      </c>
      <c r="T344" s="133">
        <v>0.25</v>
      </c>
      <c r="U344" s="133">
        <v>0.58333333333333337</v>
      </c>
      <c r="V344" s="132"/>
      <c r="W344" s="132"/>
      <c r="X344" s="132" t="s">
        <v>353</v>
      </c>
      <c r="Y344" s="132"/>
      <c r="Z344" s="134"/>
    </row>
    <row r="345" spans="1:26">
      <c r="A345" s="132">
        <v>343</v>
      </c>
      <c r="B345" s="126">
        <f t="shared" si="5"/>
        <v>46031</v>
      </c>
      <c r="C345" s="127">
        <f>YEAR(MC_2[[#This Row],[Date]])+IF(MONTH(MC_2[[#This Row],[Date]])&gt;=4,1,0)</f>
        <v>2026</v>
      </c>
      <c r="D345" s="128">
        <f>YEAR(MC_2[[#This Row],[Date]])</f>
        <v>2026</v>
      </c>
      <c r="E345" s="125" t="s">
        <v>157</v>
      </c>
      <c r="F345" s="125" t="s">
        <v>157</v>
      </c>
      <c r="G345" s="129" t="str">
        <f>TEXT(MC_2[[#This Row],[Date]],"mmm-yy")</f>
        <v>Jan-26</v>
      </c>
      <c r="H345" s="129">
        <f>DAY(EOMONTH(MC_2[[#This Row],[Month Year]],0))</f>
        <v>31</v>
      </c>
      <c r="I345" s="132">
        <v>2</v>
      </c>
      <c r="J345" s="132">
        <v>7</v>
      </c>
      <c r="K345" s="132">
        <v>0</v>
      </c>
      <c r="L345" s="132">
        <v>0</v>
      </c>
      <c r="M345" s="132">
        <v>0</v>
      </c>
      <c r="N345" s="132">
        <v>0</v>
      </c>
      <c r="O345" s="132">
        <v>0</v>
      </c>
      <c r="P345" s="132">
        <v>2407</v>
      </c>
      <c r="Q345" s="132"/>
      <c r="R345" s="132"/>
      <c r="S345" s="4">
        <f>SUM(MC_2[[#This Row],[ICR1]:[ICR6]])</f>
        <v>2407</v>
      </c>
      <c r="T345" s="133">
        <v>0.25</v>
      </c>
      <c r="U345" s="133">
        <v>0.58333333333333337</v>
      </c>
      <c r="V345" s="132"/>
      <c r="W345" s="132"/>
      <c r="X345" s="132" t="s">
        <v>353</v>
      </c>
      <c r="Y345" s="132"/>
      <c r="Z345" s="134"/>
    </row>
    <row r="346" spans="1:26">
      <c r="A346" s="132">
        <v>344</v>
      </c>
      <c r="B346" s="126">
        <f t="shared" si="5"/>
        <v>46032</v>
      </c>
      <c r="C346" s="127">
        <f>YEAR(MC_2[[#This Row],[Date]])+IF(MONTH(MC_2[[#This Row],[Date]])&gt;=4,1,0)</f>
        <v>2026</v>
      </c>
      <c r="D346" s="128">
        <f>YEAR(MC_2[[#This Row],[Date]])</f>
        <v>2026</v>
      </c>
      <c r="E346" s="125" t="s">
        <v>157</v>
      </c>
      <c r="F346" s="125" t="s">
        <v>157</v>
      </c>
      <c r="G346" s="129" t="str">
        <f>TEXT(MC_2[[#This Row],[Date]],"mmm-yy")</f>
        <v>Jan-26</v>
      </c>
      <c r="H346" s="129">
        <f>DAY(EOMONTH(MC_2[[#This Row],[Month Year]],0))</f>
        <v>31</v>
      </c>
      <c r="I346" s="132">
        <v>2</v>
      </c>
      <c r="J346" s="132">
        <v>7</v>
      </c>
      <c r="K346" s="132">
        <v>0</v>
      </c>
      <c r="L346" s="132">
        <v>0</v>
      </c>
      <c r="M346" s="132">
        <v>0</v>
      </c>
      <c r="N346" s="132">
        <v>0</v>
      </c>
      <c r="O346" s="132">
        <v>2320</v>
      </c>
      <c r="P346" s="132">
        <v>0</v>
      </c>
      <c r="Q346" s="132"/>
      <c r="R346" s="132"/>
      <c r="S346" s="4">
        <f>SUM(MC_2[[#This Row],[ICR1]:[ICR6]])</f>
        <v>2320</v>
      </c>
      <c r="T346" s="133">
        <v>0.25</v>
      </c>
      <c r="U346" s="133">
        <v>0.58333333333333337</v>
      </c>
      <c r="V346" s="132"/>
      <c r="W346" s="132"/>
      <c r="X346" s="132" t="s">
        <v>353</v>
      </c>
      <c r="Y346" s="132"/>
      <c r="Z346" s="134"/>
    </row>
    <row r="347" spans="1:26">
      <c r="A347" s="132">
        <v>345</v>
      </c>
      <c r="B347" s="126">
        <f t="shared" si="5"/>
        <v>46033</v>
      </c>
      <c r="C347" s="127">
        <f>YEAR(MC_2[[#This Row],[Date]])+IF(MONTH(MC_2[[#This Row],[Date]])&gt;=4,1,0)</f>
        <v>2026</v>
      </c>
      <c r="D347" s="128">
        <f>YEAR(MC_2[[#This Row],[Date]])</f>
        <v>2026</v>
      </c>
      <c r="E347" s="125" t="s">
        <v>157</v>
      </c>
      <c r="F347" s="125" t="s">
        <v>157</v>
      </c>
      <c r="G347" s="129" t="str">
        <f>TEXT(MC_2[[#This Row],[Date]],"mmm-yy")</f>
        <v>Jan-26</v>
      </c>
      <c r="H347" s="129">
        <f>DAY(EOMONTH(MC_2[[#This Row],[Month Year]],0))</f>
        <v>31</v>
      </c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4">
        <f>SUM(MC_2[[#This Row],[ICR1]:[ICR6]])</f>
        <v>0</v>
      </c>
      <c r="T347" s="132"/>
      <c r="U347" s="132"/>
      <c r="V347" s="132"/>
      <c r="W347" s="132"/>
      <c r="X347" s="132"/>
      <c r="Y347" s="132"/>
      <c r="Z347" s="134"/>
    </row>
    <row r="348" spans="1:26">
      <c r="A348" s="132">
        <v>346</v>
      </c>
      <c r="B348" s="126">
        <f t="shared" si="5"/>
        <v>46034</v>
      </c>
      <c r="C348" s="127">
        <f>YEAR(MC_2[[#This Row],[Date]])+IF(MONTH(MC_2[[#This Row],[Date]])&gt;=4,1,0)</f>
        <v>2026</v>
      </c>
      <c r="D348" s="128">
        <f>YEAR(MC_2[[#This Row],[Date]])</f>
        <v>2026</v>
      </c>
      <c r="E348" s="125" t="s">
        <v>157</v>
      </c>
      <c r="F348" s="125" t="s">
        <v>157</v>
      </c>
      <c r="G348" s="129" t="str">
        <f>TEXT(MC_2[[#This Row],[Date]],"mmm-yy")</f>
        <v>Jan-26</v>
      </c>
      <c r="H348" s="129">
        <f>DAY(EOMONTH(MC_2[[#This Row],[Month Year]],0))</f>
        <v>31</v>
      </c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4">
        <f>SUM(MC_2[[#This Row],[ICR1]:[ICR6]])</f>
        <v>0</v>
      </c>
      <c r="T348" s="132"/>
      <c r="U348" s="132"/>
      <c r="V348" s="132"/>
      <c r="W348" s="132"/>
      <c r="X348" s="132"/>
      <c r="Y348" s="132"/>
      <c r="Z348" s="134"/>
    </row>
    <row r="349" spans="1:26">
      <c r="A349" s="132">
        <v>347</v>
      </c>
      <c r="B349" s="126">
        <f t="shared" si="5"/>
        <v>46035</v>
      </c>
      <c r="C349" s="127">
        <f>YEAR(MC_2[[#This Row],[Date]])+IF(MONTH(MC_2[[#This Row],[Date]])&gt;=4,1,0)</f>
        <v>2026</v>
      </c>
      <c r="D349" s="128">
        <f>YEAR(MC_2[[#This Row],[Date]])</f>
        <v>2026</v>
      </c>
      <c r="E349" s="125" t="s">
        <v>157</v>
      </c>
      <c r="F349" s="125" t="s">
        <v>157</v>
      </c>
      <c r="G349" s="129" t="str">
        <f>TEXT(MC_2[[#This Row],[Date]],"mmm-yy")</f>
        <v>Jan-26</v>
      </c>
      <c r="H349" s="129">
        <f>DAY(EOMONTH(MC_2[[#This Row],[Month Year]],0))</f>
        <v>31</v>
      </c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4">
        <f>SUM(MC_2[[#This Row],[ICR1]:[ICR6]])</f>
        <v>0</v>
      </c>
      <c r="T349" s="132"/>
      <c r="U349" s="132"/>
      <c r="V349" s="132"/>
      <c r="W349" s="132"/>
      <c r="X349" s="132"/>
      <c r="Y349" s="132"/>
      <c r="Z349" s="134"/>
    </row>
    <row r="350" spans="1:26">
      <c r="A350" s="132">
        <v>348</v>
      </c>
      <c r="B350" s="126">
        <f t="shared" si="5"/>
        <v>46036</v>
      </c>
      <c r="C350" s="127">
        <f>YEAR(MC_2[[#This Row],[Date]])+IF(MONTH(MC_2[[#This Row],[Date]])&gt;=4,1,0)</f>
        <v>2026</v>
      </c>
      <c r="D350" s="128">
        <f>YEAR(MC_2[[#This Row],[Date]])</f>
        <v>2026</v>
      </c>
      <c r="E350" s="125" t="s">
        <v>157</v>
      </c>
      <c r="F350" s="125" t="s">
        <v>157</v>
      </c>
      <c r="G350" s="129" t="str">
        <f>TEXT(MC_2[[#This Row],[Date]],"mmm-yy")</f>
        <v>Jan-26</v>
      </c>
      <c r="H350" s="129">
        <f>DAY(EOMONTH(MC_2[[#This Row],[Month Year]],0))</f>
        <v>31</v>
      </c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4">
        <f>SUM(MC_2[[#This Row],[ICR1]:[ICR6]])</f>
        <v>0</v>
      </c>
      <c r="T350" s="132"/>
      <c r="U350" s="132"/>
      <c r="V350" s="132"/>
      <c r="W350" s="132"/>
      <c r="X350" s="132"/>
      <c r="Y350" s="132"/>
      <c r="Z350" s="134"/>
    </row>
    <row r="351" spans="1:26">
      <c r="A351" s="132">
        <v>349</v>
      </c>
      <c r="B351" s="126">
        <f t="shared" si="5"/>
        <v>46037</v>
      </c>
      <c r="C351" s="127">
        <f>YEAR(MC_2[[#This Row],[Date]])+IF(MONTH(MC_2[[#This Row],[Date]])&gt;=4,1,0)</f>
        <v>2026</v>
      </c>
      <c r="D351" s="128">
        <f>YEAR(MC_2[[#This Row],[Date]])</f>
        <v>2026</v>
      </c>
      <c r="E351" s="125" t="s">
        <v>157</v>
      </c>
      <c r="F351" s="125" t="s">
        <v>157</v>
      </c>
      <c r="G351" s="129" t="str">
        <f>TEXT(MC_2[[#This Row],[Date]],"mmm-yy")</f>
        <v>Jan-26</v>
      </c>
      <c r="H351" s="129">
        <f>DAY(EOMONTH(MC_2[[#This Row],[Month Year]],0))</f>
        <v>31</v>
      </c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4">
        <f>SUM(MC_2[[#This Row],[ICR1]:[ICR6]])</f>
        <v>0</v>
      </c>
      <c r="T351" s="132"/>
      <c r="U351" s="132"/>
      <c r="V351" s="132"/>
      <c r="W351" s="132"/>
      <c r="X351" s="132"/>
      <c r="Y351" s="132"/>
      <c r="Z351" s="134"/>
    </row>
    <row r="352" spans="1:26">
      <c r="A352" s="132">
        <v>350</v>
      </c>
      <c r="B352" s="126">
        <f t="shared" si="5"/>
        <v>46038</v>
      </c>
      <c r="C352" s="127">
        <f>YEAR(MC_2[[#This Row],[Date]])+IF(MONTH(MC_2[[#This Row],[Date]])&gt;=4,1,0)</f>
        <v>2026</v>
      </c>
      <c r="D352" s="128">
        <f>YEAR(MC_2[[#This Row],[Date]])</f>
        <v>2026</v>
      </c>
      <c r="E352" s="125" t="s">
        <v>157</v>
      </c>
      <c r="F352" s="125" t="s">
        <v>157</v>
      </c>
      <c r="G352" s="129" t="str">
        <f>TEXT(MC_2[[#This Row],[Date]],"mmm-yy")</f>
        <v>Jan-26</v>
      </c>
      <c r="H352" s="129">
        <f>DAY(EOMONTH(MC_2[[#This Row],[Month Year]],0))</f>
        <v>31</v>
      </c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4">
        <f>SUM(MC_2[[#This Row],[ICR1]:[ICR6]])</f>
        <v>0</v>
      </c>
      <c r="T352" s="132"/>
      <c r="U352" s="132"/>
      <c r="V352" s="132"/>
      <c r="W352" s="132"/>
      <c r="X352" s="132"/>
      <c r="Y352" s="132"/>
      <c r="Z352" s="134"/>
    </row>
    <row r="353" spans="1:26">
      <c r="A353" s="132">
        <v>351</v>
      </c>
      <c r="B353" s="126">
        <f t="shared" si="5"/>
        <v>46039</v>
      </c>
      <c r="C353" s="127">
        <f>YEAR(MC_2[[#This Row],[Date]])+IF(MONTH(MC_2[[#This Row],[Date]])&gt;=4,1,0)</f>
        <v>2026</v>
      </c>
      <c r="D353" s="128">
        <f>YEAR(MC_2[[#This Row],[Date]])</f>
        <v>2026</v>
      </c>
      <c r="E353" s="125" t="s">
        <v>157</v>
      </c>
      <c r="F353" s="125" t="s">
        <v>157</v>
      </c>
      <c r="G353" s="129" t="str">
        <f>TEXT(MC_2[[#This Row],[Date]],"mmm-yy")</f>
        <v>Jan-26</v>
      </c>
      <c r="H353" s="129">
        <f>DAY(EOMONTH(MC_2[[#This Row],[Month Year]],0))</f>
        <v>31</v>
      </c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4">
        <f>SUM(MC_2[[#This Row],[ICR1]:[ICR6]])</f>
        <v>0</v>
      </c>
      <c r="T353" s="132"/>
      <c r="U353" s="132"/>
      <c r="V353" s="132"/>
      <c r="W353" s="132"/>
      <c r="X353" s="132"/>
      <c r="Y353" s="132"/>
      <c r="Z353" s="134"/>
    </row>
    <row r="354" spans="1:26">
      <c r="A354" s="132">
        <v>352</v>
      </c>
      <c r="B354" s="126">
        <f t="shared" si="5"/>
        <v>46040</v>
      </c>
      <c r="C354" s="127">
        <f>YEAR(MC_2[[#This Row],[Date]])+IF(MONTH(MC_2[[#This Row],[Date]])&gt;=4,1,0)</f>
        <v>2026</v>
      </c>
      <c r="D354" s="128">
        <f>YEAR(MC_2[[#This Row],[Date]])</f>
        <v>2026</v>
      </c>
      <c r="E354" s="125" t="s">
        <v>157</v>
      </c>
      <c r="F354" s="125" t="s">
        <v>157</v>
      </c>
      <c r="G354" s="129" t="str">
        <f>TEXT(MC_2[[#This Row],[Date]],"mmm-yy")</f>
        <v>Jan-26</v>
      </c>
      <c r="H354" s="129">
        <f>DAY(EOMONTH(MC_2[[#This Row],[Month Year]],0))</f>
        <v>31</v>
      </c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4">
        <f>SUM(MC_2[[#This Row],[ICR1]:[ICR6]])</f>
        <v>0</v>
      </c>
      <c r="T354" s="132"/>
      <c r="U354" s="132"/>
      <c r="V354" s="132"/>
      <c r="W354" s="132"/>
      <c r="X354" s="132"/>
      <c r="Y354" s="132"/>
      <c r="Z354" s="134"/>
    </row>
    <row r="355" spans="1:26">
      <c r="A355" s="132">
        <v>353</v>
      </c>
      <c r="B355" s="126">
        <f t="shared" si="5"/>
        <v>46041</v>
      </c>
      <c r="C355" s="127">
        <f>YEAR(MC_2[[#This Row],[Date]])+IF(MONTH(MC_2[[#This Row],[Date]])&gt;=4,1,0)</f>
        <v>2026</v>
      </c>
      <c r="D355" s="128">
        <f>YEAR(MC_2[[#This Row],[Date]])</f>
        <v>2026</v>
      </c>
      <c r="E355" s="125" t="s">
        <v>157</v>
      </c>
      <c r="F355" s="125" t="s">
        <v>157</v>
      </c>
      <c r="G355" s="129" t="str">
        <f>TEXT(MC_2[[#This Row],[Date]],"mmm-yy")</f>
        <v>Jan-26</v>
      </c>
      <c r="H355" s="129">
        <f>DAY(EOMONTH(MC_2[[#This Row],[Month Year]],0))</f>
        <v>31</v>
      </c>
      <c r="I355" s="132">
        <v>2</v>
      </c>
      <c r="J355" s="132">
        <v>7</v>
      </c>
      <c r="K355" s="132">
        <v>0</v>
      </c>
      <c r="L355" s="132">
        <v>0</v>
      </c>
      <c r="M355" s="132">
        <v>1595</v>
      </c>
      <c r="N355" s="132">
        <v>0</v>
      </c>
      <c r="O355" s="132">
        <v>0</v>
      </c>
      <c r="P355" s="132">
        <v>0</v>
      </c>
      <c r="Q355" s="132"/>
      <c r="R355" s="132"/>
      <c r="S355" s="4">
        <f>SUM(MC_2[[#This Row],[ICR1]:[ICR6]])</f>
        <v>1595</v>
      </c>
      <c r="T355" s="132"/>
      <c r="U355" s="132"/>
      <c r="V355" s="133">
        <v>0.5</v>
      </c>
      <c r="W355" s="133">
        <v>0.75</v>
      </c>
      <c r="X355" s="132" t="s">
        <v>353</v>
      </c>
      <c r="Y355" s="132"/>
      <c r="Z355" s="134"/>
    </row>
    <row r="356" spans="1:26">
      <c r="A356" s="132">
        <v>354</v>
      </c>
      <c r="B356" s="126">
        <f t="shared" si="5"/>
        <v>46042</v>
      </c>
      <c r="C356" s="127">
        <f>YEAR(MC_2[[#This Row],[Date]])+IF(MONTH(MC_2[[#This Row],[Date]])&gt;=4,1,0)</f>
        <v>2026</v>
      </c>
      <c r="D356" s="128">
        <f>YEAR(MC_2[[#This Row],[Date]])</f>
        <v>2026</v>
      </c>
      <c r="E356" s="125" t="s">
        <v>157</v>
      </c>
      <c r="F356" s="125" t="s">
        <v>157</v>
      </c>
      <c r="G356" s="129" t="str">
        <f>TEXT(MC_2[[#This Row],[Date]],"mmm-yy")</f>
        <v>Jan-26</v>
      </c>
      <c r="H356" s="129">
        <f>DAY(EOMONTH(MC_2[[#This Row],[Month Year]],0))</f>
        <v>31</v>
      </c>
      <c r="I356" s="132">
        <v>2</v>
      </c>
      <c r="J356" s="132">
        <v>7</v>
      </c>
      <c r="K356" s="132">
        <v>0</v>
      </c>
      <c r="L356" s="132">
        <v>0</v>
      </c>
      <c r="M356" s="132">
        <v>1856</v>
      </c>
      <c r="N356" s="132">
        <v>0</v>
      </c>
      <c r="O356" s="132">
        <v>0</v>
      </c>
      <c r="P356" s="132">
        <v>0</v>
      </c>
      <c r="Q356" s="132"/>
      <c r="R356" s="132"/>
      <c r="S356" s="4">
        <f>SUM(MC_2[[#This Row],[ICR1]:[ICR6]])</f>
        <v>1856</v>
      </c>
      <c r="T356" s="133">
        <v>0.33333333333333331</v>
      </c>
      <c r="U356" s="133">
        <v>0.5</v>
      </c>
      <c r="V356" s="133">
        <v>0.5</v>
      </c>
      <c r="W356" s="133">
        <v>0.75</v>
      </c>
      <c r="X356" s="132" t="s">
        <v>353</v>
      </c>
      <c r="Y356" s="132"/>
      <c r="Z356" s="134"/>
    </row>
    <row r="357" spans="1:26">
      <c r="A357" s="132">
        <v>355</v>
      </c>
      <c r="B357" s="126">
        <f t="shared" si="5"/>
        <v>46043</v>
      </c>
      <c r="C357" s="127">
        <f>YEAR(MC_2[[#This Row],[Date]])+IF(MONTH(MC_2[[#This Row],[Date]])&gt;=4,1,0)</f>
        <v>2026</v>
      </c>
      <c r="D357" s="128">
        <f>YEAR(MC_2[[#This Row],[Date]])</f>
        <v>2026</v>
      </c>
      <c r="E357" s="125" t="s">
        <v>157</v>
      </c>
      <c r="F357" s="125" t="s">
        <v>157</v>
      </c>
      <c r="G357" s="129" t="str">
        <f>TEXT(MC_2[[#This Row],[Date]],"mmm-yy")</f>
        <v>Jan-26</v>
      </c>
      <c r="H357" s="129">
        <f>DAY(EOMONTH(MC_2[[#This Row],[Month Year]],0))</f>
        <v>31</v>
      </c>
      <c r="I357" s="132">
        <v>2</v>
      </c>
      <c r="J357" s="132">
        <v>7</v>
      </c>
      <c r="K357" s="132">
        <v>0</v>
      </c>
      <c r="L357" s="132">
        <v>0</v>
      </c>
      <c r="M357" s="132">
        <v>2262</v>
      </c>
      <c r="N357" s="132">
        <v>0</v>
      </c>
      <c r="O357" s="132">
        <v>0</v>
      </c>
      <c r="P357" s="132">
        <v>0</v>
      </c>
      <c r="Q357" s="132"/>
      <c r="R357" s="132"/>
      <c r="S357" s="4">
        <f>SUM(MC_2[[#This Row],[ICR1]:[ICR6]])</f>
        <v>2262</v>
      </c>
      <c r="T357" s="133">
        <v>0.41666666666666669</v>
      </c>
      <c r="U357" s="133">
        <v>0.58333333333333337</v>
      </c>
      <c r="V357" s="133">
        <v>0.58333333333333337</v>
      </c>
      <c r="W357" s="133">
        <v>0.75</v>
      </c>
      <c r="X357" s="132" t="s">
        <v>353</v>
      </c>
      <c r="Y357" s="132"/>
      <c r="Z357" s="134"/>
    </row>
    <row r="358" spans="1:26">
      <c r="A358" s="132">
        <v>356</v>
      </c>
      <c r="B358" s="126">
        <f t="shared" si="5"/>
        <v>46044</v>
      </c>
      <c r="C358" s="127">
        <f>YEAR(MC_2[[#This Row],[Date]])+IF(MONTH(MC_2[[#This Row],[Date]])&gt;=4,1,0)</f>
        <v>2026</v>
      </c>
      <c r="D358" s="128">
        <f>YEAR(MC_2[[#This Row],[Date]])</f>
        <v>2026</v>
      </c>
      <c r="E358" s="125" t="s">
        <v>157</v>
      </c>
      <c r="F358" s="125" t="s">
        <v>157</v>
      </c>
      <c r="G358" s="129" t="str">
        <f>TEXT(MC_2[[#This Row],[Date]],"mmm-yy")</f>
        <v>Jan-26</v>
      </c>
      <c r="H358" s="129">
        <f>DAY(EOMONTH(MC_2[[#This Row],[Month Year]],0))</f>
        <v>31</v>
      </c>
      <c r="I358" s="132">
        <v>2</v>
      </c>
      <c r="J358" s="132">
        <v>7</v>
      </c>
      <c r="K358" s="132">
        <v>0</v>
      </c>
      <c r="L358" s="132">
        <v>1218</v>
      </c>
      <c r="M358" s="132">
        <v>1827</v>
      </c>
      <c r="N358" s="132">
        <v>0</v>
      </c>
      <c r="O358" s="132">
        <v>0</v>
      </c>
      <c r="P358" s="132">
        <v>0</v>
      </c>
      <c r="Q358" s="132"/>
      <c r="R358" s="132"/>
      <c r="S358" s="4">
        <f>SUM(MC_2[[#This Row],[ICR1]:[ICR6]])</f>
        <v>3045</v>
      </c>
      <c r="T358" s="133">
        <v>0.25</v>
      </c>
      <c r="U358" s="133">
        <v>0.58333333333333337</v>
      </c>
      <c r="V358" s="132"/>
      <c r="W358" s="132"/>
      <c r="X358" s="132" t="s">
        <v>353</v>
      </c>
      <c r="Y358" s="132"/>
      <c r="Z358" s="134"/>
    </row>
    <row r="359" spans="1:26">
      <c r="A359" s="132">
        <v>357</v>
      </c>
      <c r="B359" s="126">
        <f t="shared" si="5"/>
        <v>46045</v>
      </c>
      <c r="C359" s="127">
        <f>YEAR(MC_2[[#This Row],[Date]])+IF(MONTH(MC_2[[#This Row],[Date]])&gt;=4,1,0)</f>
        <v>2026</v>
      </c>
      <c r="D359" s="128">
        <f>YEAR(MC_2[[#This Row],[Date]])</f>
        <v>2026</v>
      </c>
      <c r="E359" s="125" t="s">
        <v>157</v>
      </c>
      <c r="F359" s="125" t="s">
        <v>157</v>
      </c>
      <c r="G359" s="129" t="str">
        <f>TEXT(MC_2[[#This Row],[Date]],"mmm-yy")</f>
        <v>Jan-26</v>
      </c>
      <c r="H359" s="129">
        <f>DAY(EOMONTH(MC_2[[#This Row],[Month Year]],0))</f>
        <v>31</v>
      </c>
      <c r="I359" s="132">
        <v>2</v>
      </c>
      <c r="J359" s="132">
        <v>5</v>
      </c>
      <c r="K359" s="132">
        <v>0</v>
      </c>
      <c r="L359" s="132">
        <v>2407</v>
      </c>
      <c r="M359" s="132">
        <v>870</v>
      </c>
      <c r="N359" s="132">
        <v>0</v>
      </c>
      <c r="O359" s="132">
        <v>0</v>
      </c>
      <c r="P359" s="132">
        <v>0</v>
      </c>
      <c r="Q359" s="132"/>
      <c r="R359" s="132"/>
      <c r="S359" s="4">
        <f>SUM(MC_2[[#This Row],[ICR1]:[ICR6]])</f>
        <v>3277</v>
      </c>
      <c r="T359" s="133">
        <v>0.29166666666666669</v>
      </c>
      <c r="U359" s="133">
        <v>0.54166666666666663</v>
      </c>
      <c r="V359" s="133">
        <v>0.58333333333333337</v>
      </c>
      <c r="W359" s="133">
        <v>0.70833333333333337</v>
      </c>
      <c r="X359" s="132" t="s">
        <v>353</v>
      </c>
      <c r="Y359" s="132"/>
      <c r="Z359" s="134"/>
    </row>
    <row r="360" spans="1:26">
      <c r="A360" s="132">
        <v>358</v>
      </c>
      <c r="B360" s="126">
        <f t="shared" si="5"/>
        <v>46046</v>
      </c>
      <c r="C360" s="127">
        <f>YEAR(MC_2[[#This Row],[Date]])+IF(MONTH(MC_2[[#This Row],[Date]])&gt;=4,1,0)</f>
        <v>2026</v>
      </c>
      <c r="D360" s="128">
        <f>YEAR(MC_2[[#This Row],[Date]])</f>
        <v>2026</v>
      </c>
      <c r="E360" s="125" t="s">
        <v>157</v>
      </c>
      <c r="F360" s="125" t="s">
        <v>157</v>
      </c>
      <c r="G360" s="129" t="str">
        <f>TEXT(MC_2[[#This Row],[Date]],"mmm-yy")</f>
        <v>Jan-26</v>
      </c>
      <c r="H360" s="129">
        <f>DAY(EOMONTH(MC_2[[#This Row],[Month Year]],0))</f>
        <v>31</v>
      </c>
      <c r="I360" s="132">
        <v>2</v>
      </c>
      <c r="J360" s="132">
        <v>5</v>
      </c>
      <c r="K360" s="132">
        <v>0</v>
      </c>
      <c r="L360" s="132">
        <v>464</v>
      </c>
      <c r="M360" s="132">
        <v>0</v>
      </c>
      <c r="N360" s="132">
        <v>0</v>
      </c>
      <c r="O360" s="132">
        <v>3480</v>
      </c>
      <c r="P360" s="132">
        <v>0</v>
      </c>
      <c r="Q360" s="132"/>
      <c r="R360" s="132"/>
      <c r="S360" s="4">
        <f>SUM(MC_2[[#This Row],[ICR1]:[ICR6]])</f>
        <v>3944</v>
      </c>
      <c r="T360" s="133">
        <v>0.29166666666666669</v>
      </c>
      <c r="U360" s="133">
        <v>0.54166666666666663</v>
      </c>
      <c r="V360" s="133">
        <v>0.58333333333333337</v>
      </c>
      <c r="W360" s="133">
        <v>0.70833333333333337</v>
      </c>
      <c r="X360" s="132" t="s">
        <v>353</v>
      </c>
      <c r="Y360" s="132"/>
      <c r="Z360" s="134"/>
    </row>
    <row r="361" spans="1:26">
      <c r="A361" s="132">
        <v>359</v>
      </c>
      <c r="B361" s="126">
        <f t="shared" si="5"/>
        <v>46047</v>
      </c>
      <c r="C361" s="127">
        <f>YEAR(MC_2[[#This Row],[Date]])+IF(MONTH(MC_2[[#This Row],[Date]])&gt;=4,1,0)</f>
        <v>2026</v>
      </c>
      <c r="D361" s="128">
        <f>YEAR(MC_2[[#This Row],[Date]])</f>
        <v>2026</v>
      </c>
      <c r="E361" s="125" t="s">
        <v>157</v>
      </c>
      <c r="F361" s="125" t="s">
        <v>157</v>
      </c>
      <c r="G361" s="129" t="str">
        <f>TEXT(MC_2[[#This Row],[Date]],"mmm-yy")</f>
        <v>Jan-26</v>
      </c>
      <c r="H361" s="129">
        <f>DAY(EOMONTH(MC_2[[#This Row],[Month Year]],0))</f>
        <v>31</v>
      </c>
      <c r="I361" s="132">
        <v>2</v>
      </c>
      <c r="J361" s="132">
        <v>5</v>
      </c>
      <c r="K361" s="132">
        <v>0</v>
      </c>
      <c r="L361" s="132">
        <v>0</v>
      </c>
      <c r="M361" s="132">
        <v>0</v>
      </c>
      <c r="N361" s="132">
        <v>1392</v>
      </c>
      <c r="O361" s="132">
        <v>754</v>
      </c>
      <c r="P361" s="132">
        <v>0</v>
      </c>
      <c r="Q361" s="132"/>
      <c r="R361" s="132"/>
      <c r="S361" s="4">
        <f>SUM(MC_2[[#This Row],[ICR1]:[ICR6]])</f>
        <v>2146</v>
      </c>
      <c r="T361" s="133">
        <v>0.25</v>
      </c>
      <c r="U361" s="133">
        <v>0.58333333333333337</v>
      </c>
      <c r="V361" s="132"/>
      <c r="W361" s="132"/>
      <c r="X361" s="132" t="s">
        <v>353</v>
      </c>
      <c r="Y361" s="132"/>
      <c r="Z361" s="134"/>
    </row>
    <row r="362" spans="1:26">
      <c r="A362" s="132">
        <v>360</v>
      </c>
      <c r="B362" s="126">
        <f t="shared" si="5"/>
        <v>46048</v>
      </c>
      <c r="C362" s="127">
        <f>YEAR(MC_2[[#This Row],[Date]])+IF(MONTH(MC_2[[#This Row],[Date]])&gt;=4,1,0)</f>
        <v>2026</v>
      </c>
      <c r="D362" s="128">
        <f>YEAR(MC_2[[#This Row],[Date]])</f>
        <v>2026</v>
      </c>
      <c r="E362" s="125" t="s">
        <v>157</v>
      </c>
      <c r="F362" s="125" t="s">
        <v>157</v>
      </c>
      <c r="G362" s="129" t="str">
        <f>TEXT(MC_2[[#This Row],[Date]],"mmm-yy")</f>
        <v>Jan-26</v>
      </c>
      <c r="H362" s="129">
        <f>DAY(EOMONTH(MC_2[[#This Row],[Month Year]],0))</f>
        <v>31</v>
      </c>
      <c r="I362" s="132">
        <v>2</v>
      </c>
      <c r="J362" s="132">
        <v>5</v>
      </c>
      <c r="K362" s="132">
        <v>0</v>
      </c>
      <c r="L362" s="132">
        <v>0</v>
      </c>
      <c r="M362" s="132">
        <v>0</v>
      </c>
      <c r="N362" s="132">
        <v>2146</v>
      </c>
      <c r="O362" s="132">
        <v>957</v>
      </c>
      <c r="P362" s="132">
        <v>0</v>
      </c>
      <c r="Q362" s="132"/>
      <c r="R362" s="132"/>
      <c r="S362" s="4">
        <f>SUM(MC_2[[#This Row],[ICR1]:[ICR6]])</f>
        <v>3103</v>
      </c>
      <c r="T362" s="133">
        <v>0.25</v>
      </c>
      <c r="U362" s="133">
        <v>0.58333333333333337</v>
      </c>
      <c r="V362" s="132"/>
      <c r="W362" s="132"/>
      <c r="X362" s="132" t="s">
        <v>353</v>
      </c>
      <c r="Y362" s="132"/>
      <c r="Z362" s="134"/>
    </row>
    <row r="363" spans="1:26">
      <c r="A363" s="132">
        <v>361</v>
      </c>
      <c r="B363" s="126">
        <f t="shared" si="5"/>
        <v>46049</v>
      </c>
      <c r="C363" s="127">
        <f>YEAR(MC_2[[#This Row],[Date]])+IF(MONTH(MC_2[[#This Row],[Date]])&gt;=4,1,0)</f>
        <v>2026</v>
      </c>
      <c r="D363" s="128">
        <f>YEAR(MC_2[[#This Row],[Date]])</f>
        <v>2026</v>
      </c>
      <c r="E363" s="125" t="s">
        <v>157</v>
      </c>
      <c r="F363" s="125" t="s">
        <v>157</v>
      </c>
      <c r="G363" s="129" t="str">
        <f>TEXT(MC_2[[#This Row],[Date]],"mmm-yy")</f>
        <v>Jan-26</v>
      </c>
      <c r="H363" s="129">
        <f>DAY(EOMONTH(MC_2[[#This Row],[Month Year]],0))</f>
        <v>31</v>
      </c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4">
        <f>SUM(MC_2[[#This Row],[ICR1]:[ICR6]])</f>
        <v>0</v>
      </c>
      <c r="T363" s="133">
        <v>0.25</v>
      </c>
      <c r="U363" s="133">
        <v>0.58333333333333337</v>
      </c>
      <c r="V363" s="132"/>
      <c r="W363" s="132"/>
      <c r="X363" s="132" t="s">
        <v>353</v>
      </c>
      <c r="Y363" s="132"/>
      <c r="Z363" s="134"/>
    </row>
    <row r="364" spans="1:26">
      <c r="A364" s="132">
        <v>362</v>
      </c>
      <c r="B364" s="126">
        <f t="shared" si="5"/>
        <v>46050</v>
      </c>
      <c r="C364" s="127">
        <f>YEAR(MC_2[[#This Row],[Date]])+IF(MONTH(MC_2[[#This Row],[Date]])&gt;=4,1,0)</f>
        <v>2026</v>
      </c>
      <c r="D364" s="128">
        <f>YEAR(MC_2[[#This Row],[Date]])</f>
        <v>2026</v>
      </c>
      <c r="E364" s="125" t="s">
        <v>157</v>
      </c>
      <c r="F364" s="125" t="s">
        <v>157</v>
      </c>
      <c r="G364" s="129" t="str">
        <f>TEXT(MC_2[[#This Row],[Date]],"mmm-yy")</f>
        <v>Jan-26</v>
      </c>
      <c r="H364" s="129">
        <f>DAY(EOMONTH(MC_2[[#This Row],[Month Year]],0))</f>
        <v>31</v>
      </c>
      <c r="I364" s="132">
        <v>2</v>
      </c>
      <c r="J364" s="132">
        <v>5</v>
      </c>
      <c r="K364" s="132">
        <v>1798</v>
      </c>
      <c r="L364" s="132">
        <v>522</v>
      </c>
      <c r="M364" s="132">
        <v>0</v>
      </c>
      <c r="N364" s="132">
        <v>812</v>
      </c>
      <c r="O364" s="132">
        <v>0</v>
      </c>
      <c r="P364" s="132">
        <v>0</v>
      </c>
      <c r="Q364" s="132"/>
      <c r="R364" s="132"/>
      <c r="S364" s="4">
        <f>SUM(MC_2[[#This Row],[ICR1]:[ICR6]])</f>
        <v>3132</v>
      </c>
      <c r="T364" s="133">
        <v>0.25</v>
      </c>
      <c r="U364" s="133">
        <v>0.58333333333333337</v>
      </c>
      <c r="V364" s="132"/>
      <c r="W364" s="132"/>
      <c r="X364" s="132" t="s">
        <v>353</v>
      </c>
      <c r="Y364" s="132"/>
      <c r="Z364" s="134"/>
    </row>
    <row r="365" spans="1:26">
      <c r="A365" s="132">
        <v>363</v>
      </c>
      <c r="B365" s="126">
        <f t="shared" si="5"/>
        <v>46051</v>
      </c>
      <c r="C365" s="127">
        <f>YEAR(MC_2[[#This Row],[Date]])+IF(MONTH(MC_2[[#This Row],[Date]])&gt;=4,1,0)</f>
        <v>2026</v>
      </c>
      <c r="D365" s="128">
        <f>YEAR(MC_2[[#This Row],[Date]])</f>
        <v>2026</v>
      </c>
      <c r="E365" s="125" t="s">
        <v>157</v>
      </c>
      <c r="F365" s="125" t="s">
        <v>157</v>
      </c>
      <c r="G365" s="129" t="str">
        <f>TEXT(MC_2[[#This Row],[Date]],"mmm-yy")</f>
        <v>Jan-26</v>
      </c>
      <c r="H365" s="129">
        <f>DAY(EOMONTH(MC_2[[#This Row],[Month Year]],0))</f>
        <v>31</v>
      </c>
      <c r="I365" s="132">
        <v>2</v>
      </c>
      <c r="J365" s="132">
        <v>5</v>
      </c>
      <c r="K365" s="132">
        <v>0</v>
      </c>
      <c r="L365" s="132">
        <v>3306</v>
      </c>
      <c r="M365" s="132">
        <v>0</v>
      </c>
      <c r="N365" s="132">
        <v>1740</v>
      </c>
      <c r="O365" s="132">
        <v>0</v>
      </c>
      <c r="P365" s="132">
        <v>0</v>
      </c>
      <c r="Q365" s="132"/>
      <c r="R365" s="132"/>
      <c r="S365" s="4">
        <f>SUM(MC_2[[#This Row],[ICR1]:[ICR6]])</f>
        <v>5046</v>
      </c>
      <c r="T365" s="133">
        <v>0.25</v>
      </c>
      <c r="U365" s="133">
        <v>0.54166666666666663</v>
      </c>
      <c r="V365" s="133">
        <v>0.58333333333333337</v>
      </c>
      <c r="W365" s="133">
        <v>0.70833333333333337</v>
      </c>
      <c r="X365" s="132" t="s">
        <v>353</v>
      </c>
      <c r="Y365" s="132"/>
      <c r="Z365" s="134"/>
    </row>
    <row r="366" spans="1:26">
      <c r="A366" s="132">
        <v>364</v>
      </c>
      <c r="B366" s="126">
        <f t="shared" si="5"/>
        <v>46052</v>
      </c>
      <c r="C366" s="127">
        <f>YEAR(MC_2[[#This Row],[Date]])+IF(MONTH(MC_2[[#This Row],[Date]])&gt;=4,1,0)</f>
        <v>2026</v>
      </c>
      <c r="D366" s="128">
        <f>YEAR(MC_2[[#This Row],[Date]])</f>
        <v>2026</v>
      </c>
      <c r="E366" s="125" t="s">
        <v>157</v>
      </c>
      <c r="F366" s="125" t="s">
        <v>157</v>
      </c>
      <c r="G366" s="129" t="str">
        <f>TEXT(MC_2[[#This Row],[Date]],"mmm-yy")</f>
        <v>Jan-26</v>
      </c>
      <c r="H366" s="129">
        <f>DAY(EOMONTH(MC_2[[#This Row],[Month Year]],0))</f>
        <v>31</v>
      </c>
      <c r="I366" s="132">
        <v>2</v>
      </c>
      <c r="J366" s="132">
        <v>5</v>
      </c>
      <c r="K366" s="132">
        <v>0</v>
      </c>
      <c r="L366" s="132">
        <v>0</v>
      </c>
      <c r="M366" s="132">
        <v>0</v>
      </c>
      <c r="N366" s="132">
        <v>2378</v>
      </c>
      <c r="O366" s="132">
        <v>0</v>
      </c>
      <c r="P366" s="132">
        <v>0</v>
      </c>
      <c r="Q366" s="132">
        <v>0</v>
      </c>
      <c r="R366" s="132">
        <v>1798</v>
      </c>
      <c r="S366" s="4">
        <f>SUM(MC_2[[#This Row],[ICR1]:[ICR8]])</f>
        <v>4176</v>
      </c>
      <c r="T366" s="133">
        <v>0.25</v>
      </c>
      <c r="U366" s="133">
        <v>0.54166666666666663</v>
      </c>
      <c r="V366" s="133">
        <v>0.58333333333333337</v>
      </c>
      <c r="W366" s="133">
        <v>0.70833333333333337</v>
      </c>
      <c r="X366" s="132" t="s">
        <v>353</v>
      </c>
      <c r="Y366" s="132"/>
      <c r="Z366" s="134"/>
    </row>
    <row r="367" spans="1:26">
      <c r="A367" s="132">
        <v>365</v>
      </c>
      <c r="B367" s="126">
        <f t="shared" si="5"/>
        <v>46053</v>
      </c>
      <c r="C367" s="127">
        <f>YEAR(MC_2[[#This Row],[Date]])+IF(MONTH(MC_2[[#This Row],[Date]])&gt;=4,1,0)</f>
        <v>2026</v>
      </c>
      <c r="D367" s="128">
        <f>YEAR(MC_2[[#This Row],[Date]])</f>
        <v>2026</v>
      </c>
      <c r="E367" s="125" t="s">
        <v>157</v>
      </c>
      <c r="F367" s="125" t="s">
        <v>157</v>
      </c>
      <c r="G367" s="129" t="str">
        <f>TEXT(MC_2[[#This Row],[Date]],"mmm-yy")</f>
        <v>Jan-26</v>
      </c>
      <c r="H367" s="129">
        <f>DAY(EOMONTH(MC_2[[#This Row],[Month Year]],0))</f>
        <v>31</v>
      </c>
      <c r="I367" s="132">
        <v>2</v>
      </c>
      <c r="J367" s="132">
        <v>15</v>
      </c>
      <c r="K367" s="132">
        <v>3828</v>
      </c>
      <c r="L367" s="132">
        <v>0</v>
      </c>
      <c r="M367" s="132">
        <v>0</v>
      </c>
      <c r="N367" s="132">
        <v>0</v>
      </c>
      <c r="O367" s="132">
        <v>0</v>
      </c>
      <c r="P367" s="132">
        <v>0</v>
      </c>
      <c r="Q367" s="132">
        <v>0</v>
      </c>
      <c r="R367" s="132">
        <v>2842</v>
      </c>
      <c r="S367" s="4">
        <f>SUM(MC_2[[#This Row],[ICR1]:[ICR8]])</f>
        <v>6670</v>
      </c>
      <c r="T367" s="133">
        <v>0.25</v>
      </c>
      <c r="U367" s="133">
        <v>0.54166666666666663</v>
      </c>
      <c r="V367" s="133">
        <v>0.58333333333333337</v>
      </c>
      <c r="W367" s="133">
        <v>0.70833333333333337</v>
      </c>
      <c r="X367" s="132" t="s">
        <v>353</v>
      </c>
      <c r="Y367" s="132"/>
      <c r="Z367" s="134"/>
    </row>
    <row r="368" spans="1:26">
      <c r="A368" s="132">
        <v>366</v>
      </c>
      <c r="B368" s="126">
        <f t="shared" si="5"/>
        <v>46054</v>
      </c>
      <c r="C368" s="127">
        <f>YEAR(MC_2[[#This Row],[Date]])+IF(MONTH(MC_2[[#This Row],[Date]])&gt;=4,1,0)</f>
        <v>2026</v>
      </c>
      <c r="D368" s="128">
        <f>YEAR(MC_2[[#This Row],[Date]])</f>
        <v>2026</v>
      </c>
      <c r="E368" s="125" t="s">
        <v>157</v>
      </c>
      <c r="F368" s="125" t="s">
        <v>157</v>
      </c>
      <c r="G368" s="129" t="str">
        <f>TEXT(MC_2[[#This Row],[Date]],"mmm-yy")</f>
        <v>Feb-26</v>
      </c>
      <c r="H368" s="129">
        <f>DAY(EOMONTH(MC_2[[#This Row],[Month Year]],0))</f>
        <v>28</v>
      </c>
      <c r="I368" s="132">
        <v>2</v>
      </c>
      <c r="J368" s="132">
        <v>15</v>
      </c>
      <c r="K368" s="132">
        <v>3480</v>
      </c>
      <c r="L368" s="132">
        <v>0</v>
      </c>
      <c r="M368" s="132">
        <v>0</v>
      </c>
      <c r="N368" s="132">
        <v>0</v>
      </c>
      <c r="O368" s="132">
        <v>0</v>
      </c>
      <c r="P368" s="132">
        <v>0</v>
      </c>
      <c r="Q368" s="132">
        <v>0</v>
      </c>
      <c r="R368" s="132">
        <v>5713</v>
      </c>
      <c r="S368" s="4">
        <f>SUM(MC_2[[#This Row],[ICR1]:[ICR8]])</f>
        <v>9193</v>
      </c>
      <c r="T368" s="133">
        <v>0.25</v>
      </c>
      <c r="U368" s="133">
        <v>0.54166666666666663</v>
      </c>
      <c r="V368" s="133">
        <v>0.58333333333333337</v>
      </c>
      <c r="W368" s="133">
        <v>0.70833333333333337</v>
      </c>
      <c r="X368" s="132" t="s">
        <v>353</v>
      </c>
      <c r="Y368" s="132"/>
      <c r="Z368" s="134"/>
    </row>
    <row r="369" spans="1:26">
      <c r="A369" s="132">
        <v>367</v>
      </c>
      <c r="B369" s="126">
        <f t="shared" si="5"/>
        <v>46055</v>
      </c>
      <c r="C369" s="127">
        <f>YEAR(MC_2[[#This Row],[Date]])+IF(MONTH(MC_2[[#This Row],[Date]])&gt;=4,1,0)</f>
        <v>2026</v>
      </c>
      <c r="D369" s="128">
        <f>YEAR(MC_2[[#This Row],[Date]])</f>
        <v>2026</v>
      </c>
      <c r="E369" s="125" t="s">
        <v>157</v>
      </c>
      <c r="F369" s="125" t="s">
        <v>157</v>
      </c>
      <c r="G369" s="129" t="str">
        <f>TEXT(MC_2[[#This Row],[Date]],"mmm-yy")</f>
        <v>Feb-26</v>
      </c>
      <c r="H369" s="129">
        <f>DAY(EOMONTH(MC_2[[#This Row],[Month Year]],0))</f>
        <v>28</v>
      </c>
      <c r="I369" s="132">
        <v>2</v>
      </c>
      <c r="J369" s="132">
        <v>15</v>
      </c>
      <c r="K369" s="132">
        <v>406</v>
      </c>
      <c r="L369" s="132">
        <v>3132</v>
      </c>
      <c r="M369" s="132">
        <v>0</v>
      </c>
      <c r="N369" s="132">
        <v>0</v>
      </c>
      <c r="O369" s="132">
        <v>0</v>
      </c>
      <c r="P369" s="132">
        <v>0</v>
      </c>
      <c r="Q369" s="132">
        <v>0</v>
      </c>
      <c r="R369" s="132">
        <v>2320</v>
      </c>
      <c r="S369" s="4">
        <f>SUM(MC_2[[#This Row],[ICR1]:[ICR8]])</f>
        <v>5858</v>
      </c>
      <c r="T369" s="133">
        <v>0.25</v>
      </c>
      <c r="U369" s="133">
        <v>0.54166666666666663</v>
      </c>
      <c r="V369" s="133">
        <v>0.58333333333333337</v>
      </c>
      <c r="W369" s="133">
        <v>0.70833333333333337</v>
      </c>
      <c r="X369" s="132" t="s">
        <v>353</v>
      </c>
      <c r="Y369" s="132"/>
      <c r="Z369" s="134"/>
    </row>
    <row r="370" spans="1:26">
      <c r="A370" s="132">
        <v>368</v>
      </c>
      <c r="B370" s="126">
        <f t="shared" si="5"/>
        <v>46056</v>
      </c>
      <c r="C370" s="209">
        <f>YEAR(MC_2[[#This Row],[Date]])+IF(MONTH(MC_2[[#This Row],[Date]])&gt;=4,1,0)</f>
        <v>2026</v>
      </c>
      <c r="D370" s="129">
        <f>YEAR(MC_2[[#This Row],[Date]])</f>
        <v>2026</v>
      </c>
      <c r="E370" s="125" t="s">
        <v>157</v>
      </c>
      <c r="F370" s="125" t="s">
        <v>157</v>
      </c>
      <c r="G370" s="4" t="str">
        <f>TEXT(MC_2[[#This Row],[Date]],"mmm-yy")</f>
        <v>Feb-26</v>
      </c>
      <c r="H370" s="4">
        <f>DAY(EOMONTH(MC_2[[#This Row],[Month Year]],0))</f>
        <v>28</v>
      </c>
      <c r="I370" s="132">
        <v>2</v>
      </c>
      <c r="J370" s="132">
        <v>15</v>
      </c>
      <c r="K370" s="132">
        <v>0</v>
      </c>
      <c r="L370" s="132">
        <v>2233</v>
      </c>
      <c r="M370" s="132">
        <v>4727</v>
      </c>
      <c r="N370" s="132">
        <v>0</v>
      </c>
      <c r="O370" s="132">
        <v>0</v>
      </c>
      <c r="P370" s="132">
        <v>0</v>
      </c>
      <c r="Q370" s="132">
        <v>0</v>
      </c>
      <c r="R370" s="132">
        <v>0</v>
      </c>
      <c r="S370" s="4">
        <f>SUM(MC_2[[#This Row],[ICR1]:[ICR8]])</f>
        <v>6960</v>
      </c>
      <c r="T370" s="133">
        <v>0.25</v>
      </c>
      <c r="U370" s="133">
        <v>0.54166666666666663</v>
      </c>
      <c r="V370" s="133">
        <v>0.58333333333333337</v>
      </c>
      <c r="W370" s="133">
        <v>0.70833333333333337</v>
      </c>
      <c r="X370" s="132" t="s">
        <v>353</v>
      </c>
      <c r="Y370" s="132"/>
      <c r="Z370" s="132"/>
    </row>
    <row r="371" spans="1:26">
      <c r="A371" s="132">
        <v>369</v>
      </c>
      <c r="B371" s="126">
        <f t="shared" si="5"/>
        <v>46057</v>
      </c>
      <c r="C371" s="209">
        <f>YEAR(MC_2[[#This Row],[Date]])+IF(MONTH(MC_2[[#This Row],[Date]])&gt;=4,1,0)</f>
        <v>2026</v>
      </c>
      <c r="D371" s="129">
        <f>YEAR(MC_2[[#This Row],[Date]])</f>
        <v>2026</v>
      </c>
      <c r="E371" s="125" t="s">
        <v>157</v>
      </c>
      <c r="F371" s="125" t="s">
        <v>157</v>
      </c>
      <c r="G371" s="4" t="str">
        <f>TEXT(MC_2[[#This Row],[Date]],"mmm-yy")</f>
        <v>Feb-26</v>
      </c>
      <c r="H371" s="4">
        <f>DAY(EOMONTH(MC_2[[#This Row],[Month Year]],0))</f>
        <v>28</v>
      </c>
      <c r="I371" s="132">
        <v>2</v>
      </c>
      <c r="J371" s="132">
        <v>15</v>
      </c>
      <c r="K371" s="132">
        <v>0</v>
      </c>
      <c r="L371" s="132">
        <v>3306</v>
      </c>
      <c r="M371" s="132">
        <v>5104</v>
      </c>
      <c r="N371" s="132">
        <v>0</v>
      </c>
      <c r="O371" s="132">
        <v>0</v>
      </c>
      <c r="P371" s="132">
        <v>0</v>
      </c>
      <c r="Q371" s="132">
        <v>0</v>
      </c>
      <c r="R371" s="132">
        <v>0</v>
      </c>
      <c r="S371" s="4">
        <f>SUM(MC_2[[#This Row],[ICR1]:[ICR8]])</f>
        <v>8410</v>
      </c>
      <c r="T371" s="133">
        <v>0.25</v>
      </c>
      <c r="U371" s="133">
        <v>0.54166666666666663</v>
      </c>
      <c r="V371" s="133">
        <v>0.58333333333333337</v>
      </c>
      <c r="W371" s="133">
        <v>0.70833333333333337</v>
      </c>
      <c r="X371" s="132" t="s">
        <v>353</v>
      </c>
      <c r="Y371" s="132"/>
      <c r="Z371" s="132"/>
    </row>
    <row r="372" spans="1:26">
      <c r="A372" s="132">
        <v>370</v>
      </c>
      <c r="B372" s="126">
        <f t="shared" si="5"/>
        <v>46058</v>
      </c>
      <c r="C372" s="209">
        <f>YEAR(MC_2[[#This Row],[Date]])+IF(MONTH(MC_2[[#This Row],[Date]])&gt;=4,1,0)</f>
        <v>2026</v>
      </c>
      <c r="D372" s="129">
        <f>YEAR(MC_2[[#This Row],[Date]])</f>
        <v>2026</v>
      </c>
      <c r="E372" s="125" t="s">
        <v>157</v>
      </c>
      <c r="F372" s="125" t="s">
        <v>157</v>
      </c>
      <c r="G372" s="4" t="str">
        <f>TEXT(MC_2[[#This Row],[Date]],"mmm-yy")</f>
        <v>Feb-26</v>
      </c>
      <c r="H372" s="4">
        <f>DAY(EOMONTH(MC_2[[#This Row],[Month Year]],0))</f>
        <v>28</v>
      </c>
      <c r="I372" s="132">
        <v>2</v>
      </c>
      <c r="J372" s="132">
        <v>15</v>
      </c>
      <c r="K372" s="132">
        <v>2436</v>
      </c>
      <c r="L372" s="132">
        <v>3074</v>
      </c>
      <c r="M372" s="132">
        <v>1566</v>
      </c>
      <c r="N372" s="132">
        <v>3306</v>
      </c>
      <c r="O372" s="132">
        <v>0</v>
      </c>
      <c r="P372" s="132">
        <v>0</v>
      </c>
      <c r="Q372" s="132">
        <v>0</v>
      </c>
      <c r="R372" s="132">
        <v>0</v>
      </c>
      <c r="S372" s="4">
        <f>SUM(MC_2[[#This Row],[ICR1]:[ICR8]])</f>
        <v>10382</v>
      </c>
      <c r="T372" s="133">
        <v>0.25</v>
      </c>
      <c r="U372" s="133">
        <v>0.54166666666666663</v>
      </c>
      <c r="V372" s="133">
        <v>0.58333333333333337</v>
      </c>
      <c r="W372" s="133">
        <v>0.70833333333333337</v>
      </c>
      <c r="X372" s="132" t="s">
        <v>353</v>
      </c>
      <c r="Y372" s="132"/>
      <c r="Z372" s="132"/>
    </row>
    <row r="373" spans="1:26">
      <c r="A373" s="132">
        <v>371</v>
      </c>
      <c r="B373" s="126">
        <f t="shared" si="5"/>
        <v>46059</v>
      </c>
      <c r="C373" s="209">
        <f>YEAR(MC_2[[#This Row],[Date]])+IF(MONTH(MC_2[[#This Row],[Date]])&gt;=4,1,0)</f>
        <v>2026</v>
      </c>
      <c r="D373" s="129">
        <f>YEAR(MC_2[[#This Row],[Date]])</f>
        <v>2026</v>
      </c>
      <c r="E373" s="125" t="s">
        <v>157</v>
      </c>
      <c r="F373" s="125" t="s">
        <v>157</v>
      </c>
      <c r="G373" s="4" t="str">
        <f>TEXT(MC_2[[#This Row],[Date]],"mmm-yy")</f>
        <v>Feb-26</v>
      </c>
      <c r="H373" s="4">
        <f>DAY(EOMONTH(MC_2[[#This Row],[Month Year]],0))</f>
        <v>28</v>
      </c>
      <c r="I373" s="132">
        <v>2</v>
      </c>
      <c r="J373" s="132">
        <v>15</v>
      </c>
      <c r="K373" s="132">
        <v>0</v>
      </c>
      <c r="L373" s="132">
        <v>3074</v>
      </c>
      <c r="M373" s="132">
        <v>0</v>
      </c>
      <c r="N373" s="132">
        <v>928</v>
      </c>
      <c r="O373" s="132">
        <v>0</v>
      </c>
      <c r="P373" s="132">
        <v>0</v>
      </c>
      <c r="Q373" s="132">
        <v>0</v>
      </c>
      <c r="R373" s="132">
        <v>696</v>
      </c>
      <c r="S373" s="4">
        <f>SUM(MC_2[[#This Row],[ICR1]:[ICR8]])</f>
        <v>4698</v>
      </c>
      <c r="T373" s="133">
        <v>0.25</v>
      </c>
      <c r="U373" s="133">
        <v>0.54166666666666663</v>
      </c>
      <c r="V373" s="133">
        <v>0.58333333333333337</v>
      </c>
      <c r="W373" s="133">
        <v>0.70833333333333337</v>
      </c>
      <c r="X373" s="132" t="s">
        <v>353</v>
      </c>
      <c r="Y373" s="132"/>
      <c r="Z373" s="132"/>
    </row>
    <row r="374" spans="1:26">
      <c r="A374" s="132">
        <v>372</v>
      </c>
      <c r="B374" s="126">
        <f t="shared" si="5"/>
        <v>46060</v>
      </c>
      <c r="C374" s="209">
        <f>YEAR(MC_2[[#This Row],[Date]])+IF(MONTH(MC_2[[#This Row],[Date]])&gt;=4,1,0)</f>
        <v>2026</v>
      </c>
      <c r="D374" s="129">
        <f>YEAR(MC_2[[#This Row],[Date]])</f>
        <v>2026</v>
      </c>
      <c r="E374" s="125" t="s">
        <v>157</v>
      </c>
      <c r="F374" s="125" t="s">
        <v>157</v>
      </c>
      <c r="G374" s="4" t="str">
        <f>TEXT(MC_2[[#This Row],[Date]],"mmm-yy")</f>
        <v>Feb-26</v>
      </c>
      <c r="H374" s="4">
        <f>DAY(EOMONTH(MC_2[[#This Row],[Month Year]],0))</f>
        <v>28</v>
      </c>
      <c r="I374" s="132">
        <v>2</v>
      </c>
      <c r="J374" s="132">
        <v>15</v>
      </c>
      <c r="K374" s="132">
        <v>0</v>
      </c>
      <c r="L374" s="132">
        <v>0</v>
      </c>
      <c r="M374" s="132">
        <v>0</v>
      </c>
      <c r="N374" s="132">
        <v>2320</v>
      </c>
      <c r="O374" s="132">
        <v>1334</v>
      </c>
      <c r="P374" s="132">
        <v>0</v>
      </c>
      <c r="Q374" s="132">
        <v>0</v>
      </c>
      <c r="R374" s="132">
        <v>2610</v>
      </c>
      <c r="S374" s="4">
        <f>SUM(MC_2[[#This Row],[ICR1]:[ICR8]])</f>
        <v>6264</v>
      </c>
      <c r="T374" s="133">
        <v>0.25</v>
      </c>
      <c r="U374" s="133">
        <v>0.54166666666666663</v>
      </c>
      <c r="V374" s="133">
        <v>0.58333333333333337</v>
      </c>
      <c r="W374" s="133">
        <v>0.70833333333333337</v>
      </c>
      <c r="X374" s="132" t="s">
        <v>353</v>
      </c>
      <c r="Y374" s="132"/>
      <c r="Z374" s="132"/>
    </row>
    <row r="375" spans="1:26">
      <c r="A375" s="132">
        <v>373</v>
      </c>
      <c r="B375" s="126">
        <f t="shared" si="5"/>
        <v>46061</v>
      </c>
      <c r="C375" s="209">
        <f>YEAR(MC_2[[#This Row],[Date]])+IF(MONTH(MC_2[[#This Row],[Date]])&gt;=4,1,0)</f>
        <v>2026</v>
      </c>
      <c r="D375" s="129">
        <f>YEAR(MC_2[[#This Row],[Date]])</f>
        <v>2026</v>
      </c>
      <c r="E375" s="125" t="s">
        <v>157</v>
      </c>
      <c r="F375" s="125" t="s">
        <v>157</v>
      </c>
      <c r="G375" s="4" t="str">
        <f>TEXT(MC_2[[#This Row],[Date]],"mmm-yy")</f>
        <v>Feb-26</v>
      </c>
      <c r="H375" s="4">
        <f>DAY(EOMONTH(MC_2[[#This Row],[Month Year]],0))</f>
        <v>28</v>
      </c>
      <c r="I375" s="132">
        <v>2</v>
      </c>
      <c r="J375" s="132">
        <v>5</v>
      </c>
      <c r="K375" s="132">
        <v>0</v>
      </c>
      <c r="L375" s="132">
        <v>0</v>
      </c>
      <c r="M375" s="132">
        <v>0</v>
      </c>
      <c r="N375" s="132">
        <v>0</v>
      </c>
      <c r="O375" s="132">
        <v>0</v>
      </c>
      <c r="P375" s="132">
        <v>0</v>
      </c>
      <c r="Q375" s="132">
        <v>0</v>
      </c>
      <c r="R375" s="132">
        <v>3480</v>
      </c>
      <c r="S375" s="4">
        <f>SUM(MC_2[[#This Row],[ICR1]:[ICR8]])</f>
        <v>3480</v>
      </c>
      <c r="T375" s="133">
        <v>0.25</v>
      </c>
      <c r="U375" s="133">
        <v>0.54166666666666663</v>
      </c>
      <c r="V375" s="133">
        <v>0.58333333333333337</v>
      </c>
      <c r="W375" s="133">
        <v>0.70833333333333337</v>
      </c>
      <c r="X375" s="132" t="s">
        <v>353</v>
      </c>
      <c r="Y375" s="132"/>
      <c r="Z375" s="132"/>
    </row>
    <row r="376" spans="1:26">
      <c r="A376" s="132">
        <v>374</v>
      </c>
      <c r="B376" s="126">
        <f t="shared" si="5"/>
        <v>46062</v>
      </c>
      <c r="C376" s="209">
        <f>YEAR(MC_2[[#This Row],[Date]])+IF(MONTH(MC_2[[#This Row],[Date]])&gt;=4,1,0)</f>
        <v>2026</v>
      </c>
      <c r="D376" s="129">
        <f>YEAR(MC_2[[#This Row],[Date]])</f>
        <v>2026</v>
      </c>
      <c r="E376" s="125" t="s">
        <v>157</v>
      </c>
      <c r="F376" s="125" t="s">
        <v>157</v>
      </c>
      <c r="G376" s="4" t="str">
        <f>TEXT(MC_2[[#This Row],[Date]],"mmm-yy")</f>
        <v>Feb-26</v>
      </c>
      <c r="H376" s="4">
        <f>DAY(EOMONTH(MC_2[[#This Row],[Month Year]],0))</f>
        <v>28</v>
      </c>
      <c r="I376" s="132">
        <v>2</v>
      </c>
      <c r="J376" s="132">
        <v>5</v>
      </c>
      <c r="K376" s="132">
        <v>0</v>
      </c>
      <c r="L376" s="132">
        <v>0</v>
      </c>
      <c r="M376" s="132">
        <v>0</v>
      </c>
      <c r="N376" s="132">
        <v>0</v>
      </c>
      <c r="O376" s="132">
        <v>0</v>
      </c>
      <c r="P376" s="132">
        <v>0</v>
      </c>
      <c r="Q376" s="132">
        <v>0</v>
      </c>
      <c r="R376" s="132">
        <v>3944</v>
      </c>
      <c r="S376" s="4">
        <f>SUM(MC_2[[#This Row],[ICR1]:[ICR8]])</f>
        <v>3944</v>
      </c>
      <c r="T376" s="133">
        <v>0.25</v>
      </c>
      <c r="U376" s="133">
        <v>0.54166666666666663</v>
      </c>
      <c r="V376" s="133">
        <v>0.58333333333333337</v>
      </c>
      <c r="W376" s="133">
        <v>0.70833333333333337</v>
      </c>
      <c r="X376" s="132" t="s">
        <v>353</v>
      </c>
      <c r="Y376" s="132"/>
      <c r="Z376" s="132"/>
    </row>
    <row r="377" spans="1:26">
      <c r="A377" s="132">
        <v>375</v>
      </c>
      <c r="B377" s="126">
        <f t="shared" si="5"/>
        <v>46063</v>
      </c>
      <c r="C377" s="209">
        <f>YEAR(MC_2[[#This Row],[Date]])+IF(MONTH(MC_2[[#This Row],[Date]])&gt;=4,1,0)</f>
        <v>2026</v>
      </c>
      <c r="D377" s="129">
        <f>YEAR(MC_2[[#This Row],[Date]])</f>
        <v>2026</v>
      </c>
      <c r="E377" s="125" t="s">
        <v>157</v>
      </c>
      <c r="F377" s="125" t="s">
        <v>157</v>
      </c>
      <c r="G377" s="4" t="str">
        <f>TEXT(MC_2[[#This Row],[Date]],"mmm-yy")</f>
        <v>Feb-26</v>
      </c>
      <c r="H377" s="4">
        <f>DAY(EOMONTH(MC_2[[#This Row],[Month Year]],0))</f>
        <v>28</v>
      </c>
      <c r="I377" s="132">
        <v>2</v>
      </c>
      <c r="J377" s="132">
        <v>5</v>
      </c>
      <c r="K377" s="132">
        <v>0</v>
      </c>
      <c r="L377" s="132">
        <v>0</v>
      </c>
      <c r="M377" s="132">
        <v>0</v>
      </c>
      <c r="N377" s="132">
        <v>1624</v>
      </c>
      <c r="O377" s="132">
        <v>812</v>
      </c>
      <c r="P377" s="132">
        <v>0</v>
      </c>
      <c r="Q377" s="132">
        <v>0</v>
      </c>
      <c r="R377" s="132">
        <v>0</v>
      </c>
      <c r="S377" s="4">
        <f>SUM(MC_2[[#This Row],[ICR1]:[ICR8]])</f>
        <v>2436</v>
      </c>
      <c r="T377" s="133">
        <v>0.375</v>
      </c>
      <c r="U377" s="133">
        <v>0.54166666666666663</v>
      </c>
      <c r="V377" s="133">
        <v>0.58333333333333337</v>
      </c>
      <c r="W377" s="133">
        <v>0.70833333333333337</v>
      </c>
      <c r="X377" s="132" t="s">
        <v>353</v>
      </c>
      <c r="Y377" s="132"/>
      <c r="Z377" s="132"/>
    </row>
    <row r="378" spans="1:26">
      <c r="A378" s="132">
        <v>376</v>
      </c>
      <c r="B378" s="126">
        <f t="shared" si="5"/>
        <v>46064</v>
      </c>
      <c r="C378" s="209">
        <f>YEAR(MC_2[[#This Row],[Date]])+IF(MONTH(MC_2[[#This Row],[Date]])&gt;=4,1,0)</f>
        <v>2026</v>
      </c>
      <c r="D378" s="129">
        <f>YEAR(MC_2[[#This Row],[Date]])</f>
        <v>2026</v>
      </c>
      <c r="E378" s="125" t="s">
        <v>157</v>
      </c>
      <c r="F378" s="125" t="s">
        <v>157</v>
      </c>
      <c r="G378" s="4" t="str">
        <f>TEXT(MC_2[[#This Row],[Date]],"mmm-yy")</f>
        <v>Feb-26</v>
      </c>
      <c r="H378" s="4">
        <f>DAY(EOMONTH(MC_2[[#This Row],[Month Year]],0))</f>
        <v>28</v>
      </c>
      <c r="I378" s="132">
        <v>2</v>
      </c>
      <c r="J378" s="132">
        <v>13</v>
      </c>
      <c r="K378" s="132">
        <v>0</v>
      </c>
      <c r="L378" s="132">
        <v>0</v>
      </c>
      <c r="M378" s="132">
        <v>0</v>
      </c>
      <c r="N378" s="132">
        <v>0</v>
      </c>
      <c r="O378" s="132">
        <v>1566</v>
      </c>
      <c r="P378" s="132">
        <v>1044</v>
      </c>
      <c r="Q378" s="132">
        <v>0</v>
      </c>
      <c r="R378" s="132">
        <v>3828</v>
      </c>
      <c r="S378" s="4">
        <f>SUM(MC_2[[#This Row],[ICR1]:[ICR8]])</f>
        <v>6438</v>
      </c>
      <c r="T378" s="133">
        <v>0.375</v>
      </c>
      <c r="U378" s="133">
        <v>0.54166666666666663</v>
      </c>
      <c r="V378" s="133">
        <v>0.58333333333333337</v>
      </c>
      <c r="W378" s="133">
        <v>0.70833333333333337</v>
      </c>
      <c r="X378" s="132" t="s">
        <v>353</v>
      </c>
      <c r="Y378" s="132"/>
      <c r="Z378" s="132"/>
    </row>
    <row r="379" spans="1:26">
      <c r="A379" s="132">
        <v>377</v>
      </c>
      <c r="B379" s="126">
        <f t="shared" si="5"/>
        <v>46065</v>
      </c>
      <c r="C379" s="209">
        <f>YEAR(MC_2[[#This Row],[Date]])+IF(MONTH(MC_2[[#This Row],[Date]])&gt;=4,1,0)</f>
        <v>2026</v>
      </c>
      <c r="D379" s="129">
        <f>YEAR(MC_2[[#This Row],[Date]])</f>
        <v>2026</v>
      </c>
      <c r="E379" s="125" t="s">
        <v>157</v>
      </c>
      <c r="F379" s="125" t="s">
        <v>157</v>
      </c>
      <c r="G379" s="4" t="str">
        <f>TEXT(MC_2[[#This Row],[Date]],"mmm-yy")</f>
        <v>Feb-26</v>
      </c>
      <c r="H379" s="4">
        <f>DAY(EOMONTH(MC_2[[#This Row],[Month Year]],0))</f>
        <v>28</v>
      </c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4">
        <f>SUM(MC_2[[#This Row],[ICR1]:[ICR8]])</f>
        <v>0</v>
      </c>
      <c r="T379" s="132"/>
      <c r="U379" s="132"/>
      <c r="V379" s="132"/>
      <c r="W379" s="132"/>
      <c r="X379" s="132"/>
      <c r="Y379" s="132"/>
      <c r="Z379" s="132"/>
    </row>
    <row r="380" spans="1:26">
      <c r="A380" s="132">
        <v>378</v>
      </c>
      <c r="B380" s="126">
        <f t="shared" si="5"/>
        <v>46066</v>
      </c>
      <c r="C380" s="209">
        <f>YEAR(MC_2[[#This Row],[Date]])+IF(MONTH(MC_2[[#This Row],[Date]])&gt;=4,1,0)</f>
        <v>2026</v>
      </c>
      <c r="D380" s="129">
        <f>YEAR(MC_2[[#This Row],[Date]])</f>
        <v>2026</v>
      </c>
      <c r="E380" s="125" t="s">
        <v>157</v>
      </c>
      <c r="F380" s="125" t="s">
        <v>157</v>
      </c>
      <c r="G380" s="4" t="str">
        <f>TEXT(MC_2[[#This Row],[Date]],"mmm-yy")</f>
        <v>Feb-26</v>
      </c>
      <c r="H380" s="4">
        <f>DAY(EOMONTH(MC_2[[#This Row],[Month Year]],0))</f>
        <v>28</v>
      </c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4">
        <f>SUM(MC_2[[#This Row],[ICR1]:[ICR8]])</f>
        <v>0</v>
      </c>
      <c r="T380" s="132"/>
      <c r="U380" s="132"/>
      <c r="V380" s="132"/>
      <c r="W380" s="132"/>
      <c r="X380" s="132"/>
      <c r="Y380" s="132"/>
      <c r="Z380" s="132"/>
    </row>
    <row r="381" spans="1:26">
      <c r="A381" s="132">
        <v>379</v>
      </c>
      <c r="B381" s="126">
        <f t="shared" si="5"/>
        <v>46067</v>
      </c>
      <c r="C381" s="209">
        <f>YEAR(MC_2[[#This Row],[Date]])+IF(MONTH(MC_2[[#This Row],[Date]])&gt;=4,1,0)</f>
        <v>2026</v>
      </c>
      <c r="D381" s="129">
        <f>YEAR(MC_2[[#This Row],[Date]])</f>
        <v>2026</v>
      </c>
      <c r="E381" s="125" t="s">
        <v>157</v>
      </c>
      <c r="F381" s="125" t="s">
        <v>157</v>
      </c>
      <c r="G381" s="4" t="str">
        <f>TEXT(MC_2[[#This Row],[Date]],"mmm-yy")</f>
        <v>Feb-26</v>
      </c>
      <c r="H381" s="4">
        <f>DAY(EOMONTH(MC_2[[#This Row],[Month Year]],0))</f>
        <v>28</v>
      </c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4">
        <f>SUM(MC_2[[#This Row],[ICR1]:[ICR5]])</f>
        <v>0</v>
      </c>
      <c r="T381" s="132"/>
      <c r="U381" s="132"/>
      <c r="V381" s="132"/>
      <c r="W381" s="132"/>
      <c r="X381" s="132"/>
      <c r="Y381" s="132"/>
      <c r="Z381" s="132"/>
    </row>
    <row r="382" spans="1:26">
      <c r="A382" s="132">
        <v>380</v>
      </c>
      <c r="B382" s="126">
        <f t="shared" si="5"/>
        <v>46068</v>
      </c>
      <c r="C382" s="209">
        <f>YEAR(MC_2[[#This Row],[Date]])+IF(MONTH(MC_2[[#This Row],[Date]])&gt;=4,1,0)</f>
        <v>2026</v>
      </c>
      <c r="D382" s="129">
        <f>YEAR(MC_2[[#This Row],[Date]])</f>
        <v>2026</v>
      </c>
      <c r="E382" s="125" t="s">
        <v>157</v>
      </c>
      <c r="F382" s="125" t="s">
        <v>157</v>
      </c>
      <c r="G382" s="4" t="str">
        <f>TEXT(MC_2[[#This Row],[Date]],"mmm-yy")</f>
        <v>Feb-26</v>
      </c>
      <c r="H382" s="4">
        <f>DAY(EOMONTH(MC_2[[#This Row],[Month Year]],0))</f>
        <v>28</v>
      </c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4">
        <f>SUM(MC_2[[#This Row],[ICR1]:[ICR5]])</f>
        <v>0</v>
      </c>
      <c r="T382" s="132"/>
      <c r="U382" s="132"/>
      <c r="V382" s="132"/>
      <c r="W382" s="132"/>
      <c r="X382" s="132"/>
      <c r="Y382" s="132"/>
      <c r="Z382" s="132"/>
    </row>
    <row r="383" spans="1:26">
      <c r="A383" s="132">
        <v>381</v>
      </c>
      <c r="B383" s="126">
        <f t="shared" si="5"/>
        <v>46069</v>
      </c>
      <c r="C383" s="209">
        <f>YEAR(MC_2[[#This Row],[Date]])+IF(MONTH(MC_2[[#This Row],[Date]])&gt;=4,1,0)</f>
        <v>2026</v>
      </c>
      <c r="D383" s="129">
        <f>YEAR(MC_2[[#This Row],[Date]])</f>
        <v>2026</v>
      </c>
      <c r="E383" s="125" t="s">
        <v>157</v>
      </c>
      <c r="F383" s="125" t="s">
        <v>157</v>
      </c>
      <c r="G383" s="4" t="str">
        <f>TEXT(MC_2[[#This Row],[Date]],"mmm-yy")</f>
        <v>Feb-26</v>
      </c>
      <c r="H383" s="4">
        <f>DAY(EOMONTH(MC_2[[#This Row],[Month Year]],0))</f>
        <v>28</v>
      </c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4">
        <f>SUM(MC_2[[#This Row],[ICR1]:[ICR5]])</f>
        <v>0</v>
      </c>
      <c r="T383" s="132"/>
      <c r="U383" s="132"/>
      <c r="V383" s="132"/>
      <c r="W383" s="132"/>
      <c r="X383" s="132"/>
      <c r="Y383" s="132"/>
      <c r="Z383" s="132"/>
    </row>
    <row r="384" spans="1:26">
      <c r="A384" s="132">
        <v>382</v>
      </c>
      <c r="B384" s="126">
        <f t="shared" si="5"/>
        <v>46070</v>
      </c>
      <c r="C384" s="209">
        <f>YEAR(MC_2[[#This Row],[Date]])+IF(MONTH(MC_2[[#This Row],[Date]])&gt;=4,1,0)</f>
        <v>2026</v>
      </c>
      <c r="D384" s="129">
        <f>YEAR(MC_2[[#This Row],[Date]])</f>
        <v>2026</v>
      </c>
      <c r="E384" s="125" t="s">
        <v>157</v>
      </c>
      <c r="F384" s="125" t="s">
        <v>157</v>
      </c>
      <c r="G384" s="4" t="str">
        <f>TEXT(MC_2[[#This Row],[Date]],"mmm-yy")</f>
        <v>Feb-26</v>
      </c>
      <c r="H384" s="4">
        <f>DAY(EOMONTH(MC_2[[#This Row],[Month Year]],0))</f>
        <v>28</v>
      </c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4">
        <f>SUM(MC_2[[#This Row],[ICR1]:[ICR5]])</f>
        <v>0</v>
      </c>
      <c r="T384" s="132"/>
      <c r="U384" s="132"/>
      <c r="V384" s="132"/>
      <c r="W384" s="132"/>
      <c r="X384" s="132"/>
      <c r="Y384" s="132"/>
      <c r="Z384" s="132"/>
    </row>
    <row r="385" spans="1:26">
      <c r="A385" s="132">
        <v>383</v>
      </c>
      <c r="B385" s="126">
        <f t="shared" si="5"/>
        <v>46071</v>
      </c>
      <c r="C385" s="209">
        <f>YEAR(MC_2[[#This Row],[Date]])+IF(MONTH(MC_2[[#This Row],[Date]])&gt;=4,1,0)</f>
        <v>2026</v>
      </c>
      <c r="D385" s="129">
        <f>YEAR(MC_2[[#This Row],[Date]])</f>
        <v>2026</v>
      </c>
      <c r="E385" s="125" t="s">
        <v>157</v>
      </c>
      <c r="F385" s="125" t="s">
        <v>157</v>
      </c>
      <c r="G385" s="4" t="str">
        <f>TEXT(MC_2[[#This Row],[Date]],"mmm-yy")</f>
        <v>Feb-26</v>
      </c>
      <c r="H385" s="4">
        <f>DAY(EOMONTH(MC_2[[#This Row],[Month Year]],0))</f>
        <v>28</v>
      </c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4">
        <f>SUM(MC_2[[#This Row],[ICR1]:[ICR5]])</f>
        <v>0</v>
      </c>
      <c r="T385" s="132"/>
      <c r="U385" s="132"/>
      <c r="V385" s="132"/>
      <c r="W385" s="132"/>
      <c r="X385" s="132"/>
      <c r="Y385" s="132"/>
      <c r="Z385" s="132"/>
    </row>
    <row r="386" spans="1:26">
      <c r="A386" s="132">
        <v>384</v>
      </c>
      <c r="B386" s="126">
        <f t="shared" si="5"/>
        <v>46072</v>
      </c>
      <c r="C386" s="209">
        <f>YEAR(MC_2[[#This Row],[Date]])+IF(MONTH(MC_2[[#This Row],[Date]])&gt;=4,1,0)</f>
        <v>2026</v>
      </c>
      <c r="D386" s="129">
        <f>YEAR(MC_2[[#This Row],[Date]])</f>
        <v>2026</v>
      </c>
      <c r="E386" s="125" t="s">
        <v>157</v>
      </c>
      <c r="F386" s="125" t="s">
        <v>157</v>
      </c>
      <c r="G386" s="4" t="str">
        <f>TEXT(MC_2[[#This Row],[Date]],"mmm-yy")</f>
        <v>Feb-26</v>
      </c>
      <c r="H386" s="4">
        <f>DAY(EOMONTH(MC_2[[#This Row],[Month Year]],0))</f>
        <v>28</v>
      </c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4">
        <f>SUM(MC_2[[#This Row],[ICR1]:[ICR5]])</f>
        <v>0</v>
      </c>
      <c r="T386" s="132"/>
      <c r="U386" s="132"/>
      <c r="V386" s="132"/>
      <c r="W386" s="132"/>
      <c r="X386" s="132"/>
      <c r="Y386" s="132"/>
      <c r="Z386" s="132"/>
    </row>
    <row r="387" spans="1:26">
      <c r="A387" s="132">
        <v>385</v>
      </c>
      <c r="B387" s="126">
        <f t="shared" si="5"/>
        <v>46073</v>
      </c>
      <c r="C387" s="209">
        <f>YEAR(MC_2[[#This Row],[Date]])+IF(MONTH(MC_2[[#This Row],[Date]])&gt;=4,1,0)</f>
        <v>2026</v>
      </c>
      <c r="D387" s="129">
        <f>YEAR(MC_2[[#This Row],[Date]])</f>
        <v>2026</v>
      </c>
      <c r="E387" s="125" t="s">
        <v>157</v>
      </c>
      <c r="F387" s="125" t="s">
        <v>157</v>
      </c>
      <c r="G387" s="4" t="str">
        <f>TEXT(MC_2[[#This Row],[Date]],"mmm-yy")</f>
        <v>Feb-26</v>
      </c>
      <c r="H387" s="4">
        <f>DAY(EOMONTH(MC_2[[#This Row],[Month Year]],0))</f>
        <v>28</v>
      </c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4">
        <f>SUM(MC_2[[#This Row],[ICR1]:[ICR5]])</f>
        <v>0</v>
      </c>
      <c r="T387" s="132"/>
      <c r="U387" s="132"/>
      <c r="V387" s="132"/>
      <c r="W387" s="132"/>
      <c r="X387" s="132"/>
      <c r="Y387" s="132"/>
      <c r="Z387" s="132"/>
    </row>
    <row r="388" spans="1:26">
      <c r="A388" s="132">
        <v>386</v>
      </c>
      <c r="B388" s="126">
        <f t="shared" si="5"/>
        <v>46074</v>
      </c>
      <c r="C388" s="209">
        <f>YEAR(MC_2[[#This Row],[Date]])+IF(MONTH(MC_2[[#This Row],[Date]])&gt;=4,1,0)</f>
        <v>2026</v>
      </c>
      <c r="D388" s="129">
        <f>YEAR(MC_2[[#This Row],[Date]])</f>
        <v>2026</v>
      </c>
      <c r="E388" s="125" t="s">
        <v>157</v>
      </c>
      <c r="F388" s="125" t="s">
        <v>157</v>
      </c>
      <c r="G388" s="4" t="str">
        <f>TEXT(MC_2[[#This Row],[Date]],"mmm-yy")</f>
        <v>Feb-26</v>
      </c>
      <c r="H388" s="4">
        <f>DAY(EOMONTH(MC_2[[#This Row],[Month Year]],0))</f>
        <v>28</v>
      </c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4">
        <f>SUM(MC_2[[#This Row],[ICR1]:[ICR5]])</f>
        <v>0</v>
      </c>
      <c r="T388" s="132"/>
      <c r="U388" s="132"/>
      <c r="V388" s="132"/>
      <c r="W388" s="132"/>
      <c r="X388" s="132"/>
      <c r="Y388" s="132"/>
      <c r="Z388" s="132"/>
    </row>
    <row r="389" spans="1:26">
      <c r="A389" s="132">
        <v>387</v>
      </c>
      <c r="B389" s="126">
        <f t="shared" ref="B389:B390" si="6">B388+1</f>
        <v>46075</v>
      </c>
      <c r="C389" s="209">
        <f>YEAR(MC_2[[#This Row],[Date]])+IF(MONTH(MC_2[[#This Row],[Date]])&gt;=4,1,0)</f>
        <v>2026</v>
      </c>
      <c r="D389" s="129">
        <f>YEAR(MC_2[[#This Row],[Date]])</f>
        <v>2026</v>
      </c>
      <c r="E389" s="125" t="s">
        <v>157</v>
      </c>
      <c r="F389" s="125" t="s">
        <v>157</v>
      </c>
      <c r="G389" s="4" t="str">
        <f>TEXT(MC_2[[#This Row],[Date]],"mmm-yy")</f>
        <v>Feb-26</v>
      </c>
      <c r="H389" s="4">
        <f>DAY(EOMONTH(MC_2[[#This Row],[Month Year]],0))</f>
        <v>28</v>
      </c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4">
        <f>SUM(MC_2[[#This Row],[ICR1]:[ICR5]])</f>
        <v>0</v>
      </c>
      <c r="T389" s="132"/>
      <c r="U389" s="132"/>
      <c r="V389" s="132"/>
      <c r="W389" s="132"/>
      <c r="X389" s="132"/>
      <c r="Y389" s="132"/>
      <c r="Z389" s="132"/>
    </row>
    <row r="390" spans="1:26">
      <c r="A390" s="132">
        <v>388</v>
      </c>
      <c r="B390" s="126">
        <f t="shared" si="6"/>
        <v>46076</v>
      </c>
      <c r="C390" s="209">
        <f>YEAR(MC_2[[#This Row],[Date]])+IF(MONTH(MC_2[[#This Row],[Date]])&gt;=4,1,0)</f>
        <v>2026</v>
      </c>
      <c r="D390" s="129">
        <f>YEAR(MC_2[[#This Row],[Date]])</f>
        <v>2026</v>
      </c>
      <c r="E390" s="125" t="s">
        <v>157</v>
      </c>
      <c r="F390" s="125" t="s">
        <v>157</v>
      </c>
      <c r="G390" s="4" t="str">
        <f>TEXT(MC_2[[#This Row],[Date]],"mmm-yy")</f>
        <v>Feb-26</v>
      </c>
      <c r="H390" s="4">
        <f>DAY(EOMONTH(MC_2[[#This Row],[Month Year]],0))</f>
        <v>28</v>
      </c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4">
        <f>SUM(MC_2[[#This Row],[ICR1]:[ICR5]])</f>
        <v>0</v>
      </c>
      <c r="T390" s="132"/>
      <c r="U390" s="132"/>
      <c r="V390" s="132"/>
      <c r="W390" s="132"/>
      <c r="X390" s="132"/>
      <c r="Y390" s="132"/>
      <c r="Z390" s="132"/>
    </row>
  </sheetData>
  <phoneticPr fontId="60" type="noConversion"/>
  <pageMargins left="0.7" right="0.7" top="0.75" bottom="0.75" header="0.3" footer="0.3"/>
  <ignoredErrors>
    <ignoredError sqref="S68" calculatedColumn="1"/>
  </ignoredErrors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321"/>
  <sheetViews>
    <sheetView topLeftCell="A2" zoomScale="80" zoomScaleNormal="80" workbookViewId="0">
      <pane xSplit="2" ySplit="1" topLeftCell="G3" activePane="bottomRight" state="frozen"/>
      <selection pane="topRight" activeCell="C2" sqref="C2"/>
      <selection pane="bottomLeft" activeCell="A3" sqref="A3"/>
      <selection pane="bottomRight" activeCell="C3" sqref="C3"/>
    </sheetView>
  </sheetViews>
  <sheetFormatPr defaultColWidth="8.81640625" defaultRowHeight="14.5"/>
  <cols>
    <col min="1" max="1" width="13.453125" customWidth="1"/>
    <col min="2" max="2" width="11.453125" customWidth="1"/>
    <col min="3" max="6" width="13.453125" customWidth="1"/>
    <col min="7" max="7" width="10.81640625" style="4" customWidth="1"/>
    <col min="8" max="8" width="9.1796875" style="4"/>
    <col min="10" max="11" width="13.453125" customWidth="1"/>
    <col min="12" max="13" width="11.453125" bestFit="1" customWidth="1"/>
    <col min="14" max="18" width="13.453125" customWidth="1"/>
    <col min="19" max="19" width="6.81640625" bestFit="1" customWidth="1"/>
    <col min="20" max="24" width="7.453125" bestFit="1" customWidth="1"/>
    <col min="25" max="25" width="21.453125" bestFit="1" customWidth="1"/>
    <col min="26" max="26" width="52.1796875" bestFit="1" customWidth="1"/>
    <col min="27" max="27" width="72.453125" bestFit="1" customWidth="1"/>
  </cols>
  <sheetData>
    <row r="1" spans="1:27" hidden="1">
      <c r="P1" s="4"/>
    </row>
    <row r="2" spans="1:27" s="52" customFormat="1" ht="26">
      <c r="A2" s="123" t="s">
        <v>5</v>
      </c>
      <c r="B2" s="124" t="s">
        <v>77</v>
      </c>
      <c r="C2" s="123" t="s">
        <v>121</v>
      </c>
      <c r="D2" s="123" t="s">
        <v>122</v>
      </c>
      <c r="E2" s="123" t="s">
        <v>331</v>
      </c>
      <c r="F2" s="123" t="s">
        <v>141</v>
      </c>
      <c r="G2" s="123" t="s">
        <v>80</v>
      </c>
      <c r="H2" s="123" t="s">
        <v>40</v>
      </c>
      <c r="I2" s="123" t="s">
        <v>332</v>
      </c>
      <c r="J2" s="123" t="s">
        <v>333</v>
      </c>
      <c r="K2" s="123" t="s">
        <v>334</v>
      </c>
      <c r="L2" s="123" t="s">
        <v>335</v>
      </c>
      <c r="M2" s="123" t="s">
        <v>336</v>
      </c>
      <c r="N2" s="123" t="s">
        <v>337</v>
      </c>
      <c r="O2" s="123" t="s">
        <v>349</v>
      </c>
      <c r="P2" s="123" t="s">
        <v>350</v>
      </c>
      <c r="Q2" s="123" t="s">
        <v>351</v>
      </c>
      <c r="R2" s="123" t="s">
        <v>352</v>
      </c>
      <c r="S2" s="123" t="s">
        <v>354</v>
      </c>
      <c r="T2" s="123" t="s">
        <v>338</v>
      </c>
      <c r="U2" s="123" t="s">
        <v>339</v>
      </c>
      <c r="V2" s="123" t="s">
        <v>340</v>
      </c>
      <c r="W2" s="123" t="s">
        <v>355</v>
      </c>
      <c r="X2" s="123" t="s">
        <v>356</v>
      </c>
      <c r="Y2" s="123" t="s">
        <v>357</v>
      </c>
      <c r="Z2" s="123" t="s">
        <v>358</v>
      </c>
      <c r="AA2" s="123" t="s">
        <v>348</v>
      </c>
    </row>
    <row r="3" spans="1:27">
      <c r="A3" s="125">
        <v>1</v>
      </c>
      <c r="B3" s="126">
        <v>45383</v>
      </c>
      <c r="C3" s="127">
        <f>YEAR(GC[[#This Row],[Date]])+IF(MONTH(GC[[#This Row],[Date]])&gt;=4,1,0)</f>
        <v>2025</v>
      </c>
      <c r="D3" s="128">
        <f>YEAR(GC[[#This Row],[Date]])</f>
        <v>2024</v>
      </c>
      <c r="E3" s="125" t="s">
        <v>156</v>
      </c>
      <c r="F3" s="125" t="s">
        <v>156</v>
      </c>
      <c r="G3" s="129" t="str">
        <f>TEXT(GC[[#This Row],[Date]],"mmm-yy")</f>
        <v>Apr-24</v>
      </c>
      <c r="H3" s="129">
        <f>DAY(EOMONTH(GC[[#This Row],[Month Year]],0))</f>
        <v>30</v>
      </c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4">
        <f>SUM(GC[[#This Row],[ICR1]:[ICR14]])</f>
        <v>0</v>
      </c>
      <c r="Z3" s="125"/>
      <c r="AA3" s="131"/>
    </row>
    <row r="4" spans="1:27">
      <c r="A4" s="132">
        <v>2</v>
      </c>
      <c r="B4" s="126">
        <f>B3+1</f>
        <v>45384</v>
      </c>
      <c r="C4" s="127">
        <f>YEAR(GC[[#This Row],[Date]])+IF(MONTH(GC[[#This Row],[Date]])&gt;=4,1,0)</f>
        <v>2025</v>
      </c>
      <c r="D4" s="128">
        <f>YEAR(GC[[#This Row],[Date]])</f>
        <v>2024</v>
      </c>
      <c r="E4" s="125" t="s">
        <v>156</v>
      </c>
      <c r="F4" s="125" t="s">
        <v>156</v>
      </c>
      <c r="G4" s="129" t="str">
        <f>TEXT(GC[[#This Row],[Date]],"mmm-yy")</f>
        <v>Apr-24</v>
      </c>
      <c r="H4" s="129">
        <f>DAY(EOMONTH(GC[[#This Row],[Month Year]],0))</f>
        <v>30</v>
      </c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25"/>
      <c r="T4" s="125"/>
      <c r="U4" s="125"/>
      <c r="V4" s="125"/>
      <c r="W4" s="125"/>
      <c r="X4" s="125"/>
      <c r="Y4" s="4">
        <f>SUM(GC[[#This Row],[ICR1]:[ICR14]])</f>
        <v>0</v>
      </c>
      <c r="Z4" s="132"/>
      <c r="AA4" s="131"/>
    </row>
    <row r="5" spans="1:27">
      <c r="A5" s="132">
        <v>3</v>
      </c>
      <c r="B5" s="126">
        <f t="shared" ref="B5:B68" si="0">B4+1</f>
        <v>45385</v>
      </c>
      <c r="C5" s="127">
        <f>YEAR(GC[[#This Row],[Date]])+IF(MONTH(GC[[#This Row],[Date]])&gt;=4,1,0)</f>
        <v>2025</v>
      </c>
      <c r="D5" s="128">
        <f>YEAR(GC[[#This Row],[Date]])</f>
        <v>2024</v>
      </c>
      <c r="E5" s="125" t="s">
        <v>156</v>
      </c>
      <c r="F5" s="125" t="s">
        <v>156</v>
      </c>
      <c r="G5" s="129" t="str">
        <f>TEXT(GC[[#This Row],[Date]],"mmm-yy")</f>
        <v>Apr-24</v>
      </c>
      <c r="H5" s="129">
        <f>DAY(EOMONTH(GC[[#This Row],[Month Year]],0))</f>
        <v>30</v>
      </c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25"/>
      <c r="T5" s="125"/>
      <c r="U5" s="125"/>
      <c r="V5" s="125"/>
      <c r="W5" s="125"/>
      <c r="X5" s="125"/>
      <c r="Y5" s="4">
        <f>SUM(GC[[#This Row],[ICR1]:[ICR14]])</f>
        <v>0</v>
      </c>
      <c r="Z5" s="132"/>
      <c r="AA5" s="132"/>
    </row>
    <row r="6" spans="1:27">
      <c r="A6" s="132">
        <v>4</v>
      </c>
      <c r="B6" s="126">
        <f t="shared" si="0"/>
        <v>45386</v>
      </c>
      <c r="C6" s="127">
        <f>YEAR(GC[[#This Row],[Date]])+IF(MONTH(GC[[#This Row],[Date]])&gt;=4,1,0)</f>
        <v>2025</v>
      </c>
      <c r="D6" s="128">
        <f>YEAR(GC[[#This Row],[Date]])</f>
        <v>2024</v>
      </c>
      <c r="E6" s="125" t="s">
        <v>156</v>
      </c>
      <c r="F6" s="125" t="s">
        <v>156</v>
      </c>
      <c r="G6" s="129" t="str">
        <f>TEXT(GC[[#This Row],[Date]],"mmm-yy")</f>
        <v>Apr-24</v>
      </c>
      <c r="H6" s="129">
        <f>DAY(EOMONTH(GC[[#This Row],[Month Year]],0))</f>
        <v>30</v>
      </c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25"/>
      <c r="T6" s="125"/>
      <c r="U6" s="125"/>
      <c r="V6" s="125"/>
      <c r="W6" s="125"/>
      <c r="X6" s="125"/>
      <c r="Y6" s="4">
        <f>SUM(GC[[#This Row],[ICR1]:[ICR14]])</f>
        <v>0</v>
      </c>
      <c r="Z6" s="132"/>
      <c r="AA6" s="132"/>
    </row>
    <row r="7" spans="1:27">
      <c r="A7" s="132">
        <v>5</v>
      </c>
      <c r="B7" s="126">
        <f t="shared" si="0"/>
        <v>45387</v>
      </c>
      <c r="C7" s="127">
        <f>YEAR(GC[[#This Row],[Date]])+IF(MONTH(GC[[#This Row],[Date]])&gt;=4,1,0)</f>
        <v>2025</v>
      </c>
      <c r="D7" s="128">
        <f>YEAR(GC[[#This Row],[Date]])</f>
        <v>2024</v>
      </c>
      <c r="E7" s="125" t="s">
        <v>156</v>
      </c>
      <c r="F7" s="125" t="s">
        <v>156</v>
      </c>
      <c r="G7" s="129" t="str">
        <f>TEXT(GC[[#This Row],[Date]],"mmm-yy")</f>
        <v>Apr-24</v>
      </c>
      <c r="H7" s="129">
        <f>DAY(EOMONTH(GC[[#This Row],[Month Year]],0))</f>
        <v>30</v>
      </c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25"/>
      <c r="T7" s="125"/>
      <c r="U7" s="125"/>
      <c r="V7" s="125"/>
      <c r="W7" s="125"/>
      <c r="X7" s="125"/>
      <c r="Y7" s="4">
        <f>SUM(GC[[#This Row],[ICR1]:[ICR14]])</f>
        <v>0</v>
      </c>
      <c r="Z7" s="132"/>
      <c r="AA7" s="132"/>
    </row>
    <row r="8" spans="1:27">
      <c r="A8" s="132">
        <v>6</v>
      </c>
      <c r="B8" s="126">
        <f t="shared" si="0"/>
        <v>45388</v>
      </c>
      <c r="C8" s="127">
        <f>YEAR(GC[[#This Row],[Date]])+IF(MONTH(GC[[#This Row],[Date]])&gt;=4,1,0)</f>
        <v>2025</v>
      </c>
      <c r="D8" s="128">
        <f>YEAR(GC[[#This Row],[Date]])</f>
        <v>2024</v>
      </c>
      <c r="E8" s="125" t="s">
        <v>156</v>
      </c>
      <c r="F8" s="125" t="s">
        <v>156</v>
      </c>
      <c r="G8" s="129" t="str">
        <f>TEXT(GC[[#This Row],[Date]],"mmm-yy")</f>
        <v>Apr-24</v>
      </c>
      <c r="H8" s="129">
        <f>DAY(EOMONTH(GC[[#This Row],[Month Year]],0))</f>
        <v>30</v>
      </c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25"/>
      <c r="T8" s="125"/>
      <c r="U8" s="125"/>
      <c r="V8" s="125"/>
      <c r="W8" s="125"/>
      <c r="X8" s="125"/>
      <c r="Y8" s="4">
        <f>SUM(GC[[#This Row],[ICR1]:[ICR14]])</f>
        <v>0</v>
      </c>
      <c r="Z8" s="132"/>
      <c r="AA8" s="132"/>
    </row>
    <row r="9" spans="1:27">
      <c r="A9" s="132">
        <v>7</v>
      </c>
      <c r="B9" s="126">
        <f t="shared" si="0"/>
        <v>45389</v>
      </c>
      <c r="C9" s="127">
        <f>YEAR(GC[[#This Row],[Date]])+IF(MONTH(GC[[#This Row],[Date]])&gt;=4,1,0)</f>
        <v>2025</v>
      </c>
      <c r="D9" s="128">
        <f>YEAR(GC[[#This Row],[Date]])</f>
        <v>2024</v>
      </c>
      <c r="E9" s="125" t="s">
        <v>156</v>
      </c>
      <c r="F9" s="125" t="s">
        <v>156</v>
      </c>
      <c r="G9" s="129" t="str">
        <f>TEXT(GC[[#This Row],[Date]],"mmm-yy")</f>
        <v>Apr-24</v>
      </c>
      <c r="H9" s="129">
        <f>DAY(EOMONTH(GC[[#This Row],[Month Year]],0))</f>
        <v>30</v>
      </c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25"/>
      <c r="T9" s="125"/>
      <c r="U9" s="125"/>
      <c r="V9" s="125"/>
      <c r="W9" s="125"/>
      <c r="X9" s="125"/>
      <c r="Y9" s="4">
        <f>SUM(GC[[#This Row],[ICR1]:[ICR14]])</f>
        <v>0</v>
      </c>
      <c r="Z9" s="132"/>
      <c r="AA9" s="132"/>
    </row>
    <row r="10" spans="1:27">
      <c r="A10" s="132">
        <v>8</v>
      </c>
      <c r="B10" s="126">
        <f t="shared" si="0"/>
        <v>45390</v>
      </c>
      <c r="C10" s="127">
        <f>YEAR(GC[[#This Row],[Date]])+IF(MONTH(GC[[#This Row],[Date]])&gt;=4,1,0)</f>
        <v>2025</v>
      </c>
      <c r="D10" s="128">
        <f>YEAR(GC[[#This Row],[Date]])</f>
        <v>2024</v>
      </c>
      <c r="E10" s="125" t="s">
        <v>156</v>
      </c>
      <c r="F10" s="125" t="s">
        <v>156</v>
      </c>
      <c r="G10" s="129" t="str">
        <f>TEXT(GC[[#This Row],[Date]],"mmm-yy")</f>
        <v>Apr-24</v>
      </c>
      <c r="H10" s="129">
        <f>DAY(EOMONTH(GC[[#This Row],[Month Year]],0))</f>
        <v>30</v>
      </c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25"/>
      <c r="T10" s="125"/>
      <c r="U10" s="125"/>
      <c r="V10" s="125"/>
      <c r="W10" s="125"/>
      <c r="X10" s="125"/>
      <c r="Y10" s="4">
        <f>SUM(GC[[#This Row],[ICR1]:[ICR14]])</f>
        <v>0</v>
      </c>
      <c r="Z10" s="132"/>
      <c r="AA10" s="132"/>
    </row>
    <row r="11" spans="1:27">
      <c r="A11" s="132">
        <v>9</v>
      </c>
      <c r="B11" s="126">
        <f t="shared" si="0"/>
        <v>45391</v>
      </c>
      <c r="C11" s="127">
        <f>YEAR(GC[[#This Row],[Date]])+IF(MONTH(GC[[#This Row],[Date]])&gt;=4,1,0)</f>
        <v>2025</v>
      </c>
      <c r="D11" s="128">
        <f>YEAR(GC[[#This Row],[Date]])</f>
        <v>2024</v>
      </c>
      <c r="E11" s="125" t="s">
        <v>156</v>
      </c>
      <c r="F11" s="125" t="s">
        <v>156</v>
      </c>
      <c r="G11" s="129" t="str">
        <f>TEXT(GC[[#This Row],[Date]],"mmm-yy")</f>
        <v>Apr-24</v>
      </c>
      <c r="H11" s="129">
        <f>DAY(EOMONTH(GC[[#This Row],[Month Year]],0))</f>
        <v>30</v>
      </c>
      <c r="I11" s="132"/>
      <c r="J11" s="132"/>
      <c r="K11" s="132"/>
      <c r="L11" s="132"/>
      <c r="M11" s="132"/>
      <c r="N11" s="132"/>
      <c r="O11" s="132"/>
      <c r="P11" s="132"/>
      <c r="Q11" s="132"/>
      <c r="R11" s="132"/>
      <c r="S11" s="125"/>
      <c r="T11" s="125"/>
      <c r="U11" s="125"/>
      <c r="V11" s="125"/>
      <c r="W11" s="125"/>
      <c r="X11" s="125"/>
      <c r="Y11" s="4">
        <f>SUM(GC[[#This Row],[ICR1]:[ICR14]])</f>
        <v>0</v>
      </c>
      <c r="Z11" s="132"/>
      <c r="AA11" s="132"/>
    </row>
    <row r="12" spans="1:27">
      <c r="A12" s="132">
        <v>10</v>
      </c>
      <c r="B12" s="126">
        <f t="shared" si="0"/>
        <v>45392</v>
      </c>
      <c r="C12" s="127">
        <f>YEAR(GC[[#This Row],[Date]])+IF(MONTH(GC[[#This Row],[Date]])&gt;=4,1,0)</f>
        <v>2025</v>
      </c>
      <c r="D12" s="128">
        <f>YEAR(GC[[#This Row],[Date]])</f>
        <v>2024</v>
      </c>
      <c r="E12" s="125" t="s">
        <v>156</v>
      </c>
      <c r="F12" s="125" t="s">
        <v>156</v>
      </c>
      <c r="G12" s="129" t="str">
        <f>TEXT(GC[[#This Row],[Date]],"mmm-yy")</f>
        <v>Apr-24</v>
      </c>
      <c r="H12" s="129">
        <f>DAY(EOMONTH(GC[[#This Row],[Month Year]],0))</f>
        <v>30</v>
      </c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25"/>
      <c r="T12" s="125"/>
      <c r="U12" s="125"/>
      <c r="V12" s="125"/>
      <c r="W12" s="125"/>
      <c r="X12" s="125"/>
      <c r="Y12" s="4">
        <f>SUM(GC[[#This Row],[ICR1]:[ICR14]])</f>
        <v>0</v>
      </c>
      <c r="Z12" s="132"/>
      <c r="AA12" s="132"/>
    </row>
    <row r="13" spans="1:27">
      <c r="A13" s="132">
        <v>11</v>
      </c>
      <c r="B13" s="126">
        <f t="shared" si="0"/>
        <v>45393</v>
      </c>
      <c r="C13" s="127">
        <f>YEAR(GC[[#This Row],[Date]])+IF(MONTH(GC[[#This Row],[Date]])&gt;=4,1,0)</f>
        <v>2025</v>
      </c>
      <c r="D13" s="128">
        <f>YEAR(GC[[#This Row],[Date]])</f>
        <v>2024</v>
      </c>
      <c r="E13" s="125" t="s">
        <v>156</v>
      </c>
      <c r="F13" s="125" t="s">
        <v>156</v>
      </c>
      <c r="G13" s="129" t="str">
        <f>TEXT(GC[[#This Row],[Date]],"mmm-yy")</f>
        <v>Apr-24</v>
      </c>
      <c r="H13" s="129">
        <f>DAY(EOMONTH(GC[[#This Row],[Month Year]],0))</f>
        <v>30</v>
      </c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25"/>
      <c r="T13" s="125"/>
      <c r="U13" s="125"/>
      <c r="V13" s="125"/>
      <c r="W13" s="125"/>
      <c r="X13" s="125"/>
      <c r="Y13" s="4">
        <f>SUM(GC[[#This Row],[ICR1]:[ICR14]])</f>
        <v>0</v>
      </c>
      <c r="Z13" s="132"/>
      <c r="AA13" s="132"/>
    </row>
    <row r="14" spans="1:27">
      <c r="A14" s="132">
        <v>12</v>
      </c>
      <c r="B14" s="126">
        <f t="shared" si="0"/>
        <v>45394</v>
      </c>
      <c r="C14" s="127">
        <f>YEAR(GC[[#This Row],[Date]])+IF(MONTH(GC[[#This Row],[Date]])&gt;=4,1,0)</f>
        <v>2025</v>
      </c>
      <c r="D14" s="128">
        <f>YEAR(GC[[#This Row],[Date]])</f>
        <v>2024</v>
      </c>
      <c r="E14" s="125" t="s">
        <v>156</v>
      </c>
      <c r="F14" s="125" t="s">
        <v>156</v>
      </c>
      <c r="G14" s="129" t="str">
        <f>TEXT(GC[[#This Row],[Date]],"mmm-yy")</f>
        <v>Apr-24</v>
      </c>
      <c r="H14" s="129">
        <f>DAY(EOMONTH(GC[[#This Row],[Month Year]],0))</f>
        <v>30</v>
      </c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25"/>
      <c r="T14" s="125"/>
      <c r="U14" s="125"/>
      <c r="V14" s="125"/>
      <c r="W14" s="125"/>
      <c r="X14" s="125"/>
      <c r="Y14" s="4">
        <f>SUM(GC[[#This Row],[ICR1]:[ICR14]])</f>
        <v>0</v>
      </c>
      <c r="Z14" s="132"/>
      <c r="AA14" s="132"/>
    </row>
    <row r="15" spans="1:27">
      <c r="A15" s="132">
        <v>13</v>
      </c>
      <c r="B15" s="126">
        <f t="shared" si="0"/>
        <v>45395</v>
      </c>
      <c r="C15" s="127">
        <f>YEAR(GC[[#This Row],[Date]])+IF(MONTH(GC[[#This Row],[Date]])&gt;=4,1,0)</f>
        <v>2025</v>
      </c>
      <c r="D15" s="128">
        <f>YEAR(GC[[#This Row],[Date]])</f>
        <v>2024</v>
      </c>
      <c r="E15" s="125" t="s">
        <v>156</v>
      </c>
      <c r="F15" s="125" t="s">
        <v>156</v>
      </c>
      <c r="G15" s="129" t="str">
        <f>TEXT(GC[[#This Row],[Date]],"mmm-yy")</f>
        <v>Apr-24</v>
      </c>
      <c r="H15" s="129">
        <f>DAY(EOMONTH(GC[[#This Row],[Month Year]],0))</f>
        <v>30</v>
      </c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25"/>
      <c r="T15" s="125"/>
      <c r="U15" s="125"/>
      <c r="V15" s="125"/>
      <c r="W15" s="125"/>
      <c r="X15" s="125"/>
      <c r="Y15" s="4">
        <f>SUM(GC[[#This Row],[ICR1]:[ICR14]])</f>
        <v>0</v>
      </c>
      <c r="Z15" s="132"/>
      <c r="AA15" s="132"/>
    </row>
    <row r="16" spans="1:27">
      <c r="A16" s="132">
        <v>14</v>
      </c>
      <c r="B16" s="126">
        <f t="shared" si="0"/>
        <v>45396</v>
      </c>
      <c r="C16" s="127">
        <f>YEAR(GC[[#This Row],[Date]])+IF(MONTH(GC[[#This Row],[Date]])&gt;=4,1,0)</f>
        <v>2025</v>
      </c>
      <c r="D16" s="128">
        <f>YEAR(GC[[#This Row],[Date]])</f>
        <v>2024</v>
      </c>
      <c r="E16" s="125" t="s">
        <v>156</v>
      </c>
      <c r="F16" s="125" t="s">
        <v>156</v>
      </c>
      <c r="G16" s="129" t="str">
        <f>TEXT(GC[[#This Row],[Date]],"mmm-yy")</f>
        <v>Apr-24</v>
      </c>
      <c r="H16" s="129">
        <f>DAY(EOMONTH(GC[[#This Row],[Month Year]],0))</f>
        <v>30</v>
      </c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25"/>
      <c r="T16" s="125"/>
      <c r="U16" s="125"/>
      <c r="V16" s="125"/>
      <c r="W16" s="125"/>
      <c r="X16" s="125"/>
      <c r="Y16" s="4">
        <f>SUM(GC[[#This Row],[ICR1]:[ICR14]])</f>
        <v>0</v>
      </c>
      <c r="Z16" s="132"/>
      <c r="AA16" s="132"/>
    </row>
    <row r="17" spans="1:27">
      <c r="A17" s="132">
        <v>15</v>
      </c>
      <c r="B17" s="126">
        <f t="shared" si="0"/>
        <v>45397</v>
      </c>
      <c r="C17" s="127">
        <f>YEAR(GC[[#This Row],[Date]])+IF(MONTH(GC[[#This Row],[Date]])&gt;=4,1,0)</f>
        <v>2025</v>
      </c>
      <c r="D17" s="128">
        <f>YEAR(GC[[#This Row],[Date]])</f>
        <v>2024</v>
      </c>
      <c r="E17" s="125" t="s">
        <v>156</v>
      </c>
      <c r="F17" s="125" t="s">
        <v>156</v>
      </c>
      <c r="G17" s="129" t="str">
        <f>TEXT(GC[[#This Row],[Date]],"mmm-yy")</f>
        <v>Apr-24</v>
      </c>
      <c r="H17" s="129">
        <f>DAY(EOMONTH(GC[[#This Row],[Month Year]],0))</f>
        <v>30</v>
      </c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25"/>
      <c r="T17" s="125"/>
      <c r="U17" s="125"/>
      <c r="V17" s="125"/>
      <c r="W17" s="125"/>
      <c r="X17" s="125"/>
      <c r="Y17" s="4">
        <f>SUM(GC[[#This Row],[ICR1]:[ICR14]])</f>
        <v>0</v>
      </c>
      <c r="Z17" s="132"/>
      <c r="AA17" s="132"/>
    </row>
    <row r="18" spans="1:27">
      <c r="A18" s="132">
        <v>16</v>
      </c>
      <c r="B18" s="126">
        <f t="shared" si="0"/>
        <v>45398</v>
      </c>
      <c r="C18" s="127">
        <f>YEAR(GC[[#This Row],[Date]])+IF(MONTH(GC[[#This Row],[Date]])&gt;=4,1,0)</f>
        <v>2025</v>
      </c>
      <c r="D18" s="128">
        <f>YEAR(GC[[#This Row],[Date]])</f>
        <v>2024</v>
      </c>
      <c r="E18" s="125" t="s">
        <v>156</v>
      </c>
      <c r="F18" s="125" t="s">
        <v>156</v>
      </c>
      <c r="G18" s="129" t="str">
        <f>TEXT(GC[[#This Row],[Date]],"mmm-yy")</f>
        <v>Apr-24</v>
      </c>
      <c r="H18" s="129">
        <f>DAY(EOMONTH(GC[[#This Row],[Month Year]],0))</f>
        <v>30</v>
      </c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25"/>
      <c r="T18" s="125"/>
      <c r="U18" s="125"/>
      <c r="V18" s="125"/>
      <c r="W18" s="125"/>
      <c r="X18" s="125"/>
      <c r="Y18" s="4">
        <f>SUM(GC[[#This Row],[ICR1]:[ICR14]])</f>
        <v>0</v>
      </c>
      <c r="Z18" s="132"/>
      <c r="AA18" s="132"/>
    </row>
    <row r="19" spans="1:27">
      <c r="A19" s="132">
        <v>17</v>
      </c>
      <c r="B19" s="126">
        <f t="shared" si="0"/>
        <v>45399</v>
      </c>
      <c r="C19" s="127">
        <f>YEAR(GC[[#This Row],[Date]])+IF(MONTH(GC[[#This Row],[Date]])&gt;=4,1,0)</f>
        <v>2025</v>
      </c>
      <c r="D19" s="128">
        <f>YEAR(GC[[#This Row],[Date]])</f>
        <v>2024</v>
      </c>
      <c r="E19" s="125" t="s">
        <v>156</v>
      </c>
      <c r="F19" s="125" t="s">
        <v>156</v>
      </c>
      <c r="G19" s="129" t="str">
        <f>TEXT(GC[[#This Row],[Date]],"mmm-yy")</f>
        <v>Apr-24</v>
      </c>
      <c r="H19" s="129">
        <f>DAY(EOMONTH(GC[[#This Row],[Month Year]],0))</f>
        <v>30</v>
      </c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25"/>
      <c r="T19" s="125"/>
      <c r="U19" s="125"/>
      <c r="V19" s="125"/>
      <c r="W19" s="125"/>
      <c r="X19" s="125"/>
      <c r="Y19" s="4">
        <f>SUM(GC[[#This Row],[ICR1]:[ICR14]])</f>
        <v>0</v>
      </c>
      <c r="Z19" s="132"/>
      <c r="AA19" s="132"/>
    </row>
    <row r="20" spans="1:27">
      <c r="A20" s="132">
        <v>18</v>
      </c>
      <c r="B20" s="126">
        <f t="shared" si="0"/>
        <v>45400</v>
      </c>
      <c r="C20" s="127">
        <f>YEAR(GC[[#This Row],[Date]])+IF(MONTH(GC[[#This Row],[Date]])&gt;=4,1,0)</f>
        <v>2025</v>
      </c>
      <c r="D20" s="128">
        <f>YEAR(GC[[#This Row],[Date]])</f>
        <v>2024</v>
      </c>
      <c r="E20" s="125" t="s">
        <v>156</v>
      </c>
      <c r="F20" s="125" t="s">
        <v>156</v>
      </c>
      <c r="G20" s="129" t="str">
        <f>TEXT(GC[[#This Row],[Date]],"mmm-yy")</f>
        <v>Apr-24</v>
      </c>
      <c r="H20" s="129">
        <f>DAY(EOMONTH(GC[[#This Row],[Month Year]],0))</f>
        <v>30</v>
      </c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25"/>
      <c r="T20" s="125"/>
      <c r="U20" s="125"/>
      <c r="V20" s="125"/>
      <c r="W20" s="125"/>
      <c r="X20" s="125"/>
      <c r="Y20" s="4">
        <f>SUM(GC[[#This Row],[ICR1]:[ICR14]])</f>
        <v>0</v>
      </c>
      <c r="Z20" s="132"/>
      <c r="AA20" s="132"/>
    </row>
    <row r="21" spans="1:27">
      <c r="A21" s="132">
        <v>19</v>
      </c>
      <c r="B21" s="126">
        <f t="shared" si="0"/>
        <v>45401</v>
      </c>
      <c r="C21" s="127">
        <f>YEAR(GC[[#This Row],[Date]])+IF(MONTH(GC[[#This Row],[Date]])&gt;=4,1,0)</f>
        <v>2025</v>
      </c>
      <c r="D21" s="128">
        <f>YEAR(GC[[#This Row],[Date]])</f>
        <v>2024</v>
      </c>
      <c r="E21" s="125" t="s">
        <v>156</v>
      </c>
      <c r="F21" s="125" t="s">
        <v>156</v>
      </c>
      <c r="G21" s="129" t="str">
        <f>TEXT(GC[[#This Row],[Date]],"mmm-yy")</f>
        <v>Apr-24</v>
      </c>
      <c r="H21" s="129">
        <f>DAY(EOMONTH(GC[[#This Row],[Month Year]],0))</f>
        <v>30</v>
      </c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25"/>
      <c r="T21" s="125"/>
      <c r="U21" s="125"/>
      <c r="V21" s="125"/>
      <c r="W21" s="125"/>
      <c r="X21" s="125"/>
      <c r="Y21" s="4">
        <f>SUM(GC[[#This Row],[ICR1]:[ICR14]])</f>
        <v>0</v>
      </c>
      <c r="Z21" s="132"/>
      <c r="AA21" s="132"/>
    </row>
    <row r="22" spans="1:27">
      <c r="A22" s="132">
        <v>20</v>
      </c>
      <c r="B22" s="126">
        <f t="shared" si="0"/>
        <v>45402</v>
      </c>
      <c r="C22" s="127">
        <f>YEAR(GC[[#This Row],[Date]])+IF(MONTH(GC[[#This Row],[Date]])&gt;=4,1,0)</f>
        <v>2025</v>
      </c>
      <c r="D22" s="128">
        <f>YEAR(GC[[#This Row],[Date]])</f>
        <v>2024</v>
      </c>
      <c r="E22" s="125" t="s">
        <v>156</v>
      </c>
      <c r="F22" s="125" t="s">
        <v>156</v>
      </c>
      <c r="G22" s="129" t="str">
        <f>TEXT(GC[[#This Row],[Date]],"mmm-yy")</f>
        <v>Apr-24</v>
      </c>
      <c r="H22" s="129">
        <f>DAY(EOMONTH(GC[[#This Row],[Month Year]],0))</f>
        <v>30</v>
      </c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25"/>
      <c r="T22" s="125"/>
      <c r="U22" s="125"/>
      <c r="V22" s="125"/>
      <c r="W22" s="125"/>
      <c r="X22" s="125"/>
      <c r="Y22" s="4">
        <f>SUM(GC[[#This Row],[ICR1]:[ICR14]])</f>
        <v>0</v>
      </c>
      <c r="Z22" s="132"/>
      <c r="AA22" s="132"/>
    </row>
    <row r="23" spans="1:27">
      <c r="A23" s="132">
        <v>21</v>
      </c>
      <c r="B23" s="126">
        <f t="shared" si="0"/>
        <v>45403</v>
      </c>
      <c r="C23" s="127">
        <f>YEAR(GC[[#This Row],[Date]])+IF(MONTH(GC[[#This Row],[Date]])&gt;=4,1,0)</f>
        <v>2025</v>
      </c>
      <c r="D23" s="128">
        <f>YEAR(GC[[#This Row],[Date]])</f>
        <v>2024</v>
      </c>
      <c r="E23" s="125" t="s">
        <v>156</v>
      </c>
      <c r="F23" s="125" t="s">
        <v>156</v>
      </c>
      <c r="G23" s="129" t="str">
        <f>TEXT(GC[[#This Row],[Date]],"mmm-yy")</f>
        <v>Apr-24</v>
      </c>
      <c r="H23" s="129">
        <f>DAY(EOMONTH(GC[[#This Row],[Month Year]],0))</f>
        <v>30</v>
      </c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25"/>
      <c r="T23" s="125"/>
      <c r="U23" s="125"/>
      <c r="V23" s="125"/>
      <c r="W23" s="125"/>
      <c r="X23" s="125"/>
      <c r="Y23" s="4">
        <f>SUM(GC[[#This Row],[ICR1]:[ICR14]])</f>
        <v>0</v>
      </c>
      <c r="Z23" s="132"/>
      <c r="AA23" s="132"/>
    </row>
    <row r="24" spans="1:27">
      <c r="A24" s="132">
        <v>22</v>
      </c>
      <c r="B24" s="126">
        <f t="shared" si="0"/>
        <v>45404</v>
      </c>
      <c r="C24" s="127">
        <f>YEAR(GC[[#This Row],[Date]])+IF(MONTH(GC[[#This Row],[Date]])&gt;=4,1,0)</f>
        <v>2025</v>
      </c>
      <c r="D24" s="128">
        <f>YEAR(GC[[#This Row],[Date]])</f>
        <v>2024</v>
      </c>
      <c r="E24" s="125" t="s">
        <v>156</v>
      </c>
      <c r="F24" s="125" t="s">
        <v>156</v>
      </c>
      <c r="G24" s="129" t="str">
        <f>TEXT(GC[[#This Row],[Date]],"mmm-yy")</f>
        <v>Apr-24</v>
      </c>
      <c r="H24" s="129">
        <f>DAY(EOMONTH(GC[[#This Row],[Month Year]],0))</f>
        <v>30</v>
      </c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25"/>
      <c r="T24" s="125"/>
      <c r="U24" s="125"/>
      <c r="V24" s="125"/>
      <c r="W24" s="125"/>
      <c r="X24" s="125"/>
      <c r="Y24" s="4">
        <f>SUM(GC[[#This Row],[ICR1]:[ICR14]])</f>
        <v>0</v>
      </c>
      <c r="Z24" s="132"/>
      <c r="AA24" s="132"/>
    </row>
    <row r="25" spans="1:27">
      <c r="A25" s="132">
        <v>23</v>
      </c>
      <c r="B25" s="126">
        <f t="shared" si="0"/>
        <v>45405</v>
      </c>
      <c r="C25" s="127">
        <f>YEAR(GC[[#This Row],[Date]])+IF(MONTH(GC[[#This Row],[Date]])&gt;=4,1,0)</f>
        <v>2025</v>
      </c>
      <c r="D25" s="128">
        <f>YEAR(GC[[#This Row],[Date]])</f>
        <v>2024</v>
      </c>
      <c r="E25" s="125" t="s">
        <v>156</v>
      </c>
      <c r="F25" s="125" t="s">
        <v>156</v>
      </c>
      <c r="G25" s="129" t="str">
        <f>TEXT(GC[[#This Row],[Date]],"mmm-yy")</f>
        <v>Apr-24</v>
      </c>
      <c r="H25" s="129">
        <f>DAY(EOMONTH(GC[[#This Row],[Month Year]],0))</f>
        <v>30</v>
      </c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25"/>
      <c r="T25" s="125"/>
      <c r="U25" s="125"/>
      <c r="V25" s="125"/>
      <c r="W25" s="125"/>
      <c r="X25" s="125"/>
      <c r="Y25" s="4">
        <f>SUM(GC[[#This Row],[ICR1]:[ICR14]])</f>
        <v>0</v>
      </c>
      <c r="Z25" s="132"/>
      <c r="AA25" s="132"/>
    </row>
    <row r="26" spans="1:27">
      <c r="A26" s="132">
        <v>24</v>
      </c>
      <c r="B26" s="126">
        <f t="shared" si="0"/>
        <v>45406</v>
      </c>
      <c r="C26" s="127">
        <f>YEAR(GC[[#This Row],[Date]])+IF(MONTH(GC[[#This Row],[Date]])&gt;=4,1,0)</f>
        <v>2025</v>
      </c>
      <c r="D26" s="128">
        <f>YEAR(GC[[#This Row],[Date]])</f>
        <v>2024</v>
      </c>
      <c r="E26" s="125" t="s">
        <v>156</v>
      </c>
      <c r="F26" s="125" t="s">
        <v>156</v>
      </c>
      <c r="G26" s="129" t="str">
        <f>TEXT(GC[[#This Row],[Date]],"mmm-yy")</f>
        <v>Apr-24</v>
      </c>
      <c r="H26" s="129">
        <f>DAY(EOMONTH(GC[[#This Row],[Month Year]],0))</f>
        <v>30</v>
      </c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25"/>
      <c r="T26" s="125"/>
      <c r="U26" s="125"/>
      <c r="V26" s="125"/>
      <c r="W26" s="125"/>
      <c r="X26" s="125"/>
      <c r="Y26" s="4">
        <f>SUM(GC[[#This Row],[ICR1]:[ICR14]])</f>
        <v>0</v>
      </c>
      <c r="Z26" s="132"/>
      <c r="AA26" s="132"/>
    </row>
    <row r="27" spans="1:27">
      <c r="A27" s="132">
        <v>25</v>
      </c>
      <c r="B27" s="126">
        <f t="shared" si="0"/>
        <v>45407</v>
      </c>
      <c r="C27" s="127">
        <f>YEAR(GC[[#This Row],[Date]])+IF(MONTH(GC[[#This Row],[Date]])&gt;=4,1,0)</f>
        <v>2025</v>
      </c>
      <c r="D27" s="128">
        <f>YEAR(GC[[#This Row],[Date]])</f>
        <v>2024</v>
      </c>
      <c r="E27" s="125" t="s">
        <v>156</v>
      </c>
      <c r="F27" s="125" t="s">
        <v>156</v>
      </c>
      <c r="G27" s="129" t="str">
        <f>TEXT(GC[[#This Row],[Date]],"mmm-yy")</f>
        <v>Apr-24</v>
      </c>
      <c r="H27" s="129">
        <f>DAY(EOMONTH(GC[[#This Row],[Month Year]],0))</f>
        <v>30</v>
      </c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25"/>
      <c r="T27" s="125"/>
      <c r="U27" s="125"/>
      <c r="V27" s="125"/>
      <c r="W27" s="125"/>
      <c r="X27" s="125"/>
      <c r="Y27" s="4">
        <f>SUM(GC[[#This Row],[ICR1]:[ICR14]])</f>
        <v>0</v>
      </c>
      <c r="Z27" s="132"/>
      <c r="AA27" s="132"/>
    </row>
    <row r="28" spans="1:27">
      <c r="A28" s="132">
        <v>26</v>
      </c>
      <c r="B28" s="126">
        <f t="shared" si="0"/>
        <v>45408</v>
      </c>
      <c r="C28" s="127">
        <f>YEAR(GC[[#This Row],[Date]])+IF(MONTH(GC[[#This Row],[Date]])&gt;=4,1,0)</f>
        <v>2025</v>
      </c>
      <c r="D28" s="128">
        <f>YEAR(GC[[#This Row],[Date]])</f>
        <v>2024</v>
      </c>
      <c r="E28" s="125" t="s">
        <v>156</v>
      </c>
      <c r="F28" s="125" t="s">
        <v>156</v>
      </c>
      <c r="G28" s="129" t="str">
        <f>TEXT(GC[[#This Row],[Date]],"mmm-yy")</f>
        <v>Apr-24</v>
      </c>
      <c r="H28" s="129">
        <f>DAY(EOMONTH(GC[[#This Row],[Month Year]],0))</f>
        <v>30</v>
      </c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25"/>
      <c r="T28" s="125"/>
      <c r="U28" s="125"/>
      <c r="V28" s="125"/>
      <c r="W28" s="125"/>
      <c r="X28" s="125"/>
      <c r="Y28" s="4">
        <f>SUM(GC[[#This Row],[ICR1]:[ICR14]])</f>
        <v>0</v>
      </c>
      <c r="Z28" s="132"/>
      <c r="AA28" s="132"/>
    </row>
    <row r="29" spans="1:27">
      <c r="A29" s="132">
        <v>27</v>
      </c>
      <c r="B29" s="126">
        <f t="shared" si="0"/>
        <v>45409</v>
      </c>
      <c r="C29" s="127">
        <f>YEAR(GC[[#This Row],[Date]])+IF(MONTH(GC[[#This Row],[Date]])&gt;=4,1,0)</f>
        <v>2025</v>
      </c>
      <c r="D29" s="128">
        <f>YEAR(GC[[#This Row],[Date]])</f>
        <v>2024</v>
      </c>
      <c r="E29" s="125" t="s">
        <v>156</v>
      </c>
      <c r="F29" s="125" t="s">
        <v>156</v>
      </c>
      <c r="G29" s="129" t="str">
        <f>TEXT(GC[[#This Row],[Date]],"mmm-yy")</f>
        <v>Apr-24</v>
      </c>
      <c r="H29" s="129">
        <f>DAY(EOMONTH(GC[[#This Row],[Month Year]],0))</f>
        <v>30</v>
      </c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25"/>
      <c r="T29" s="125"/>
      <c r="U29" s="125"/>
      <c r="V29" s="125"/>
      <c r="W29" s="125"/>
      <c r="X29" s="125"/>
      <c r="Y29" s="4">
        <f>SUM(GC[[#This Row],[ICR1]:[ICR14]])</f>
        <v>0</v>
      </c>
      <c r="Z29" s="132"/>
      <c r="AA29" s="132"/>
    </row>
    <row r="30" spans="1:27">
      <c r="A30" s="132">
        <v>28</v>
      </c>
      <c r="B30" s="126">
        <f t="shared" si="0"/>
        <v>45410</v>
      </c>
      <c r="C30" s="127">
        <f>YEAR(GC[[#This Row],[Date]])+IF(MONTH(GC[[#This Row],[Date]])&gt;=4,1,0)</f>
        <v>2025</v>
      </c>
      <c r="D30" s="128">
        <f>YEAR(GC[[#This Row],[Date]])</f>
        <v>2024</v>
      </c>
      <c r="E30" s="125" t="s">
        <v>156</v>
      </c>
      <c r="F30" s="125" t="s">
        <v>156</v>
      </c>
      <c r="G30" s="129" t="str">
        <f>TEXT(GC[[#This Row],[Date]],"mmm-yy")</f>
        <v>Apr-24</v>
      </c>
      <c r="H30" s="129">
        <f>DAY(EOMONTH(GC[[#This Row],[Month Year]],0))</f>
        <v>30</v>
      </c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25"/>
      <c r="T30" s="125"/>
      <c r="U30" s="125"/>
      <c r="V30" s="125"/>
      <c r="W30" s="125"/>
      <c r="X30" s="125"/>
      <c r="Y30" s="4">
        <f>SUM(GC[[#This Row],[ICR1]:[ICR14]])</f>
        <v>0</v>
      </c>
      <c r="Z30" s="132"/>
      <c r="AA30" s="132"/>
    </row>
    <row r="31" spans="1:27">
      <c r="A31" s="132">
        <v>29</v>
      </c>
      <c r="B31" s="126">
        <f t="shared" si="0"/>
        <v>45411</v>
      </c>
      <c r="C31" s="127">
        <f>YEAR(GC[[#This Row],[Date]])+IF(MONTH(GC[[#This Row],[Date]])&gt;=4,1,0)</f>
        <v>2025</v>
      </c>
      <c r="D31" s="128">
        <f>YEAR(GC[[#This Row],[Date]])</f>
        <v>2024</v>
      </c>
      <c r="E31" s="125" t="s">
        <v>156</v>
      </c>
      <c r="F31" s="125" t="s">
        <v>156</v>
      </c>
      <c r="G31" s="129" t="str">
        <f>TEXT(GC[[#This Row],[Date]],"mmm-yy")</f>
        <v>Apr-24</v>
      </c>
      <c r="H31" s="129">
        <f>DAY(EOMONTH(GC[[#This Row],[Month Year]],0))</f>
        <v>30</v>
      </c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25"/>
      <c r="T31" s="125"/>
      <c r="U31" s="125"/>
      <c r="V31" s="125"/>
      <c r="W31" s="125"/>
      <c r="X31" s="125"/>
      <c r="Y31" s="4">
        <f>SUM(GC[[#This Row],[ICR1]:[ICR14]])</f>
        <v>0</v>
      </c>
      <c r="Z31" s="132"/>
      <c r="AA31" s="132"/>
    </row>
    <row r="32" spans="1:27">
      <c r="A32" s="132">
        <v>30</v>
      </c>
      <c r="B32" s="126">
        <f t="shared" si="0"/>
        <v>45412</v>
      </c>
      <c r="C32" s="127">
        <f>YEAR(GC[[#This Row],[Date]])+IF(MONTH(GC[[#This Row],[Date]])&gt;=4,1,0)</f>
        <v>2025</v>
      </c>
      <c r="D32" s="128">
        <f>YEAR(GC[[#This Row],[Date]])</f>
        <v>2024</v>
      </c>
      <c r="E32" s="125" t="s">
        <v>156</v>
      </c>
      <c r="F32" s="125" t="s">
        <v>156</v>
      </c>
      <c r="G32" s="129" t="str">
        <f>TEXT(GC[[#This Row],[Date]],"mmm-yy")</f>
        <v>Apr-24</v>
      </c>
      <c r="H32" s="129">
        <f>DAY(EOMONTH(GC[[#This Row],[Month Year]],0))</f>
        <v>30</v>
      </c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25"/>
      <c r="T32" s="125"/>
      <c r="U32" s="125"/>
      <c r="V32" s="125"/>
      <c r="W32" s="125"/>
      <c r="X32" s="125"/>
      <c r="Y32" s="4">
        <f>SUM(GC[[#This Row],[ICR1]:[ICR14]])</f>
        <v>0</v>
      </c>
      <c r="Z32" s="132"/>
      <c r="AA32" s="132"/>
    </row>
    <row r="33" spans="1:27">
      <c r="A33" s="132">
        <v>31</v>
      </c>
      <c r="B33" s="126">
        <f t="shared" si="0"/>
        <v>45413</v>
      </c>
      <c r="C33" s="127">
        <f>YEAR(GC[[#This Row],[Date]])+IF(MONTH(GC[[#This Row],[Date]])&gt;=4,1,0)</f>
        <v>2025</v>
      </c>
      <c r="D33" s="128">
        <f>YEAR(GC[[#This Row],[Date]])</f>
        <v>2024</v>
      </c>
      <c r="E33" s="125" t="s">
        <v>156</v>
      </c>
      <c r="F33" s="125" t="s">
        <v>156</v>
      </c>
      <c r="G33" s="129" t="str">
        <f>TEXT(GC[[#This Row],[Date]],"mmm-yy")</f>
        <v>May-24</v>
      </c>
      <c r="H33" s="129">
        <f>DAY(EOMONTH(GC[[#This Row],[Month Year]],0))</f>
        <v>31</v>
      </c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25"/>
      <c r="T33" s="125"/>
      <c r="U33" s="125"/>
      <c r="V33" s="125"/>
      <c r="W33" s="125"/>
      <c r="X33" s="125"/>
      <c r="Y33" s="4">
        <f>SUM(GC[[#This Row],[ICR1]:[ICR14]])</f>
        <v>0</v>
      </c>
      <c r="Z33" s="132"/>
      <c r="AA33" s="132"/>
    </row>
    <row r="34" spans="1:27">
      <c r="A34" s="132">
        <v>32</v>
      </c>
      <c r="B34" s="126">
        <f t="shared" si="0"/>
        <v>45414</v>
      </c>
      <c r="C34" s="127">
        <f>YEAR(GC[[#This Row],[Date]])+IF(MONTH(GC[[#This Row],[Date]])&gt;=4,1,0)</f>
        <v>2025</v>
      </c>
      <c r="D34" s="128">
        <f>YEAR(GC[[#This Row],[Date]])</f>
        <v>2024</v>
      </c>
      <c r="E34" s="125" t="s">
        <v>156</v>
      </c>
      <c r="F34" s="125" t="s">
        <v>156</v>
      </c>
      <c r="G34" s="129" t="str">
        <f>TEXT(GC[[#This Row],[Date]],"mmm-yy")</f>
        <v>May-24</v>
      </c>
      <c r="H34" s="129">
        <f>DAY(EOMONTH(GC[[#This Row],[Month Year]],0))</f>
        <v>31</v>
      </c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25"/>
      <c r="T34" s="125"/>
      <c r="U34" s="125"/>
      <c r="V34" s="125"/>
      <c r="W34" s="125"/>
      <c r="X34" s="125"/>
      <c r="Y34" s="4">
        <f>SUM(GC[[#This Row],[ICR1]:[ICR14]])</f>
        <v>0</v>
      </c>
      <c r="Z34" s="132"/>
      <c r="AA34" s="132"/>
    </row>
    <row r="35" spans="1:27">
      <c r="A35" s="132">
        <v>33</v>
      </c>
      <c r="B35" s="126">
        <f t="shared" si="0"/>
        <v>45415</v>
      </c>
      <c r="C35" s="127">
        <f>YEAR(GC[[#This Row],[Date]])+IF(MONTH(GC[[#This Row],[Date]])&gt;=4,1,0)</f>
        <v>2025</v>
      </c>
      <c r="D35" s="128">
        <f>YEAR(GC[[#This Row],[Date]])</f>
        <v>2024</v>
      </c>
      <c r="E35" s="125" t="s">
        <v>156</v>
      </c>
      <c r="F35" s="125" t="s">
        <v>156</v>
      </c>
      <c r="G35" s="129" t="str">
        <f>TEXT(GC[[#This Row],[Date]],"mmm-yy")</f>
        <v>May-24</v>
      </c>
      <c r="H35" s="129">
        <f>DAY(EOMONTH(GC[[#This Row],[Month Year]],0))</f>
        <v>31</v>
      </c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25"/>
      <c r="T35" s="125"/>
      <c r="U35" s="125"/>
      <c r="V35" s="125"/>
      <c r="W35" s="125"/>
      <c r="X35" s="125"/>
      <c r="Y35" s="4">
        <f>SUM(GC[[#This Row],[ICR1]:[ICR14]])</f>
        <v>0</v>
      </c>
      <c r="Z35" s="132"/>
      <c r="AA35" s="132"/>
    </row>
    <row r="36" spans="1:27">
      <c r="A36" s="132">
        <v>34</v>
      </c>
      <c r="B36" s="126">
        <f t="shared" si="0"/>
        <v>45416</v>
      </c>
      <c r="C36" s="127">
        <f>YEAR(GC[[#This Row],[Date]])+IF(MONTH(GC[[#This Row],[Date]])&gt;=4,1,0)</f>
        <v>2025</v>
      </c>
      <c r="D36" s="128">
        <f>YEAR(GC[[#This Row],[Date]])</f>
        <v>2024</v>
      </c>
      <c r="E36" s="125" t="s">
        <v>156</v>
      </c>
      <c r="F36" s="125" t="s">
        <v>156</v>
      </c>
      <c r="G36" s="129" t="str">
        <f>TEXT(GC[[#This Row],[Date]],"mmm-yy")</f>
        <v>May-24</v>
      </c>
      <c r="H36" s="129">
        <f>DAY(EOMONTH(GC[[#This Row],[Month Year]],0))</f>
        <v>31</v>
      </c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25"/>
      <c r="T36" s="125"/>
      <c r="U36" s="125"/>
      <c r="V36" s="125"/>
      <c r="W36" s="125"/>
      <c r="X36" s="125"/>
      <c r="Y36" s="4">
        <f>SUM(GC[[#This Row],[ICR1]:[ICR14]])</f>
        <v>0</v>
      </c>
      <c r="Z36" s="132"/>
      <c r="AA36" s="132"/>
    </row>
    <row r="37" spans="1:27">
      <c r="A37" s="132">
        <v>35</v>
      </c>
      <c r="B37" s="126">
        <f t="shared" si="0"/>
        <v>45417</v>
      </c>
      <c r="C37" s="127">
        <f>YEAR(GC[[#This Row],[Date]])+IF(MONTH(GC[[#This Row],[Date]])&gt;=4,1,0)</f>
        <v>2025</v>
      </c>
      <c r="D37" s="128">
        <f>YEAR(GC[[#This Row],[Date]])</f>
        <v>2024</v>
      </c>
      <c r="E37" s="125" t="s">
        <v>156</v>
      </c>
      <c r="F37" s="125" t="s">
        <v>156</v>
      </c>
      <c r="G37" s="129" t="str">
        <f>TEXT(GC[[#This Row],[Date]],"mmm-yy")</f>
        <v>May-24</v>
      </c>
      <c r="H37" s="129">
        <f>DAY(EOMONTH(GC[[#This Row],[Month Year]],0))</f>
        <v>31</v>
      </c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25"/>
      <c r="T37" s="125"/>
      <c r="U37" s="125"/>
      <c r="V37" s="125"/>
      <c r="W37" s="125"/>
      <c r="X37" s="125"/>
      <c r="Y37" s="4">
        <f>SUM(GC[[#This Row],[ICR1]:[ICR14]])</f>
        <v>0</v>
      </c>
      <c r="Z37" s="132"/>
      <c r="AA37" s="132"/>
    </row>
    <row r="38" spans="1:27">
      <c r="A38" s="132">
        <v>36</v>
      </c>
      <c r="B38" s="126">
        <f t="shared" si="0"/>
        <v>45418</v>
      </c>
      <c r="C38" s="127">
        <f>YEAR(GC[[#This Row],[Date]])+IF(MONTH(GC[[#This Row],[Date]])&gt;=4,1,0)</f>
        <v>2025</v>
      </c>
      <c r="D38" s="128">
        <f>YEAR(GC[[#This Row],[Date]])</f>
        <v>2024</v>
      </c>
      <c r="E38" s="125" t="s">
        <v>156</v>
      </c>
      <c r="F38" s="125" t="s">
        <v>156</v>
      </c>
      <c r="G38" s="129" t="str">
        <f>TEXT(GC[[#This Row],[Date]],"mmm-yy")</f>
        <v>May-24</v>
      </c>
      <c r="H38" s="129">
        <f>DAY(EOMONTH(GC[[#This Row],[Month Year]],0))</f>
        <v>31</v>
      </c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25"/>
      <c r="T38" s="125"/>
      <c r="U38" s="125"/>
      <c r="V38" s="125"/>
      <c r="W38" s="125"/>
      <c r="X38" s="125"/>
      <c r="Y38" s="4">
        <f>SUM(GC[[#This Row],[ICR1]:[ICR14]])</f>
        <v>0</v>
      </c>
      <c r="Z38" s="132"/>
      <c r="AA38" s="132"/>
    </row>
    <row r="39" spans="1:27">
      <c r="A39" s="132">
        <v>37</v>
      </c>
      <c r="B39" s="126">
        <f t="shared" si="0"/>
        <v>45419</v>
      </c>
      <c r="C39" s="127">
        <f>YEAR(GC[[#This Row],[Date]])+IF(MONTH(GC[[#This Row],[Date]])&gt;=4,1,0)</f>
        <v>2025</v>
      </c>
      <c r="D39" s="128">
        <f>YEAR(GC[[#This Row],[Date]])</f>
        <v>2024</v>
      </c>
      <c r="E39" s="125" t="s">
        <v>156</v>
      </c>
      <c r="F39" s="125" t="s">
        <v>156</v>
      </c>
      <c r="G39" s="129" t="str">
        <f>TEXT(GC[[#This Row],[Date]],"mmm-yy")</f>
        <v>May-24</v>
      </c>
      <c r="H39" s="129">
        <f>DAY(EOMONTH(GC[[#This Row],[Month Year]],0))</f>
        <v>31</v>
      </c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25"/>
      <c r="T39" s="125"/>
      <c r="U39" s="125"/>
      <c r="V39" s="125"/>
      <c r="W39" s="125"/>
      <c r="X39" s="125"/>
      <c r="Y39" s="4">
        <f>SUM(GC[[#This Row],[ICR1]:[ICR14]])</f>
        <v>0</v>
      </c>
      <c r="Z39" s="132"/>
      <c r="AA39" s="132"/>
    </row>
    <row r="40" spans="1:27">
      <c r="A40" s="132">
        <v>38</v>
      </c>
      <c r="B40" s="126">
        <f t="shared" si="0"/>
        <v>45420</v>
      </c>
      <c r="C40" s="127">
        <f>YEAR(GC[[#This Row],[Date]])+IF(MONTH(GC[[#This Row],[Date]])&gt;=4,1,0)</f>
        <v>2025</v>
      </c>
      <c r="D40" s="128">
        <f>YEAR(GC[[#This Row],[Date]])</f>
        <v>2024</v>
      </c>
      <c r="E40" s="125" t="s">
        <v>156</v>
      </c>
      <c r="F40" s="125" t="s">
        <v>156</v>
      </c>
      <c r="G40" s="129" t="str">
        <f>TEXT(GC[[#This Row],[Date]],"mmm-yy")</f>
        <v>May-24</v>
      </c>
      <c r="H40" s="129">
        <f>DAY(EOMONTH(GC[[#This Row],[Month Year]],0))</f>
        <v>31</v>
      </c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25"/>
      <c r="T40" s="125"/>
      <c r="U40" s="125"/>
      <c r="V40" s="125"/>
      <c r="W40" s="125"/>
      <c r="X40" s="125"/>
      <c r="Y40" s="4">
        <f>SUM(GC[[#This Row],[ICR1]:[ICR14]])</f>
        <v>0</v>
      </c>
      <c r="Z40" s="132"/>
      <c r="AA40" s="132"/>
    </row>
    <row r="41" spans="1:27">
      <c r="A41" s="132">
        <v>39</v>
      </c>
      <c r="B41" s="126">
        <f t="shared" si="0"/>
        <v>45421</v>
      </c>
      <c r="C41" s="127">
        <f>YEAR(GC[[#This Row],[Date]])+IF(MONTH(GC[[#This Row],[Date]])&gt;=4,1,0)</f>
        <v>2025</v>
      </c>
      <c r="D41" s="128">
        <f>YEAR(GC[[#This Row],[Date]])</f>
        <v>2024</v>
      </c>
      <c r="E41" s="125" t="s">
        <v>156</v>
      </c>
      <c r="F41" s="125" t="s">
        <v>156</v>
      </c>
      <c r="G41" s="129" t="str">
        <f>TEXT(GC[[#This Row],[Date]],"mmm-yy")</f>
        <v>May-24</v>
      </c>
      <c r="H41" s="129">
        <f>DAY(EOMONTH(GC[[#This Row],[Month Year]],0))</f>
        <v>31</v>
      </c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25"/>
      <c r="T41" s="125"/>
      <c r="U41" s="125"/>
      <c r="V41" s="125"/>
      <c r="W41" s="125"/>
      <c r="X41" s="125"/>
      <c r="Y41" s="4">
        <f>SUM(GC[[#This Row],[ICR1]:[ICR14]])</f>
        <v>0</v>
      </c>
      <c r="Z41" s="132"/>
      <c r="AA41" s="132"/>
    </row>
    <row r="42" spans="1:27">
      <c r="A42" s="132">
        <v>40</v>
      </c>
      <c r="B42" s="126">
        <f t="shared" si="0"/>
        <v>45422</v>
      </c>
      <c r="C42" s="127">
        <f>YEAR(GC[[#This Row],[Date]])+IF(MONTH(GC[[#This Row],[Date]])&gt;=4,1,0)</f>
        <v>2025</v>
      </c>
      <c r="D42" s="128">
        <f>YEAR(GC[[#This Row],[Date]])</f>
        <v>2024</v>
      </c>
      <c r="E42" s="125" t="s">
        <v>156</v>
      </c>
      <c r="F42" s="125" t="s">
        <v>156</v>
      </c>
      <c r="G42" s="129" t="str">
        <f>TEXT(GC[[#This Row],[Date]],"mmm-yy")</f>
        <v>May-24</v>
      </c>
      <c r="H42" s="129">
        <f>DAY(EOMONTH(GC[[#This Row],[Month Year]],0))</f>
        <v>31</v>
      </c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25"/>
      <c r="T42" s="125"/>
      <c r="U42" s="125"/>
      <c r="V42" s="125"/>
      <c r="W42" s="125"/>
      <c r="X42" s="125"/>
      <c r="Y42" s="4">
        <f>SUM(GC[[#This Row],[ICR1]:[ICR14]])</f>
        <v>0</v>
      </c>
      <c r="Z42" s="132"/>
      <c r="AA42" s="132"/>
    </row>
    <row r="43" spans="1:27">
      <c r="A43" s="132">
        <v>41</v>
      </c>
      <c r="B43" s="126">
        <f t="shared" si="0"/>
        <v>45423</v>
      </c>
      <c r="C43" s="127">
        <f>YEAR(GC[[#This Row],[Date]])+IF(MONTH(GC[[#This Row],[Date]])&gt;=4,1,0)</f>
        <v>2025</v>
      </c>
      <c r="D43" s="128">
        <f>YEAR(GC[[#This Row],[Date]])</f>
        <v>2024</v>
      </c>
      <c r="E43" s="125" t="s">
        <v>156</v>
      </c>
      <c r="F43" s="125" t="s">
        <v>156</v>
      </c>
      <c r="G43" s="129" t="str">
        <f>TEXT(GC[[#This Row],[Date]],"mmm-yy")</f>
        <v>May-24</v>
      </c>
      <c r="H43" s="129">
        <f>DAY(EOMONTH(GC[[#This Row],[Month Year]],0))</f>
        <v>31</v>
      </c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25"/>
      <c r="T43" s="125"/>
      <c r="U43" s="125"/>
      <c r="V43" s="125"/>
      <c r="W43" s="125"/>
      <c r="X43" s="125"/>
      <c r="Y43" s="4">
        <f>SUM(GC[[#This Row],[ICR1]:[ICR14]])</f>
        <v>0</v>
      </c>
      <c r="Z43" s="132"/>
      <c r="AA43" s="132"/>
    </row>
    <row r="44" spans="1:27">
      <c r="A44" s="132">
        <v>42</v>
      </c>
      <c r="B44" s="126">
        <f t="shared" si="0"/>
        <v>45424</v>
      </c>
      <c r="C44" s="127">
        <f>YEAR(GC[[#This Row],[Date]])+IF(MONTH(GC[[#This Row],[Date]])&gt;=4,1,0)</f>
        <v>2025</v>
      </c>
      <c r="D44" s="128">
        <f>YEAR(GC[[#This Row],[Date]])</f>
        <v>2024</v>
      </c>
      <c r="E44" s="125" t="s">
        <v>156</v>
      </c>
      <c r="F44" s="125" t="s">
        <v>156</v>
      </c>
      <c r="G44" s="129" t="str">
        <f>TEXT(GC[[#This Row],[Date]],"mmm-yy")</f>
        <v>May-24</v>
      </c>
      <c r="H44" s="129">
        <f>DAY(EOMONTH(GC[[#This Row],[Month Year]],0))</f>
        <v>31</v>
      </c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25"/>
      <c r="T44" s="125"/>
      <c r="U44" s="125"/>
      <c r="V44" s="125"/>
      <c r="W44" s="125"/>
      <c r="X44" s="125"/>
      <c r="Y44" s="4">
        <f>SUM(GC[[#This Row],[ICR1]:[ICR14]])</f>
        <v>0</v>
      </c>
      <c r="Z44" s="132"/>
      <c r="AA44" s="132"/>
    </row>
    <row r="45" spans="1:27">
      <c r="A45" s="132">
        <v>43</v>
      </c>
      <c r="B45" s="126">
        <f t="shared" si="0"/>
        <v>45425</v>
      </c>
      <c r="C45" s="127">
        <f>YEAR(GC[[#This Row],[Date]])+IF(MONTH(GC[[#This Row],[Date]])&gt;=4,1,0)</f>
        <v>2025</v>
      </c>
      <c r="D45" s="128">
        <f>YEAR(GC[[#This Row],[Date]])</f>
        <v>2024</v>
      </c>
      <c r="E45" s="125" t="s">
        <v>156</v>
      </c>
      <c r="F45" s="125" t="s">
        <v>156</v>
      </c>
      <c r="G45" s="129" t="str">
        <f>TEXT(GC[[#This Row],[Date]],"mmm-yy")</f>
        <v>May-24</v>
      </c>
      <c r="H45" s="129">
        <f>DAY(EOMONTH(GC[[#This Row],[Month Year]],0))</f>
        <v>31</v>
      </c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25"/>
      <c r="T45" s="125"/>
      <c r="U45" s="125"/>
      <c r="V45" s="125"/>
      <c r="W45" s="125"/>
      <c r="X45" s="125"/>
      <c r="Y45" s="4">
        <f>SUM(GC[[#This Row],[ICR1]:[ICR14]])</f>
        <v>0</v>
      </c>
      <c r="Z45" s="132"/>
      <c r="AA45" s="132"/>
    </row>
    <row r="46" spans="1:27">
      <c r="A46" s="132">
        <v>44</v>
      </c>
      <c r="B46" s="126">
        <f t="shared" si="0"/>
        <v>45426</v>
      </c>
      <c r="C46" s="127">
        <f>YEAR(GC[[#This Row],[Date]])+IF(MONTH(GC[[#This Row],[Date]])&gt;=4,1,0)</f>
        <v>2025</v>
      </c>
      <c r="D46" s="128">
        <f>YEAR(GC[[#This Row],[Date]])</f>
        <v>2024</v>
      </c>
      <c r="E46" s="125" t="s">
        <v>156</v>
      </c>
      <c r="F46" s="125" t="s">
        <v>156</v>
      </c>
      <c r="G46" s="129" t="str">
        <f>TEXT(GC[[#This Row],[Date]],"mmm-yy")</f>
        <v>May-24</v>
      </c>
      <c r="H46" s="129">
        <f>DAY(EOMONTH(GC[[#This Row],[Month Year]],0))</f>
        <v>31</v>
      </c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25"/>
      <c r="T46" s="125"/>
      <c r="U46" s="125"/>
      <c r="V46" s="125"/>
      <c r="W46" s="125"/>
      <c r="X46" s="125"/>
      <c r="Y46" s="4">
        <f>SUM(GC[[#This Row],[ICR1]:[ICR14]])</f>
        <v>0</v>
      </c>
      <c r="Z46" s="132"/>
      <c r="AA46" s="132"/>
    </row>
    <row r="47" spans="1:27">
      <c r="A47" s="132">
        <v>45</v>
      </c>
      <c r="B47" s="126">
        <f t="shared" si="0"/>
        <v>45427</v>
      </c>
      <c r="C47" s="127">
        <f>YEAR(GC[[#This Row],[Date]])+IF(MONTH(GC[[#This Row],[Date]])&gt;=4,1,0)</f>
        <v>2025</v>
      </c>
      <c r="D47" s="128">
        <f>YEAR(GC[[#This Row],[Date]])</f>
        <v>2024</v>
      </c>
      <c r="E47" s="125" t="s">
        <v>156</v>
      </c>
      <c r="F47" s="125" t="s">
        <v>156</v>
      </c>
      <c r="G47" s="129" t="str">
        <f>TEXT(GC[[#This Row],[Date]],"mmm-yy")</f>
        <v>May-24</v>
      </c>
      <c r="H47" s="129">
        <f>DAY(EOMONTH(GC[[#This Row],[Month Year]],0))</f>
        <v>31</v>
      </c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25"/>
      <c r="T47" s="125"/>
      <c r="U47" s="125"/>
      <c r="V47" s="125"/>
      <c r="W47" s="125"/>
      <c r="X47" s="125"/>
      <c r="Y47" s="4">
        <f>SUM(GC[[#This Row],[ICR1]:[ICR14]])</f>
        <v>0</v>
      </c>
      <c r="Z47" s="132"/>
      <c r="AA47" s="132"/>
    </row>
    <row r="48" spans="1:27">
      <c r="A48" s="132">
        <v>46</v>
      </c>
      <c r="B48" s="126">
        <f t="shared" si="0"/>
        <v>45428</v>
      </c>
      <c r="C48" s="127">
        <f>YEAR(GC[[#This Row],[Date]])+IF(MONTH(GC[[#This Row],[Date]])&gt;=4,1,0)</f>
        <v>2025</v>
      </c>
      <c r="D48" s="128">
        <f>YEAR(GC[[#This Row],[Date]])</f>
        <v>2024</v>
      </c>
      <c r="E48" s="125" t="s">
        <v>156</v>
      </c>
      <c r="F48" s="125" t="s">
        <v>156</v>
      </c>
      <c r="G48" s="129" t="str">
        <f>TEXT(GC[[#This Row],[Date]],"mmm-yy")</f>
        <v>May-24</v>
      </c>
      <c r="H48" s="129">
        <f>DAY(EOMONTH(GC[[#This Row],[Month Year]],0))</f>
        <v>31</v>
      </c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25"/>
      <c r="T48" s="125"/>
      <c r="U48" s="125"/>
      <c r="V48" s="125"/>
      <c r="W48" s="125"/>
      <c r="X48" s="125"/>
      <c r="Y48" s="4">
        <f>SUM(GC[[#This Row],[ICR1]:[ICR14]])</f>
        <v>0</v>
      </c>
      <c r="Z48" s="132"/>
      <c r="AA48" s="132"/>
    </row>
    <row r="49" spans="1:27">
      <c r="A49" s="132">
        <v>47</v>
      </c>
      <c r="B49" s="126">
        <f t="shared" si="0"/>
        <v>45429</v>
      </c>
      <c r="C49" s="127">
        <f>YEAR(GC[[#This Row],[Date]])+IF(MONTH(GC[[#This Row],[Date]])&gt;=4,1,0)</f>
        <v>2025</v>
      </c>
      <c r="D49" s="128">
        <f>YEAR(GC[[#This Row],[Date]])</f>
        <v>2024</v>
      </c>
      <c r="E49" s="125" t="s">
        <v>156</v>
      </c>
      <c r="F49" s="125" t="s">
        <v>156</v>
      </c>
      <c r="G49" s="129" t="str">
        <f>TEXT(GC[[#This Row],[Date]],"mmm-yy")</f>
        <v>May-24</v>
      </c>
      <c r="H49" s="129">
        <f>DAY(EOMONTH(GC[[#This Row],[Month Year]],0))</f>
        <v>31</v>
      </c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25"/>
      <c r="T49" s="125"/>
      <c r="U49" s="125"/>
      <c r="V49" s="125"/>
      <c r="W49" s="125"/>
      <c r="X49" s="125"/>
      <c r="Y49" s="4">
        <f>SUM(GC[[#This Row],[ICR1]:[ICR14]])</f>
        <v>0</v>
      </c>
      <c r="Z49" s="132"/>
      <c r="AA49" s="132"/>
    </row>
    <row r="50" spans="1:27">
      <c r="A50" s="132">
        <v>48</v>
      </c>
      <c r="B50" s="126">
        <f t="shared" si="0"/>
        <v>45430</v>
      </c>
      <c r="C50" s="127">
        <f>YEAR(GC[[#This Row],[Date]])+IF(MONTH(GC[[#This Row],[Date]])&gt;=4,1,0)</f>
        <v>2025</v>
      </c>
      <c r="D50" s="128">
        <f>YEAR(GC[[#This Row],[Date]])</f>
        <v>2024</v>
      </c>
      <c r="E50" s="125" t="s">
        <v>156</v>
      </c>
      <c r="F50" s="125" t="s">
        <v>156</v>
      </c>
      <c r="G50" s="129" t="str">
        <f>TEXT(GC[[#This Row],[Date]],"mmm-yy")</f>
        <v>May-24</v>
      </c>
      <c r="H50" s="129">
        <f>DAY(EOMONTH(GC[[#This Row],[Month Year]],0))</f>
        <v>31</v>
      </c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25"/>
      <c r="T50" s="125"/>
      <c r="U50" s="125"/>
      <c r="V50" s="125"/>
      <c r="W50" s="125"/>
      <c r="X50" s="125"/>
      <c r="Y50" s="4">
        <f>SUM(GC[[#This Row],[ICR1]:[ICR14]])</f>
        <v>0</v>
      </c>
      <c r="Z50" s="132"/>
      <c r="AA50" s="132"/>
    </row>
    <row r="51" spans="1:27">
      <c r="A51" s="132">
        <v>49</v>
      </c>
      <c r="B51" s="126">
        <f t="shared" si="0"/>
        <v>45431</v>
      </c>
      <c r="C51" s="127">
        <f>YEAR(GC[[#This Row],[Date]])+IF(MONTH(GC[[#This Row],[Date]])&gt;=4,1,0)</f>
        <v>2025</v>
      </c>
      <c r="D51" s="128">
        <f>YEAR(GC[[#This Row],[Date]])</f>
        <v>2024</v>
      </c>
      <c r="E51" s="125" t="s">
        <v>156</v>
      </c>
      <c r="F51" s="125" t="s">
        <v>156</v>
      </c>
      <c r="G51" s="129" t="str">
        <f>TEXT(GC[[#This Row],[Date]],"mmm-yy")</f>
        <v>May-24</v>
      </c>
      <c r="H51" s="129">
        <f>DAY(EOMONTH(GC[[#This Row],[Month Year]],0))</f>
        <v>31</v>
      </c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25"/>
      <c r="T51" s="125"/>
      <c r="U51" s="125"/>
      <c r="V51" s="125"/>
      <c r="W51" s="125"/>
      <c r="X51" s="125"/>
      <c r="Y51" s="4">
        <f>SUM(GC[[#This Row],[ICR1]:[ICR14]])</f>
        <v>0</v>
      </c>
      <c r="Z51" s="132"/>
      <c r="AA51" s="132"/>
    </row>
    <row r="52" spans="1:27">
      <c r="A52" s="132">
        <v>50</v>
      </c>
      <c r="B52" s="126">
        <f t="shared" si="0"/>
        <v>45432</v>
      </c>
      <c r="C52" s="127">
        <f>YEAR(GC[[#This Row],[Date]])+IF(MONTH(GC[[#This Row],[Date]])&gt;=4,1,0)</f>
        <v>2025</v>
      </c>
      <c r="D52" s="128">
        <f>YEAR(GC[[#This Row],[Date]])</f>
        <v>2024</v>
      </c>
      <c r="E52" s="125" t="s">
        <v>156</v>
      </c>
      <c r="F52" s="125" t="s">
        <v>156</v>
      </c>
      <c r="G52" s="129" t="str">
        <f>TEXT(GC[[#This Row],[Date]],"mmm-yy")</f>
        <v>May-24</v>
      </c>
      <c r="H52" s="129">
        <f>DAY(EOMONTH(GC[[#This Row],[Month Year]],0))</f>
        <v>31</v>
      </c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25"/>
      <c r="T52" s="125"/>
      <c r="U52" s="125"/>
      <c r="V52" s="125"/>
      <c r="W52" s="125"/>
      <c r="X52" s="125"/>
      <c r="Y52" s="4">
        <f>SUM(GC[[#This Row],[ICR1]:[ICR14]])</f>
        <v>0</v>
      </c>
      <c r="Z52" s="132"/>
      <c r="AA52" s="132"/>
    </row>
    <row r="53" spans="1:27">
      <c r="A53" s="132">
        <v>51</v>
      </c>
      <c r="B53" s="126">
        <f t="shared" si="0"/>
        <v>45433</v>
      </c>
      <c r="C53" s="127">
        <f>YEAR(GC[[#This Row],[Date]])+IF(MONTH(GC[[#This Row],[Date]])&gt;=4,1,0)</f>
        <v>2025</v>
      </c>
      <c r="D53" s="128">
        <f>YEAR(GC[[#This Row],[Date]])</f>
        <v>2024</v>
      </c>
      <c r="E53" s="125" t="s">
        <v>156</v>
      </c>
      <c r="F53" s="125" t="s">
        <v>156</v>
      </c>
      <c r="G53" s="129" t="str">
        <f>TEXT(GC[[#This Row],[Date]],"mmm-yy")</f>
        <v>May-24</v>
      </c>
      <c r="H53" s="129">
        <f>DAY(EOMONTH(GC[[#This Row],[Month Year]],0))</f>
        <v>31</v>
      </c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25"/>
      <c r="T53" s="125"/>
      <c r="U53" s="125"/>
      <c r="V53" s="125"/>
      <c r="W53" s="125"/>
      <c r="X53" s="125"/>
      <c r="Y53" s="4">
        <f>SUM(GC[[#This Row],[ICR1]:[ICR14]])</f>
        <v>0</v>
      </c>
      <c r="Z53" s="132"/>
      <c r="AA53" s="132"/>
    </row>
    <row r="54" spans="1:27">
      <c r="A54" s="132">
        <v>52</v>
      </c>
      <c r="B54" s="126">
        <f t="shared" si="0"/>
        <v>45434</v>
      </c>
      <c r="C54" s="127">
        <f>YEAR(GC[[#This Row],[Date]])+IF(MONTH(GC[[#This Row],[Date]])&gt;=4,1,0)</f>
        <v>2025</v>
      </c>
      <c r="D54" s="128">
        <f>YEAR(GC[[#This Row],[Date]])</f>
        <v>2024</v>
      </c>
      <c r="E54" s="125" t="s">
        <v>156</v>
      </c>
      <c r="F54" s="125" t="s">
        <v>156</v>
      </c>
      <c r="G54" s="129" t="str">
        <f>TEXT(GC[[#This Row],[Date]],"mmm-yy")</f>
        <v>May-24</v>
      </c>
      <c r="H54" s="129">
        <f>DAY(EOMONTH(GC[[#This Row],[Month Year]],0))</f>
        <v>31</v>
      </c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25"/>
      <c r="T54" s="125"/>
      <c r="U54" s="125"/>
      <c r="V54" s="125"/>
      <c r="W54" s="125"/>
      <c r="X54" s="125"/>
      <c r="Y54" s="4">
        <f>SUM(GC[[#This Row],[ICR1]:[ICR14]])</f>
        <v>0</v>
      </c>
      <c r="Z54" s="132"/>
      <c r="AA54" s="132"/>
    </row>
    <row r="55" spans="1:27">
      <c r="A55" s="132">
        <v>53</v>
      </c>
      <c r="B55" s="126">
        <f t="shared" si="0"/>
        <v>45435</v>
      </c>
      <c r="C55" s="127">
        <f>YEAR(GC[[#This Row],[Date]])+IF(MONTH(GC[[#This Row],[Date]])&gt;=4,1,0)</f>
        <v>2025</v>
      </c>
      <c r="D55" s="128">
        <f>YEAR(GC[[#This Row],[Date]])</f>
        <v>2024</v>
      </c>
      <c r="E55" s="125" t="s">
        <v>156</v>
      </c>
      <c r="F55" s="125" t="s">
        <v>156</v>
      </c>
      <c r="G55" s="129" t="str">
        <f>TEXT(GC[[#This Row],[Date]],"mmm-yy")</f>
        <v>May-24</v>
      </c>
      <c r="H55" s="129">
        <f>DAY(EOMONTH(GC[[#This Row],[Month Year]],0))</f>
        <v>31</v>
      </c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25"/>
      <c r="T55" s="125"/>
      <c r="U55" s="125"/>
      <c r="V55" s="125"/>
      <c r="W55" s="125"/>
      <c r="X55" s="125"/>
      <c r="Y55" s="4">
        <f>SUM(GC[[#This Row],[ICR1]:[ICR14]])</f>
        <v>0</v>
      </c>
      <c r="Z55" s="132"/>
      <c r="AA55" s="132"/>
    </row>
    <row r="56" spans="1:27">
      <c r="A56" s="132">
        <v>54</v>
      </c>
      <c r="B56" s="126">
        <f t="shared" si="0"/>
        <v>45436</v>
      </c>
      <c r="C56" s="127">
        <f>YEAR(GC[[#This Row],[Date]])+IF(MONTH(GC[[#This Row],[Date]])&gt;=4,1,0)</f>
        <v>2025</v>
      </c>
      <c r="D56" s="128">
        <f>YEAR(GC[[#This Row],[Date]])</f>
        <v>2024</v>
      </c>
      <c r="E56" s="125" t="s">
        <v>156</v>
      </c>
      <c r="F56" s="125" t="s">
        <v>156</v>
      </c>
      <c r="G56" s="129" t="str">
        <f>TEXT(GC[[#This Row],[Date]],"mmm-yy")</f>
        <v>May-24</v>
      </c>
      <c r="H56" s="129">
        <f>DAY(EOMONTH(GC[[#This Row],[Month Year]],0))</f>
        <v>31</v>
      </c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25"/>
      <c r="T56" s="125"/>
      <c r="U56" s="125"/>
      <c r="V56" s="125"/>
      <c r="W56" s="125"/>
      <c r="X56" s="125"/>
      <c r="Y56" s="4">
        <f>SUM(GC[[#This Row],[ICR1]:[ICR14]])</f>
        <v>0</v>
      </c>
      <c r="Z56" s="132"/>
      <c r="AA56" s="132"/>
    </row>
    <row r="57" spans="1:27">
      <c r="A57" s="132">
        <v>55</v>
      </c>
      <c r="B57" s="126">
        <f t="shared" si="0"/>
        <v>45437</v>
      </c>
      <c r="C57" s="127">
        <f>YEAR(GC[[#This Row],[Date]])+IF(MONTH(GC[[#This Row],[Date]])&gt;=4,1,0)</f>
        <v>2025</v>
      </c>
      <c r="D57" s="128">
        <f>YEAR(GC[[#This Row],[Date]])</f>
        <v>2024</v>
      </c>
      <c r="E57" s="125" t="s">
        <v>156</v>
      </c>
      <c r="F57" s="125" t="s">
        <v>156</v>
      </c>
      <c r="G57" s="129" t="str">
        <f>TEXT(GC[[#This Row],[Date]],"mmm-yy")</f>
        <v>May-24</v>
      </c>
      <c r="H57" s="129">
        <f>DAY(EOMONTH(GC[[#This Row],[Month Year]],0))</f>
        <v>31</v>
      </c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25"/>
      <c r="T57" s="125"/>
      <c r="U57" s="125"/>
      <c r="V57" s="125"/>
      <c r="W57" s="125"/>
      <c r="X57" s="125"/>
      <c r="Y57" s="4">
        <f>SUM(GC[[#This Row],[ICR1]:[ICR14]])</f>
        <v>0</v>
      </c>
      <c r="Z57" s="132"/>
      <c r="AA57" s="132"/>
    </row>
    <row r="58" spans="1:27">
      <c r="A58" s="132">
        <v>56</v>
      </c>
      <c r="B58" s="126">
        <f t="shared" si="0"/>
        <v>45438</v>
      </c>
      <c r="C58" s="127">
        <f>YEAR(GC[[#This Row],[Date]])+IF(MONTH(GC[[#This Row],[Date]])&gt;=4,1,0)</f>
        <v>2025</v>
      </c>
      <c r="D58" s="128">
        <f>YEAR(GC[[#This Row],[Date]])</f>
        <v>2024</v>
      </c>
      <c r="E58" s="125" t="s">
        <v>156</v>
      </c>
      <c r="F58" s="125" t="s">
        <v>156</v>
      </c>
      <c r="G58" s="129" t="str">
        <f>TEXT(GC[[#This Row],[Date]],"mmm-yy")</f>
        <v>May-24</v>
      </c>
      <c r="H58" s="129">
        <f>DAY(EOMONTH(GC[[#This Row],[Month Year]],0))</f>
        <v>31</v>
      </c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25"/>
      <c r="T58" s="125"/>
      <c r="U58" s="125"/>
      <c r="V58" s="125"/>
      <c r="W58" s="125"/>
      <c r="X58" s="125"/>
      <c r="Y58" s="4">
        <f>SUM(GC[[#This Row],[ICR1]:[ICR14]])</f>
        <v>0</v>
      </c>
      <c r="Z58" s="132"/>
      <c r="AA58" s="132"/>
    </row>
    <row r="59" spans="1:27">
      <c r="A59" s="132">
        <v>57</v>
      </c>
      <c r="B59" s="126">
        <f t="shared" si="0"/>
        <v>45439</v>
      </c>
      <c r="C59" s="127">
        <f>YEAR(GC[[#This Row],[Date]])+IF(MONTH(GC[[#This Row],[Date]])&gt;=4,1,0)</f>
        <v>2025</v>
      </c>
      <c r="D59" s="128">
        <f>YEAR(GC[[#This Row],[Date]])</f>
        <v>2024</v>
      </c>
      <c r="E59" s="125" t="s">
        <v>156</v>
      </c>
      <c r="F59" s="125" t="s">
        <v>156</v>
      </c>
      <c r="G59" s="129" t="str">
        <f>TEXT(GC[[#This Row],[Date]],"mmm-yy")</f>
        <v>May-24</v>
      </c>
      <c r="H59" s="129">
        <f>DAY(EOMONTH(GC[[#This Row],[Month Year]],0))</f>
        <v>31</v>
      </c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25"/>
      <c r="T59" s="125"/>
      <c r="U59" s="125"/>
      <c r="V59" s="125"/>
      <c r="W59" s="125"/>
      <c r="X59" s="125"/>
      <c r="Y59" s="4">
        <f>SUM(GC[[#This Row],[ICR1]:[ICR14]])</f>
        <v>0</v>
      </c>
      <c r="Z59" s="132"/>
      <c r="AA59" s="132"/>
    </row>
    <row r="60" spans="1:27">
      <c r="A60" s="132">
        <v>58</v>
      </c>
      <c r="B60" s="126">
        <f t="shared" si="0"/>
        <v>45440</v>
      </c>
      <c r="C60" s="127">
        <f>YEAR(GC[[#This Row],[Date]])+IF(MONTH(GC[[#This Row],[Date]])&gt;=4,1,0)</f>
        <v>2025</v>
      </c>
      <c r="D60" s="128">
        <f>YEAR(GC[[#This Row],[Date]])</f>
        <v>2024</v>
      </c>
      <c r="E60" s="125" t="s">
        <v>156</v>
      </c>
      <c r="F60" s="125" t="s">
        <v>156</v>
      </c>
      <c r="G60" s="129" t="str">
        <f>TEXT(GC[[#This Row],[Date]],"mmm-yy")</f>
        <v>May-24</v>
      </c>
      <c r="H60" s="129">
        <f>DAY(EOMONTH(GC[[#This Row],[Month Year]],0))</f>
        <v>31</v>
      </c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25"/>
      <c r="T60" s="125"/>
      <c r="U60" s="125"/>
      <c r="V60" s="125"/>
      <c r="W60" s="125"/>
      <c r="X60" s="125"/>
      <c r="Y60" s="4">
        <f>SUM(GC[[#This Row],[ICR1]:[ICR14]])</f>
        <v>0</v>
      </c>
      <c r="Z60" s="132"/>
      <c r="AA60" s="132"/>
    </row>
    <row r="61" spans="1:27">
      <c r="A61" s="132">
        <v>59</v>
      </c>
      <c r="B61" s="126">
        <f t="shared" si="0"/>
        <v>45441</v>
      </c>
      <c r="C61" s="127">
        <f>YEAR(GC[[#This Row],[Date]])+IF(MONTH(GC[[#This Row],[Date]])&gt;=4,1,0)</f>
        <v>2025</v>
      </c>
      <c r="D61" s="128">
        <f>YEAR(GC[[#This Row],[Date]])</f>
        <v>2024</v>
      </c>
      <c r="E61" s="125" t="s">
        <v>156</v>
      </c>
      <c r="F61" s="125" t="s">
        <v>156</v>
      </c>
      <c r="G61" s="129" t="str">
        <f>TEXT(GC[[#This Row],[Date]],"mmm-yy")</f>
        <v>May-24</v>
      </c>
      <c r="H61" s="129">
        <f>DAY(EOMONTH(GC[[#This Row],[Month Year]],0))</f>
        <v>31</v>
      </c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25"/>
      <c r="T61" s="125"/>
      <c r="U61" s="125"/>
      <c r="V61" s="125"/>
      <c r="W61" s="125"/>
      <c r="X61" s="125"/>
      <c r="Y61" s="4">
        <f>SUM(GC[[#This Row],[ICR1]:[ICR14]])</f>
        <v>0</v>
      </c>
      <c r="Z61" s="132"/>
      <c r="AA61" s="132"/>
    </row>
    <row r="62" spans="1:27">
      <c r="A62" s="132">
        <v>60</v>
      </c>
      <c r="B62" s="126">
        <f t="shared" si="0"/>
        <v>45442</v>
      </c>
      <c r="C62" s="127">
        <f>YEAR(GC[[#This Row],[Date]])+IF(MONTH(GC[[#This Row],[Date]])&gt;=4,1,0)</f>
        <v>2025</v>
      </c>
      <c r="D62" s="128">
        <f>YEAR(GC[[#This Row],[Date]])</f>
        <v>2024</v>
      </c>
      <c r="E62" s="125" t="s">
        <v>156</v>
      </c>
      <c r="F62" s="125" t="s">
        <v>156</v>
      </c>
      <c r="G62" s="129" t="str">
        <f>TEXT(GC[[#This Row],[Date]],"mmm-yy")</f>
        <v>May-24</v>
      </c>
      <c r="H62" s="129">
        <f>DAY(EOMONTH(GC[[#This Row],[Month Year]],0))</f>
        <v>31</v>
      </c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25"/>
      <c r="T62" s="125"/>
      <c r="U62" s="125"/>
      <c r="V62" s="125"/>
      <c r="W62" s="125"/>
      <c r="X62" s="125"/>
      <c r="Y62" s="4">
        <f>SUM(GC[[#This Row],[ICR1]:[ICR14]])</f>
        <v>0</v>
      </c>
      <c r="Z62" s="132"/>
      <c r="AA62" s="132"/>
    </row>
    <row r="63" spans="1:27">
      <c r="A63" s="132">
        <v>61</v>
      </c>
      <c r="B63" s="126">
        <f t="shared" si="0"/>
        <v>45443</v>
      </c>
      <c r="C63" s="127">
        <f>YEAR(GC[[#This Row],[Date]])+IF(MONTH(GC[[#This Row],[Date]])&gt;=4,1,0)</f>
        <v>2025</v>
      </c>
      <c r="D63" s="128">
        <f>YEAR(GC[[#This Row],[Date]])</f>
        <v>2024</v>
      </c>
      <c r="E63" s="125" t="s">
        <v>156</v>
      </c>
      <c r="F63" s="125" t="s">
        <v>156</v>
      </c>
      <c r="G63" s="129" t="str">
        <f>TEXT(GC[[#This Row],[Date]],"mmm-yy")</f>
        <v>May-24</v>
      </c>
      <c r="H63" s="129">
        <f>DAY(EOMONTH(GC[[#This Row],[Month Year]],0))</f>
        <v>31</v>
      </c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25"/>
      <c r="T63" s="125"/>
      <c r="U63" s="125"/>
      <c r="V63" s="125"/>
      <c r="W63" s="125"/>
      <c r="X63" s="125"/>
      <c r="Y63" s="4">
        <f>SUM(GC[[#This Row],[ICR1]:[ICR14]])</f>
        <v>0</v>
      </c>
      <c r="Z63" s="132"/>
      <c r="AA63" s="132"/>
    </row>
    <row r="64" spans="1:27">
      <c r="A64" s="132">
        <v>62</v>
      </c>
      <c r="B64" s="126">
        <f t="shared" si="0"/>
        <v>45444</v>
      </c>
      <c r="C64" s="127">
        <f>YEAR(GC[[#This Row],[Date]])+IF(MONTH(GC[[#This Row],[Date]])&gt;=4,1,0)</f>
        <v>2025</v>
      </c>
      <c r="D64" s="128">
        <f>YEAR(GC[[#This Row],[Date]])</f>
        <v>2024</v>
      </c>
      <c r="E64" s="125" t="s">
        <v>156</v>
      </c>
      <c r="F64" s="125" t="s">
        <v>156</v>
      </c>
      <c r="G64" s="129" t="str">
        <f>TEXT(GC[[#This Row],[Date]],"mmm-yy")</f>
        <v>Jun-24</v>
      </c>
      <c r="H64" s="129">
        <f>DAY(EOMONTH(GC[[#This Row],[Month Year]],0))</f>
        <v>30</v>
      </c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25"/>
      <c r="T64" s="125"/>
      <c r="U64" s="125"/>
      <c r="V64" s="125"/>
      <c r="W64" s="125"/>
      <c r="X64" s="125"/>
      <c r="Y64" s="4">
        <f>SUM(GC[[#This Row],[ICR1]:[ICR14]])</f>
        <v>0</v>
      </c>
      <c r="Z64" s="132"/>
      <c r="AA64" s="132"/>
    </row>
    <row r="65" spans="1:27">
      <c r="A65" s="132">
        <v>63</v>
      </c>
      <c r="B65" s="126">
        <f t="shared" si="0"/>
        <v>45445</v>
      </c>
      <c r="C65" s="127">
        <f>YEAR(GC[[#This Row],[Date]])+IF(MONTH(GC[[#This Row],[Date]])&gt;=4,1,0)</f>
        <v>2025</v>
      </c>
      <c r="D65" s="128">
        <f>YEAR(GC[[#This Row],[Date]])</f>
        <v>2024</v>
      </c>
      <c r="E65" s="125" t="s">
        <v>156</v>
      </c>
      <c r="F65" s="125" t="s">
        <v>156</v>
      </c>
      <c r="G65" s="129" t="str">
        <f>TEXT(GC[[#This Row],[Date]],"mmm-yy")</f>
        <v>Jun-24</v>
      </c>
      <c r="H65" s="129">
        <f>DAY(EOMONTH(GC[[#This Row],[Month Year]],0))</f>
        <v>30</v>
      </c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25"/>
      <c r="T65" s="125"/>
      <c r="U65" s="125"/>
      <c r="V65" s="125"/>
      <c r="W65" s="125"/>
      <c r="X65" s="125"/>
      <c r="Y65" s="4">
        <f>SUM(GC[[#This Row],[ICR1]:[ICR14]])</f>
        <v>0</v>
      </c>
      <c r="Z65" s="132"/>
      <c r="AA65" s="132"/>
    </row>
    <row r="66" spans="1:27">
      <c r="A66" s="132">
        <v>64</v>
      </c>
      <c r="B66" s="126">
        <f t="shared" si="0"/>
        <v>45446</v>
      </c>
      <c r="C66" s="127">
        <f>YEAR(GC[[#This Row],[Date]])+IF(MONTH(GC[[#This Row],[Date]])&gt;=4,1,0)</f>
        <v>2025</v>
      </c>
      <c r="D66" s="128">
        <f>YEAR(GC[[#This Row],[Date]])</f>
        <v>2024</v>
      </c>
      <c r="E66" s="125" t="s">
        <v>156</v>
      </c>
      <c r="F66" s="125" t="s">
        <v>156</v>
      </c>
      <c r="G66" s="129" t="str">
        <f>TEXT(GC[[#This Row],[Date]],"mmm-yy")</f>
        <v>Jun-24</v>
      </c>
      <c r="H66" s="129">
        <f>DAY(EOMONTH(GC[[#This Row],[Month Year]],0))</f>
        <v>30</v>
      </c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25"/>
      <c r="T66" s="125"/>
      <c r="U66" s="125"/>
      <c r="V66" s="125"/>
      <c r="W66" s="125"/>
      <c r="X66" s="125"/>
      <c r="Y66" s="4">
        <f>SUM(GC[[#This Row],[ICR1]:[ICR14]])</f>
        <v>0</v>
      </c>
      <c r="Z66" s="132"/>
      <c r="AA66" s="132"/>
    </row>
    <row r="67" spans="1:27">
      <c r="A67" s="132">
        <v>65</v>
      </c>
      <c r="B67" s="126">
        <f t="shared" si="0"/>
        <v>45447</v>
      </c>
      <c r="C67" s="127">
        <f>YEAR(GC[[#This Row],[Date]])+IF(MONTH(GC[[#This Row],[Date]])&gt;=4,1,0)</f>
        <v>2025</v>
      </c>
      <c r="D67" s="128">
        <f>YEAR(GC[[#This Row],[Date]])</f>
        <v>2024</v>
      </c>
      <c r="E67" s="125" t="s">
        <v>156</v>
      </c>
      <c r="F67" s="125" t="s">
        <v>156</v>
      </c>
      <c r="G67" s="129" t="str">
        <f>TEXT(GC[[#This Row],[Date]],"mmm-yy")</f>
        <v>Jun-24</v>
      </c>
      <c r="H67" s="129">
        <f>DAY(EOMONTH(GC[[#This Row],[Month Year]],0))</f>
        <v>30</v>
      </c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25"/>
      <c r="T67" s="125"/>
      <c r="U67" s="125"/>
      <c r="V67" s="125"/>
      <c r="W67" s="125"/>
      <c r="X67" s="125"/>
      <c r="Y67" s="4">
        <f>SUM(GC[[#This Row],[ICR1]:[ICR14]])</f>
        <v>0</v>
      </c>
      <c r="Z67" s="132"/>
      <c r="AA67" s="132"/>
    </row>
    <row r="68" spans="1:27">
      <c r="A68" s="132">
        <v>66</v>
      </c>
      <c r="B68" s="126">
        <f t="shared" si="0"/>
        <v>45448</v>
      </c>
      <c r="C68" s="127">
        <f>YEAR(GC[[#This Row],[Date]])+IF(MONTH(GC[[#This Row],[Date]])&gt;=4,1,0)</f>
        <v>2025</v>
      </c>
      <c r="D68" s="128">
        <f>YEAR(GC[[#This Row],[Date]])</f>
        <v>2024</v>
      </c>
      <c r="E68" s="125" t="s">
        <v>156</v>
      </c>
      <c r="F68" s="125" t="s">
        <v>156</v>
      </c>
      <c r="G68" s="129" t="str">
        <f>TEXT(GC[[#This Row],[Date]],"mmm-yy")</f>
        <v>Jun-24</v>
      </c>
      <c r="H68" s="129">
        <f>DAY(EOMONTH(GC[[#This Row],[Month Year]],0))</f>
        <v>30</v>
      </c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25"/>
      <c r="T68" s="125"/>
      <c r="U68" s="125"/>
      <c r="V68" s="125"/>
      <c r="W68" s="125"/>
      <c r="X68" s="125"/>
      <c r="Y68" s="4">
        <f>SUM(GC[[#This Row],[ICR1]:[ICR14]])</f>
        <v>0</v>
      </c>
      <c r="Z68" s="132"/>
      <c r="AA68" s="132"/>
    </row>
    <row r="69" spans="1:27">
      <c r="A69" s="132">
        <v>67</v>
      </c>
      <c r="B69" s="126">
        <f t="shared" ref="B69:B132" si="1">B68+1</f>
        <v>45449</v>
      </c>
      <c r="C69" s="127">
        <f>YEAR(GC[[#This Row],[Date]])+IF(MONTH(GC[[#This Row],[Date]])&gt;=4,1,0)</f>
        <v>2025</v>
      </c>
      <c r="D69" s="128">
        <f>YEAR(GC[[#This Row],[Date]])</f>
        <v>2024</v>
      </c>
      <c r="E69" s="125" t="s">
        <v>156</v>
      </c>
      <c r="F69" s="125" t="s">
        <v>156</v>
      </c>
      <c r="G69" s="129" t="str">
        <f>TEXT(GC[[#This Row],[Date]],"mmm-yy")</f>
        <v>Jun-24</v>
      </c>
      <c r="H69" s="129">
        <f>DAY(EOMONTH(GC[[#This Row],[Month Year]],0))</f>
        <v>30</v>
      </c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25"/>
      <c r="T69" s="125"/>
      <c r="U69" s="125"/>
      <c r="V69" s="125"/>
      <c r="W69" s="125"/>
      <c r="X69" s="125"/>
      <c r="Y69" s="4">
        <f>SUM(GC[[#This Row],[ICR1]:[ICR14]])</f>
        <v>0</v>
      </c>
      <c r="Z69" s="132"/>
      <c r="AA69" s="132"/>
    </row>
    <row r="70" spans="1:27">
      <c r="A70" s="132">
        <v>68</v>
      </c>
      <c r="B70" s="126">
        <f t="shared" si="1"/>
        <v>45450</v>
      </c>
      <c r="C70" s="127">
        <f>YEAR(GC[[#This Row],[Date]])+IF(MONTH(GC[[#This Row],[Date]])&gt;=4,1,0)</f>
        <v>2025</v>
      </c>
      <c r="D70" s="128">
        <f>YEAR(GC[[#This Row],[Date]])</f>
        <v>2024</v>
      </c>
      <c r="E70" s="125" t="s">
        <v>156</v>
      </c>
      <c r="F70" s="125" t="s">
        <v>156</v>
      </c>
      <c r="G70" s="129" t="str">
        <f>TEXT(GC[[#This Row],[Date]],"mmm-yy")</f>
        <v>Jun-24</v>
      </c>
      <c r="H70" s="129">
        <f>DAY(EOMONTH(GC[[#This Row],[Month Year]],0))</f>
        <v>30</v>
      </c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25"/>
      <c r="T70" s="125"/>
      <c r="U70" s="125"/>
      <c r="V70" s="125"/>
      <c r="W70" s="125"/>
      <c r="X70" s="125"/>
      <c r="Y70" s="4">
        <f>SUM(GC[[#This Row],[ICR1]:[ICR14]])</f>
        <v>0</v>
      </c>
      <c r="Z70" s="132"/>
      <c r="AA70" s="132"/>
    </row>
    <row r="71" spans="1:27">
      <c r="A71" s="132">
        <v>69</v>
      </c>
      <c r="B71" s="126">
        <f t="shared" si="1"/>
        <v>45451</v>
      </c>
      <c r="C71" s="127">
        <f>YEAR(GC[[#This Row],[Date]])+IF(MONTH(GC[[#This Row],[Date]])&gt;=4,1,0)</f>
        <v>2025</v>
      </c>
      <c r="D71" s="128">
        <f>YEAR(GC[[#This Row],[Date]])</f>
        <v>2024</v>
      </c>
      <c r="E71" s="125" t="s">
        <v>156</v>
      </c>
      <c r="F71" s="125" t="s">
        <v>156</v>
      </c>
      <c r="G71" s="129" t="str">
        <f>TEXT(GC[[#This Row],[Date]],"mmm-yy")</f>
        <v>Jun-24</v>
      </c>
      <c r="H71" s="129">
        <f>DAY(EOMONTH(GC[[#This Row],[Month Year]],0))</f>
        <v>30</v>
      </c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25"/>
      <c r="T71" s="125"/>
      <c r="U71" s="125"/>
      <c r="V71" s="125"/>
      <c r="W71" s="125"/>
      <c r="X71" s="125"/>
      <c r="Y71" s="4">
        <f>SUM(GC[[#This Row],[ICR1]:[ICR14]])</f>
        <v>0</v>
      </c>
      <c r="Z71" s="132"/>
      <c r="AA71" s="132"/>
    </row>
    <row r="72" spans="1:27">
      <c r="A72" s="132">
        <v>70</v>
      </c>
      <c r="B72" s="126">
        <f t="shared" si="1"/>
        <v>45452</v>
      </c>
      <c r="C72" s="127">
        <f>YEAR(GC[[#This Row],[Date]])+IF(MONTH(GC[[#This Row],[Date]])&gt;=4,1,0)</f>
        <v>2025</v>
      </c>
      <c r="D72" s="128">
        <f>YEAR(GC[[#This Row],[Date]])</f>
        <v>2024</v>
      </c>
      <c r="E72" s="125" t="s">
        <v>156</v>
      </c>
      <c r="F72" s="125" t="s">
        <v>156</v>
      </c>
      <c r="G72" s="129" t="str">
        <f>TEXT(GC[[#This Row],[Date]],"mmm-yy")</f>
        <v>Jun-24</v>
      </c>
      <c r="H72" s="129">
        <f>DAY(EOMONTH(GC[[#This Row],[Month Year]],0))</f>
        <v>30</v>
      </c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25"/>
      <c r="T72" s="125"/>
      <c r="U72" s="125"/>
      <c r="V72" s="125"/>
      <c r="W72" s="125"/>
      <c r="X72" s="125"/>
      <c r="Y72" s="4">
        <f>SUM(GC[[#This Row],[ICR1]:[ICR14]])</f>
        <v>0</v>
      </c>
      <c r="Z72" s="132"/>
      <c r="AA72" s="132"/>
    </row>
    <row r="73" spans="1:27">
      <c r="A73" s="132">
        <v>71</v>
      </c>
      <c r="B73" s="126">
        <f t="shared" si="1"/>
        <v>45453</v>
      </c>
      <c r="C73" s="127">
        <f>YEAR(GC[[#This Row],[Date]])+IF(MONTH(GC[[#This Row],[Date]])&gt;=4,1,0)</f>
        <v>2025</v>
      </c>
      <c r="D73" s="128">
        <f>YEAR(GC[[#This Row],[Date]])</f>
        <v>2024</v>
      </c>
      <c r="E73" s="125" t="s">
        <v>156</v>
      </c>
      <c r="F73" s="125" t="s">
        <v>156</v>
      </c>
      <c r="G73" s="129" t="str">
        <f>TEXT(GC[[#This Row],[Date]],"mmm-yy")</f>
        <v>Jun-24</v>
      </c>
      <c r="H73" s="129">
        <f>DAY(EOMONTH(GC[[#This Row],[Month Year]],0))</f>
        <v>30</v>
      </c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25"/>
      <c r="T73" s="125"/>
      <c r="U73" s="125"/>
      <c r="V73" s="125"/>
      <c r="W73" s="125"/>
      <c r="X73" s="125"/>
      <c r="Y73" s="4">
        <f>SUM(GC[[#This Row],[ICR1]:[ICR14]])</f>
        <v>0</v>
      </c>
      <c r="Z73" s="132"/>
      <c r="AA73" s="132"/>
    </row>
    <row r="74" spans="1:27">
      <c r="A74" s="132">
        <v>72</v>
      </c>
      <c r="B74" s="126">
        <f t="shared" si="1"/>
        <v>45454</v>
      </c>
      <c r="C74" s="127">
        <f>YEAR(GC[[#This Row],[Date]])+IF(MONTH(GC[[#This Row],[Date]])&gt;=4,1,0)</f>
        <v>2025</v>
      </c>
      <c r="D74" s="128">
        <f>YEAR(GC[[#This Row],[Date]])</f>
        <v>2024</v>
      </c>
      <c r="E74" s="125" t="s">
        <v>156</v>
      </c>
      <c r="F74" s="125" t="s">
        <v>156</v>
      </c>
      <c r="G74" s="129" t="str">
        <f>TEXT(GC[[#This Row],[Date]],"mmm-yy")</f>
        <v>Jun-24</v>
      </c>
      <c r="H74" s="129">
        <f>DAY(EOMONTH(GC[[#This Row],[Month Year]],0))</f>
        <v>30</v>
      </c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25"/>
      <c r="T74" s="125"/>
      <c r="U74" s="125"/>
      <c r="V74" s="125"/>
      <c r="W74" s="125"/>
      <c r="X74" s="125"/>
      <c r="Y74" s="4">
        <f>SUM(GC[[#This Row],[ICR1]:[ICR14]])</f>
        <v>0</v>
      </c>
      <c r="Z74" s="132"/>
      <c r="AA74" s="132"/>
    </row>
    <row r="75" spans="1:27">
      <c r="A75" s="132">
        <v>73</v>
      </c>
      <c r="B75" s="126">
        <f t="shared" si="1"/>
        <v>45455</v>
      </c>
      <c r="C75" s="127">
        <f>YEAR(GC[[#This Row],[Date]])+IF(MONTH(GC[[#This Row],[Date]])&gt;=4,1,0)</f>
        <v>2025</v>
      </c>
      <c r="D75" s="128">
        <f>YEAR(GC[[#This Row],[Date]])</f>
        <v>2024</v>
      </c>
      <c r="E75" s="125" t="s">
        <v>156</v>
      </c>
      <c r="F75" s="125" t="s">
        <v>156</v>
      </c>
      <c r="G75" s="129" t="str">
        <f>TEXT(GC[[#This Row],[Date]],"mmm-yy")</f>
        <v>Jun-24</v>
      </c>
      <c r="H75" s="129">
        <f>DAY(EOMONTH(GC[[#This Row],[Month Year]],0))</f>
        <v>30</v>
      </c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25"/>
      <c r="T75" s="125"/>
      <c r="U75" s="125"/>
      <c r="V75" s="125"/>
      <c r="W75" s="125"/>
      <c r="X75" s="125"/>
      <c r="Y75" s="4">
        <f>SUM(GC[[#This Row],[ICR1]:[ICR14]])</f>
        <v>0</v>
      </c>
      <c r="Z75" s="132"/>
      <c r="AA75" s="132"/>
    </row>
    <row r="76" spans="1:27">
      <c r="A76" s="132">
        <v>74</v>
      </c>
      <c r="B76" s="126">
        <f t="shared" si="1"/>
        <v>45456</v>
      </c>
      <c r="C76" s="127">
        <f>YEAR(GC[[#This Row],[Date]])+IF(MONTH(GC[[#This Row],[Date]])&gt;=4,1,0)</f>
        <v>2025</v>
      </c>
      <c r="D76" s="128">
        <f>YEAR(GC[[#This Row],[Date]])</f>
        <v>2024</v>
      </c>
      <c r="E76" s="125" t="s">
        <v>156</v>
      </c>
      <c r="F76" s="125" t="s">
        <v>156</v>
      </c>
      <c r="G76" s="129" t="str">
        <f>TEXT(GC[[#This Row],[Date]],"mmm-yy")</f>
        <v>Jun-24</v>
      </c>
      <c r="H76" s="129">
        <f>DAY(EOMONTH(GC[[#This Row],[Month Year]],0))</f>
        <v>30</v>
      </c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25"/>
      <c r="T76" s="125"/>
      <c r="U76" s="125"/>
      <c r="V76" s="125"/>
      <c r="W76" s="125"/>
      <c r="X76" s="125"/>
      <c r="Y76" s="4">
        <f>SUM(GC[[#This Row],[ICR1]:[ICR14]])</f>
        <v>0</v>
      </c>
      <c r="Z76" s="132"/>
      <c r="AA76" s="132"/>
    </row>
    <row r="77" spans="1:27">
      <c r="A77" s="132">
        <v>75</v>
      </c>
      <c r="B77" s="126">
        <f t="shared" si="1"/>
        <v>45457</v>
      </c>
      <c r="C77" s="127">
        <f>YEAR(GC[[#This Row],[Date]])+IF(MONTH(GC[[#This Row],[Date]])&gt;=4,1,0)</f>
        <v>2025</v>
      </c>
      <c r="D77" s="128">
        <f>YEAR(GC[[#This Row],[Date]])</f>
        <v>2024</v>
      </c>
      <c r="E77" s="125" t="s">
        <v>156</v>
      </c>
      <c r="F77" s="125" t="s">
        <v>156</v>
      </c>
      <c r="G77" s="129" t="str">
        <f>TEXT(GC[[#This Row],[Date]],"mmm-yy")</f>
        <v>Jun-24</v>
      </c>
      <c r="H77" s="129">
        <f>DAY(EOMONTH(GC[[#This Row],[Month Year]],0))</f>
        <v>30</v>
      </c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25"/>
      <c r="T77" s="125"/>
      <c r="U77" s="125"/>
      <c r="V77" s="125"/>
      <c r="W77" s="125"/>
      <c r="X77" s="125"/>
      <c r="Y77" s="4">
        <f>SUM(GC[[#This Row],[ICR1]:[ICR14]])</f>
        <v>0</v>
      </c>
      <c r="Z77" s="132"/>
      <c r="AA77" s="132"/>
    </row>
    <row r="78" spans="1:27">
      <c r="A78" s="132">
        <v>76</v>
      </c>
      <c r="B78" s="126">
        <f t="shared" si="1"/>
        <v>45458</v>
      </c>
      <c r="C78" s="127">
        <f>YEAR(GC[[#This Row],[Date]])+IF(MONTH(GC[[#This Row],[Date]])&gt;=4,1,0)</f>
        <v>2025</v>
      </c>
      <c r="D78" s="128">
        <f>YEAR(GC[[#This Row],[Date]])</f>
        <v>2024</v>
      </c>
      <c r="E78" s="125" t="s">
        <v>156</v>
      </c>
      <c r="F78" s="125" t="s">
        <v>156</v>
      </c>
      <c r="G78" s="129" t="str">
        <f>TEXT(GC[[#This Row],[Date]],"mmm-yy")</f>
        <v>Jun-24</v>
      </c>
      <c r="H78" s="129">
        <f>DAY(EOMONTH(GC[[#This Row],[Month Year]],0))</f>
        <v>30</v>
      </c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25"/>
      <c r="T78" s="125"/>
      <c r="U78" s="125"/>
      <c r="V78" s="125"/>
      <c r="W78" s="125"/>
      <c r="X78" s="125"/>
      <c r="Y78" s="4">
        <f>SUM(GC[[#This Row],[ICR1]:[ICR14]])</f>
        <v>0</v>
      </c>
      <c r="Z78" s="132"/>
      <c r="AA78" s="132"/>
    </row>
    <row r="79" spans="1:27">
      <c r="A79" s="132">
        <v>77</v>
      </c>
      <c r="B79" s="126">
        <f t="shared" si="1"/>
        <v>45459</v>
      </c>
      <c r="C79" s="127">
        <f>YEAR(GC[[#This Row],[Date]])+IF(MONTH(GC[[#This Row],[Date]])&gt;=4,1,0)</f>
        <v>2025</v>
      </c>
      <c r="D79" s="128">
        <f>YEAR(GC[[#This Row],[Date]])</f>
        <v>2024</v>
      </c>
      <c r="E79" s="125" t="s">
        <v>156</v>
      </c>
      <c r="F79" s="125" t="s">
        <v>156</v>
      </c>
      <c r="G79" s="129" t="str">
        <f>TEXT(GC[[#This Row],[Date]],"mmm-yy")</f>
        <v>Jun-24</v>
      </c>
      <c r="H79" s="129">
        <f>DAY(EOMONTH(GC[[#This Row],[Month Year]],0))</f>
        <v>30</v>
      </c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25"/>
      <c r="T79" s="125"/>
      <c r="U79" s="125"/>
      <c r="V79" s="125"/>
      <c r="W79" s="125"/>
      <c r="X79" s="125"/>
      <c r="Y79" s="4">
        <f>SUM(GC[[#This Row],[ICR1]:[ICR14]])</f>
        <v>0</v>
      </c>
      <c r="Z79" s="132"/>
      <c r="AA79" s="132"/>
    </row>
    <row r="80" spans="1:27">
      <c r="A80" s="132">
        <v>78</v>
      </c>
      <c r="B80" s="126">
        <f t="shared" si="1"/>
        <v>45460</v>
      </c>
      <c r="C80" s="127">
        <f>YEAR(GC[[#This Row],[Date]])+IF(MONTH(GC[[#This Row],[Date]])&gt;=4,1,0)</f>
        <v>2025</v>
      </c>
      <c r="D80" s="128">
        <f>YEAR(GC[[#This Row],[Date]])</f>
        <v>2024</v>
      </c>
      <c r="E80" s="125" t="s">
        <v>156</v>
      </c>
      <c r="F80" s="125" t="s">
        <v>156</v>
      </c>
      <c r="G80" s="129" t="str">
        <f>TEXT(GC[[#This Row],[Date]],"mmm-yy")</f>
        <v>Jun-24</v>
      </c>
      <c r="H80" s="129">
        <f>DAY(EOMONTH(GC[[#This Row],[Month Year]],0))</f>
        <v>30</v>
      </c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25"/>
      <c r="T80" s="125"/>
      <c r="U80" s="125"/>
      <c r="V80" s="125"/>
      <c r="W80" s="125"/>
      <c r="X80" s="125"/>
      <c r="Y80" s="4">
        <f>SUM(GC[[#This Row],[ICR1]:[ICR14]])</f>
        <v>0</v>
      </c>
      <c r="Z80" s="132"/>
      <c r="AA80" s="132"/>
    </row>
    <row r="81" spans="1:27">
      <c r="A81" s="132">
        <v>79</v>
      </c>
      <c r="B81" s="126">
        <f t="shared" si="1"/>
        <v>45461</v>
      </c>
      <c r="C81" s="127">
        <f>YEAR(GC[[#This Row],[Date]])+IF(MONTH(GC[[#This Row],[Date]])&gt;=4,1,0)</f>
        <v>2025</v>
      </c>
      <c r="D81" s="128">
        <f>YEAR(GC[[#This Row],[Date]])</f>
        <v>2024</v>
      </c>
      <c r="E81" s="125" t="s">
        <v>156</v>
      </c>
      <c r="F81" s="125" t="s">
        <v>156</v>
      </c>
      <c r="G81" s="129" t="str">
        <f>TEXT(GC[[#This Row],[Date]],"mmm-yy")</f>
        <v>Jun-24</v>
      </c>
      <c r="H81" s="129">
        <f>DAY(EOMONTH(GC[[#This Row],[Month Year]],0))</f>
        <v>30</v>
      </c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25"/>
      <c r="T81" s="125"/>
      <c r="U81" s="125"/>
      <c r="V81" s="125"/>
      <c r="W81" s="125"/>
      <c r="X81" s="125"/>
      <c r="Y81" s="4">
        <f>SUM(GC[[#This Row],[ICR1]:[ICR14]])</f>
        <v>0</v>
      </c>
      <c r="Z81" s="132"/>
      <c r="AA81" s="132"/>
    </row>
    <row r="82" spans="1:27">
      <c r="A82" s="132">
        <v>80</v>
      </c>
      <c r="B82" s="126">
        <f t="shared" si="1"/>
        <v>45462</v>
      </c>
      <c r="C82" s="127">
        <f>YEAR(GC[[#This Row],[Date]])+IF(MONTH(GC[[#This Row],[Date]])&gt;=4,1,0)</f>
        <v>2025</v>
      </c>
      <c r="D82" s="128">
        <f>YEAR(GC[[#This Row],[Date]])</f>
        <v>2024</v>
      </c>
      <c r="E82" s="125" t="s">
        <v>156</v>
      </c>
      <c r="F82" s="125" t="s">
        <v>156</v>
      </c>
      <c r="G82" s="129" t="str">
        <f>TEXT(GC[[#This Row],[Date]],"mmm-yy")</f>
        <v>Jun-24</v>
      </c>
      <c r="H82" s="129">
        <f>DAY(EOMONTH(GC[[#This Row],[Month Year]],0))</f>
        <v>30</v>
      </c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25"/>
      <c r="T82" s="125"/>
      <c r="U82" s="125"/>
      <c r="V82" s="125"/>
      <c r="W82" s="125"/>
      <c r="X82" s="125"/>
      <c r="Y82" s="4">
        <f>SUM(GC[[#This Row],[ICR1]:[ICR14]])</f>
        <v>0</v>
      </c>
      <c r="Z82" s="132"/>
      <c r="AA82" s="132"/>
    </row>
    <row r="83" spans="1:27">
      <c r="A83" s="132">
        <v>81</v>
      </c>
      <c r="B83" s="126">
        <f t="shared" si="1"/>
        <v>45463</v>
      </c>
      <c r="C83" s="127">
        <f>YEAR(GC[[#This Row],[Date]])+IF(MONTH(GC[[#This Row],[Date]])&gt;=4,1,0)</f>
        <v>2025</v>
      </c>
      <c r="D83" s="128">
        <f>YEAR(GC[[#This Row],[Date]])</f>
        <v>2024</v>
      </c>
      <c r="E83" s="125" t="s">
        <v>156</v>
      </c>
      <c r="F83" s="125" t="s">
        <v>156</v>
      </c>
      <c r="G83" s="129" t="str">
        <f>TEXT(GC[[#This Row],[Date]],"mmm-yy")</f>
        <v>Jun-24</v>
      </c>
      <c r="H83" s="129">
        <f>DAY(EOMONTH(GC[[#This Row],[Month Year]],0))</f>
        <v>30</v>
      </c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25"/>
      <c r="T83" s="125"/>
      <c r="U83" s="125"/>
      <c r="V83" s="125"/>
      <c r="W83" s="125"/>
      <c r="X83" s="125"/>
      <c r="Y83" s="4">
        <f>SUM(GC[[#This Row],[ICR1]:[ICR14]])</f>
        <v>0</v>
      </c>
      <c r="Z83" s="132"/>
      <c r="AA83" s="132"/>
    </row>
    <row r="84" spans="1:27">
      <c r="A84" s="132">
        <v>82</v>
      </c>
      <c r="B84" s="126">
        <f t="shared" si="1"/>
        <v>45464</v>
      </c>
      <c r="C84" s="127">
        <f>YEAR(GC[[#This Row],[Date]])+IF(MONTH(GC[[#This Row],[Date]])&gt;=4,1,0)</f>
        <v>2025</v>
      </c>
      <c r="D84" s="128">
        <f>YEAR(GC[[#This Row],[Date]])</f>
        <v>2024</v>
      </c>
      <c r="E84" s="125" t="s">
        <v>156</v>
      </c>
      <c r="F84" s="125" t="s">
        <v>156</v>
      </c>
      <c r="G84" s="129" t="str">
        <f>TEXT(GC[[#This Row],[Date]],"mmm-yy")</f>
        <v>Jun-24</v>
      </c>
      <c r="H84" s="129">
        <f>DAY(EOMONTH(GC[[#This Row],[Month Year]],0))</f>
        <v>30</v>
      </c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25"/>
      <c r="T84" s="125"/>
      <c r="U84" s="125"/>
      <c r="V84" s="125"/>
      <c r="W84" s="125"/>
      <c r="X84" s="125"/>
      <c r="Y84" s="4">
        <f>SUM(GC[[#This Row],[ICR1]:[ICR14]])</f>
        <v>0</v>
      </c>
      <c r="Z84" s="132"/>
      <c r="AA84" s="132"/>
    </row>
    <row r="85" spans="1:27">
      <c r="A85" s="132">
        <v>83</v>
      </c>
      <c r="B85" s="126">
        <f t="shared" si="1"/>
        <v>45465</v>
      </c>
      <c r="C85" s="127">
        <f>YEAR(GC[[#This Row],[Date]])+IF(MONTH(GC[[#This Row],[Date]])&gt;=4,1,0)</f>
        <v>2025</v>
      </c>
      <c r="D85" s="128">
        <f>YEAR(GC[[#This Row],[Date]])</f>
        <v>2024</v>
      </c>
      <c r="E85" s="125" t="s">
        <v>156</v>
      </c>
      <c r="F85" s="125" t="s">
        <v>156</v>
      </c>
      <c r="G85" s="129" t="str">
        <f>TEXT(GC[[#This Row],[Date]],"mmm-yy")</f>
        <v>Jun-24</v>
      </c>
      <c r="H85" s="129">
        <f>DAY(EOMONTH(GC[[#This Row],[Month Year]],0))</f>
        <v>30</v>
      </c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25"/>
      <c r="T85" s="125"/>
      <c r="U85" s="125"/>
      <c r="V85" s="125"/>
      <c r="W85" s="125"/>
      <c r="X85" s="125"/>
      <c r="Y85" s="4">
        <f>SUM(GC[[#This Row],[ICR1]:[ICR14]])</f>
        <v>0</v>
      </c>
      <c r="Z85" s="132"/>
      <c r="AA85" s="132"/>
    </row>
    <row r="86" spans="1:27">
      <c r="A86" s="132">
        <v>84</v>
      </c>
      <c r="B86" s="126">
        <f t="shared" si="1"/>
        <v>45466</v>
      </c>
      <c r="C86" s="127">
        <f>YEAR(GC[[#This Row],[Date]])+IF(MONTH(GC[[#This Row],[Date]])&gt;=4,1,0)</f>
        <v>2025</v>
      </c>
      <c r="D86" s="128">
        <f>YEAR(GC[[#This Row],[Date]])</f>
        <v>2024</v>
      </c>
      <c r="E86" s="125" t="s">
        <v>156</v>
      </c>
      <c r="F86" s="125" t="s">
        <v>156</v>
      </c>
      <c r="G86" s="129" t="str">
        <f>TEXT(GC[[#This Row],[Date]],"mmm-yy")</f>
        <v>Jun-24</v>
      </c>
      <c r="H86" s="129">
        <f>DAY(EOMONTH(GC[[#This Row],[Month Year]],0))</f>
        <v>30</v>
      </c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25"/>
      <c r="T86" s="125"/>
      <c r="U86" s="125"/>
      <c r="V86" s="125"/>
      <c r="W86" s="125"/>
      <c r="X86" s="125"/>
      <c r="Y86" s="4">
        <f>SUM(GC[[#This Row],[ICR1]:[ICR14]])</f>
        <v>0</v>
      </c>
      <c r="Z86" s="132"/>
      <c r="AA86" s="132"/>
    </row>
    <row r="87" spans="1:27">
      <c r="A87" s="132">
        <v>85</v>
      </c>
      <c r="B87" s="126">
        <f t="shared" si="1"/>
        <v>45467</v>
      </c>
      <c r="C87" s="127">
        <f>YEAR(GC[[#This Row],[Date]])+IF(MONTH(GC[[#This Row],[Date]])&gt;=4,1,0)</f>
        <v>2025</v>
      </c>
      <c r="D87" s="128">
        <f>YEAR(GC[[#This Row],[Date]])</f>
        <v>2024</v>
      </c>
      <c r="E87" s="125" t="s">
        <v>156</v>
      </c>
      <c r="F87" s="125" t="s">
        <v>156</v>
      </c>
      <c r="G87" s="129" t="str">
        <f>TEXT(GC[[#This Row],[Date]],"mmm-yy")</f>
        <v>Jun-24</v>
      </c>
      <c r="H87" s="129">
        <f>DAY(EOMONTH(GC[[#This Row],[Month Year]],0))</f>
        <v>30</v>
      </c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25"/>
      <c r="T87" s="125"/>
      <c r="U87" s="125"/>
      <c r="V87" s="125"/>
      <c r="W87" s="125"/>
      <c r="X87" s="125"/>
      <c r="Y87" s="4">
        <f>SUM(GC[[#This Row],[ICR1]:[ICR14]])</f>
        <v>0</v>
      </c>
      <c r="Z87" s="132"/>
      <c r="AA87" s="132"/>
    </row>
    <row r="88" spans="1:27">
      <c r="A88" s="132">
        <v>86</v>
      </c>
      <c r="B88" s="126">
        <f t="shared" si="1"/>
        <v>45468</v>
      </c>
      <c r="C88" s="127">
        <f>YEAR(GC[[#This Row],[Date]])+IF(MONTH(GC[[#This Row],[Date]])&gt;=4,1,0)</f>
        <v>2025</v>
      </c>
      <c r="D88" s="128">
        <f>YEAR(GC[[#This Row],[Date]])</f>
        <v>2024</v>
      </c>
      <c r="E88" s="125" t="s">
        <v>156</v>
      </c>
      <c r="F88" s="125" t="s">
        <v>156</v>
      </c>
      <c r="G88" s="129" t="str">
        <f>TEXT(GC[[#This Row],[Date]],"mmm-yy")</f>
        <v>Jun-24</v>
      </c>
      <c r="H88" s="129">
        <f>DAY(EOMONTH(GC[[#This Row],[Month Year]],0))</f>
        <v>30</v>
      </c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25"/>
      <c r="T88" s="125"/>
      <c r="U88" s="125"/>
      <c r="V88" s="125"/>
      <c r="W88" s="125"/>
      <c r="X88" s="125"/>
      <c r="Y88" s="4">
        <f>SUM(GC[[#This Row],[ICR1]:[ICR14]])</f>
        <v>0</v>
      </c>
      <c r="Z88" s="132"/>
      <c r="AA88" s="132"/>
    </row>
    <row r="89" spans="1:27">
      <c r="A89" s="132">
        <v>87</v>
      </c>
      <c r="B89" s="126">
        <f t="shared" si="1"/>
        <v>45469</v>
      </c>
      <c r="C89" s="127">
        <f>YEAR(GC[[#This Row],[Date]])+IF(MONTH(GC[[#This Row],[Date]])&gt;=4,1,0)</f>
        <v>2025</v>
      </c>
      <c r="D89" s="128">
        <f>YEAR(GC[[#This Row],[Date]])</f>
        <v>2024</v>
      </c>
      <c r="E89" s="125" t="s">
        <v>156</v>
      </c>
      <c r="F89" s="125" t="s">
        <v>156</v>
      </c>
      <c r="G89" s="129" t="str">
        <f>TEXT(GC[[#This Row],[Date]],"mmm-yy")</f>
        <v>Jun-24</v>
      </c>
      <c r="H89" s="129">
        <f>DAY(EOMONTH(GC[[#This Row],[Month Year]],0))</f>
        <v>30</v>
      </c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25"/>
      <c r="T89" s="125"/>
      <c r="U89" s="125"/>
      <c r="V89" s="125"/>
      <c r="W89" s="125"/>
      <c r="X89" s="125"/>
      <c r="Y89" s="4">
        <f>SUM(GC[[#This Row],[ICR1]:[ICR14]])</f>
        <v>0</v>
      </c>
      <c r="Z89" s="132"/>
      <c r="AA89" s="132"/>
    </row>
    <row r="90" spans="1:27">
      <c r="A90" s="132">
        <v>88</v>
      </c>
      <c r="B90" s="126">
        <f t="shared" si="1"/>
        <v>45470</v>
      </c>
      <c r="C90" s="127">
        <f>YEAR(GC[[#This Row],[Date]])+IF(MONTH(GC[[#This Row],[Date]])&gt;=4,1,0)</f>
        <v>2025</v>
      </c>
      <c r="D90" s="128">
        <f>YEAR(GC[[#This Row],[Date]])</f>
        <v>2024</v>
      </c>
      <c r="E90" s="125" t="s">
        <v>156</v>
      </c>
      <c r="F90" s="125" t="s">
        <v>156</v>
      </c>
      <c r="G90" s="129" t="str">
        <f>TEXT(GC[[#This Row],[Date]],"mmm-yy")</f>
        <v>Jun-24</v>
      </c>
      <c r="H90" s="129">
        <f>DAY(EOMONTH(GC[[#This Row],[Month Year]],0))</f>
        <v>30</v>
      </c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25"/>
      <c r="T90" s="125"/>
      <c r="U90" s="125"/>
      <c r="V90" s="125"/>
      <c r="W90" s="125"/>
      <c r="X90" s="125"/>
      <c r="Y90" s="4">
        <f>SUM(GC[[#This Row],[ICR1]:[ICR14]])</f>
        <v>0</v>
      </c>
      <c r="Z90" s="132"/>
      <c r="AA90" s="132"/>
    </row>
    <row r="91" spans="1:27">
      <c r="A91" s="132">
        <v>89</v>
      </c>
      <c r="B91" s="126">
        <f t="shared" si="1"/>
        <v>45471</v>
      </c>
      <c r="C91" s="127">
        <f>YEAR(GC[[#This Row],[Date]])+IF(MONTH(GC[[#This Row],[Date]])&gt;=4,1,0)</f>
        <v>2025</v>
      </c>
      <c r="D91" s="128">
        <f>YEAR(GC[[#This Row],[Date]])</f>
        <v>2024</v>
      </c>
      <c r="E91" s="125" t="s">
        <v>156</v>
      </c>
      <c r="F91" s="125" t="s">
        <v>156</v>
      </c>
      <c r="G91" s="129" t="str">
        <f>TEXT(GC[[#This Row],[Date]],"mmm-yy")</f>
        <v>Jun-24</v>
      </c>
      <c r="H91" s="129">
        <f>DAY(EOMONTH(GC[[#This Row],[Month Year]],0))</f>
        <v>30</v>
      </c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25"/>
      <c r="T91" s="125"/>
      <c r="U91" s="125"/>
      <c r="V91" s="125"/>
      <c r="W91" s="125"/>
      <c r="X91" s="125"/>
      <c r="Y91" s="4">
        <f>SUM(GC[[#This Row],[ICR1]:[ICR14]])</f>
        <v>0</v>
      </c>
      <c r="Z91" s="132"/>
      <c r="AA91" s="132"/>
    </row>
    <row r="92" spans="1:27">
      <c r="A92" s="132">
        <v>90</v>
      </c>
      <c r="B92" s="126">
        <f t="shared" si="1"/>
        <v>45472</v>
      </c>
      <c r="C92" s="127">
        <f>YEAR(GC[[#This Row],[Date]])+IF(MONTH(GC[[#This Row],[Date]])&gt;=4,1,0)</f>
        <v>2025</v>
      </c>
      <c r="D92" s="128">
        <f>YEAR(GC[[#This Row],[Date]])</f>
        <v>2024</v>
      </c>
      <c r="E92" s="125" t="s">
        <v>156</v>
      </c>
      <c r="F92" s="125" t="s">
        <v>156</v>
      </c>
      <c r="G92" s="129" t="str">
        <f>TEXT(GC[[#This Row],[Date]],"mmm-yy")</f>
        <v>Jun-24</v>
      </c>
      <c r="H92" s="129">
        <f>DAY(EOMONTH(GC[[#This Row],[Month Year]],0))</f>
        <v>30</v>
      </c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25"/>
      <c r="T92" s="125"/>
      <c r="U92" s="125"/>
      <c r="V92" s="125"/>
      <c r="W92" s="125"/>
      <c r="X92" s="125"/>
      <c r="Y92" s="4">
        <f>SUM(GC[[#This Row],[ICR1]:[ICR14]])</f>
        <v>0</v>
      </c>
      <c r="Z92" s="132"/>
      <c r="AA92" s="132"/>
    </row>
    <row r="93" spans="1:27">
      <c r="A93" s="132">
        <v>91</v>
      </c>
      <c r="B93" s="126">
        <f t="shared" si="1"/>
        <v>45473</v>
      </c>
      <c r="C93" s="127">
        <f>YEAR(GC[[#This Row],[Date]])+IF(MONTH(GC[[#This Row],[Date]])&gt;=4,1,0)</f>
        <v>2025</v>
      </c>
      <c r="D93" s="128">
        <f>YEAR(GC[[#This Row],[Date]])</f>
        <v>2024</v>
      </c>
      <c r="E93" s="125" t="s">
        <v>156</v>
      </c>
      <c r="F93" s="125" t="s">
        <v>156</v>
      </c>
      <c r="G93" s="129" t="str">
        <f>TEXT(GC[[#This Row],[Date]],"mmm-yy")</f>
        <v>Jun-24</v>
      </c>
      <c r="H93" s="129">
        <f>DAY(EOMONTH(GC[[#This Row],[Month Year]],0))</f>
        <v>30</v>
      </c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25"/>
      <c r="T93" s="125"/>
      <c r="U93" s="125"/>
      <c r="V93" s="125"/>
      <c r="W93" s="125"/>
      <c r="X93" s="125"/>
      <c r="Y93" s="4">
        <f>SUM(GC[[#This Row],[ICR1]:[ICR14]])</f>
        <v>0</v>
      </c>
      <c r="Z93" s="132"/>
      <c r="AA93" s="132"/>
    </row>
    <row r="94" spans="1:27">
      <c r="A94" s="132">
        <v>92</v>
      </c>
      <c r="B94" s="126">
        <f t="shared" si="1"/>
        <v>45474</v>
      </c>
      <c r="C94" s="127">
        <f>YEAR(GC[[#This Row],[Date]])+IF(MONTH(GC[[#This Row],[Date]])&gt;=4,1,0)</f>
        <v>2025</v>
      </c>
      <c r="D94" s="128">
        <f>YEAR(GC[[#This Row],[Date]])</f>
        <v>2024</v>
      </c>
      <c r="E94" s="125" t="s">
        <v>156</v>
      </c>
      <c r="F94" s="125" t="s">
        <v>156</v>
      </c>
      <c r="G94" s="129" t="str">
        <f>TEXT(GC[[#This Row],[Date]],"mmm-yy")</f>
        <v>Jul-24</v>
      </c>
      <c r="H94" s="129">
        <f>DAY(EOMONTH(GC[[#This Row],[Month Year]],0))</f>
        <v>31</v>
      </c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25"/>
      <c r="T94" s="125"/>
      <c r="U94" s="125"/>
      <c r="V94" s="125"/>
      <c r="W94" s="125"/>
      <c r="X94" s="125"/>
      <c r="Y94" s="4">
        <f>SUM(GC[[#This Row],[ICR1]:[ICR14]])</f>
        <v>0</v>
      </c>
      <c r="Z94" s="132"/>
      <c r="AA94" s="132"/>
    </row>
    <row r="95" spans="1:27">
      <c r="A95" s="132">
        <v>93</v>
      </c>
      <c r="B95" s="126">
        <f t="shared" si="1"/>
        <v>45475</v>
      </c>
      <c r="C95" s="127">
        <f>YEAR(GC[[#This Row],[Date]])+IF(MONTH(GC[[#This Row],[Date]])&gt;=4,1,0)</f>
        <v>2025</v>
      </c>
      <c r="D95" s="128">
        <f>YEAR(GC[[#This Row],[Date]])</f>
        <v>2024</v>
      </c>
      <c r="E95" s="125" t="s">
        <v>156</v>
      </c>
      <c r="F95" s="125" t="s">
        <v>156</v>
      </c>
      <c r="G95" s="129" t="str">
        <f>TEXT(GC[[#This Row],[Date]],"mmm-yy")</f>
        <v>Jul-24</v>
      </c>
      <c r="H95" s="129">
        <f>DAY(EOMONTH(GC[[#This Row],[Month Year]],0))</f>
        <v>31</v>
      </c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25"/>
      <c r="T95" s="125"/>
      <c r="U95" s="125"/>
      <c r="V95" s="125"/>
      <c r="W95" s="125"/>
      <c r="X95" s="125"/>
      <c r="Y95" s="4">
        <f>SUM(GC[[#This Row],[ICR1]:[ICR14]])</f>
        <v>0</v>
      </c>
      <c r="Z95" s="132"/>
      <c r="AA95" s="132"/>
    </row>
    <row r="96" spans="1:27">
      <c r="A96" s="132">
        <v>94</v>
      </c>
      <c r="B96" s="126">
        <f t="shared" si="1"/>
        <v>45476</v>
      </c>
      <c r="C96" s="127">
        <f>YEAR(GC[[#This Row],[Date]])+IF(MONTH(GC[[#This Row],[Date]])&gt;=4,1,0)</f>
        <v>2025</v>
      </c>
      <c r="D96" s="128">
        <f>YEAR(GC[[#This Row],[Date]])</f>
        <v>2024</v>
      </c>
      <c r="E96" s="125" t="s">
        <v>156</v>
      </c>
      <c r="F96" s="125" t="s">
        <v>156</v>
      </c>
      <c r="G96" s="129" t="str">
        <f>TEXT(GC[[#This Row],[Date]],"mmm-yy")</f>
        <v>Jul-24</v>
      </c>
      <c r="H96" s="129">
        <f>DAY(EOMONTH(GC[[#This Row],[Month Year]],0))</f>
        <v>31</v>
      </c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25"/>
      <c r="T96" s="125"/>
      <c r="U96" s="125"/>
      <c r="V96" s="125"/>
      <c r="W96" s="125"/>
      <c r="X96" s="125"/>
      <c r="Y96" s="4">
        <f>SUM(GC[[#This Row],[ICR1]:[ICR14]])</f>
        <v>0</v>
      </c>
      <c r="Z96" s="132"/>
      <c r="AA96" s="132"/>
    </row>
    <row r="97" spans="1:27">
      <c r="A97" s="132">
        <v>95</v>
      </c>
      <c r="B97" s="126">
        <f t="shared" si="1"/>
        <v>45477</v>
      </c>
      <c r="C97" s="127">
        <f>YEAR(GC[[#This Row],[Date]])+IF(MONTH(GC[[#This Row],[Date]])&gt;=4,1,0)</f>
        <v>2025</v>
      </c>
      <c r="D97" s="128">
        <f>YEAR(GC[[#This Row],[Date]])</f>
        <v>2024</v>
      </c>
      <c r="E97" s="125" t="s">
        <v>156</v>
      </c>
      <c r="F97" s="125" t="s">
        <v>156</v>
      </c>
      <c r="G97" s="129" t="str">
        <f>TEXT(GC[[#This Row],[Date]],"mmm-yy")</f>
        <v>Jul-24</v>
      </c>
      <c r="H97" s="129">
        <f>DAY(EOMONTH(GC[[#This Row],[Month Year]],0))</f>
        <v>31</v>
      </c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25"/>
      <c r="T97" s="125"/>
      <c r="U97" s="125"/>
      <c r="V97" s="125"/>
      <c r="W97" s="125"/>
      <c r="X97" s="125"/>
      <c r="Y97" s="4">
        <f>SUM(GC[[#This Row],[ICR1]:[ICR14]])</f>
        <v>0</v>
      </c>
      <c r="Z97" s="132"/>
      <c r="AA97" s="132"/>
    </row>
    <row r="98" spans="1:27">
      <c r="A98" s="132">
        <v>96</v>
      </c>
      <c r="B98" s="126">
        <f t="shared" si="1"/>
        <v>45478</v>
      </c>
      <c r="C98" s="127">
        <f>YEAR(GC[[#This Row],[Date]])+IF(MONTH(GC[[#This Row],[Date]])&gt;=4,1,0)</f>
        <v>2025</v>
      </c>
      <c r="D98" s="128">
        <f>YEAR(GC[[#This Row],[Date]])</f>
        <v>2024</v>
      </c>
      <c r="E98" s="125" t="s">
        <v>156</v>
      </c>
      <c r="F98" s="125" t="s">
        <v>156</v>
      </c>
      <c r="G98" s="129" t="str">
        <f>TEXT(GC[[#This Row],[Date]],"mmm-yy")</f>
        <v>Jul-24</v>
      </c>
      <c r="H98" s="129">
        <f>DAY(EOMONTH(GC[[#This Row],[Month Year]],0))</f>
        <v>31</v>
      </c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25"/>
      <c r="T98" s="125"/>
      <c r="U98" s="125"/>
      <c r="V98" s="125"/>
      <c r="W98" s="125"/>
      <c r="X98" s="125"/>
      <c r="Y98" s="4">
        <f>SUM(GC[[#This Row],[ICR1]:[ICR14]])</f>
        <v>0</v>
      </c>
      <c r="Z98" s="132"/>
      <c r="AA98" s="132"/>
    </row>
    <row r="99" spans="1:27">
      <c r="A99" s="132">
        <v>97</v>
      </c>
      <c r="B99" s="126">
        <f t="shared" si="1"/>
        <v>45479</v>
      </c>
      <c r="C99" s="127">
        <f>YEAR(GC[[#This Row],[Date]])+IF(MONTH(GC[[#This Row],[Date]])&gt;=4,1,0)</f>
        <v>2025</v>
      </c>
      <c r="D99" s="128">
        <f>YEAR(GC[[#This Row],[Date]])</f>
        <v>2024</v>
      </c>
      <c r="E99" s="125" t="s">
        <v>156</v>
      </c>
      <c r="F99" s="125" t="s">
        <v>156</v>
      </c>
      <c r="G99" s="129" t="str">
        <f>TEXT(GC[[#This Row],[Date]],"mmm-yy")</f>
        <v>Jul-24</v>
      </c>
      <c r="H99" s="129">
        <f>DAY(EOMONTH(GC[[#This Row],[Month Year]],0))</f>
        <v>31</v>
      </c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25"/>
      <c r="T99" s="125"/>
      <c r="U99" s="125"/>
      <c r="V99" s="125"/>
      <c r="W99" s="125"/>
      <c r="X99" s="125"/>
      <c r="Y99" s="4">
        <f>SUM(GC[[#This Row],[ICR1]:[ICR14]])</f>
        <v>0</v>
      </c>
      <c r="Z99" s="132"/>
      <c r="AA99" s="132"/>
    </row>
    <row r="100" spans="1:27">
      <c r="A100" s="132">
        <v>98</v>
      </c>
      <c r="B100" s="126">
        <f t="shared" si="1"/>
        <v>45480</v>
      </c>
      <c r="C100" s="127">
        <f>YEAR(GC[[#This Row],[Date]])+IF(MONTH(GC[[#This Row],[Date]])&gt;=4,1,0)</f>
        <v>2025</v>
      </c>
      <c r="D100" s="128">
        <f>YEAR(GC[[#This Row],[Date]])</f>
        <v>2024</v>
      </c>
      <c r="E100" s="125" t="s">
        <v>156</v>
      </c>
      <c r="F100" s="125" t="s">
        <v>156</v>
      </c>
      <c r="G100" s="129" t="str">
        <f>TEXT(GC[[#This Row],[Date]],"mmm-yy")</f>
        <v>Jul-24</v>
      </c>
      <c r="H100" s="129">
        <f>DAY(EOMONTH(GC[[#This Row],[Month Year]],0))</f>
        <v>31</v>
      </c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25"/>
      <c r="T100" s="125"/>
      <c r="U100" s="125"/>
      <c r="V100" s="125"/>
      <c r="W100" s="125"/>
      <c r="X100" s="125"/>
      <c r="Y100" s="4">
        <f>SUM(GC[[#This Row],[ICR1]:[ICR14]])</f>
        <v>0</v>
      </c>
      <c r="Z100" s="132"/>
      <c r="AA100" s="132"/>
    </row>
    <row r="101" spans="1:27">
      <c r="A101" s="132">
        <v>99</v>
      </c>
      <c r="B101" s="126">
        <f t="shared" si="1"/>
        <v>45481</v>
      </c>
      <c r="C101" s="127">
        <f>YEAR(GC[[#This Row],[Date]])+IF(MONTH(GC[[#This Row],[Date]])&gt;=4,1,0)</f>
        <v>2025</v>
      </c>
      <c r="D101" s="128">
        <f>YEAR(GC[[#This Row],[Date]])</f>
        <v>2024</v>
      </c>
      <c r="E101" s="125" t="s">
        <v>156</v>
      </c>
      <c r="F101" s="125" t="s">
        <v>156</v>
      </c>
      <c r="G101" s="129" t="str">
        <f>TEXT(GC[[#This Row],[Date]],"mmm-yy")</f>
        <v>Jul-24</v>
      </c>
      <c r="H101" s="129">
        <f>DAY(EOMONTH(GC[[#This Row],[Month Year]],0))</f>
        <v>31</v>
      </c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25"/>
      <c r="T101" s="125"/>
      <c r="U101" s="125"/>
      <c r="V101" s="125"/>
      <c r="W101" s="125"/>
      <c r="X101" s="125"/>
      <c r="Y101" s="4">
        <f>SUM(GC[[#This Row],[ICR1]:[ICR14]])</f>
        <v>0</v>
      </c>
      <c r="Z101" s="132"/>
      <c r="AA101" s="132"/>
    </row>
    <row r="102" spans="1:27">
      <c r="A102" s="132">
        <v>100</v>
      </c>
      <c r="B102" s="126">
        <f t="shared" si="1"/>
        <v>45482</v>
      </c>
      <c r="C102" s="127">
        <f>YEAR(GC[[#This Row],[Date]])+IF(MONTH(GC[[#This Row],[Date]])&gt;=4,1,0)</f>
        <v>2025</v>
      </c>
      <c r="D102" s="128">
        <f>YEAR(GC[[#This Row],[Date]])</f>
        <v>2024</v>
      </c>
      <c r="E102" s="125" t="s">
        <v>156</v>
      </c>
      <c r="F102" s="125" t="s">
        <v>156</v>
      </c>
      <c r="G102" s="129" t="str">
        <f>TEXT(GC[[#This Row],[Date]],"mmm-yy")</f>
        <v>Jul-24</v>
      </c>
      <c r="H102" s="129">
        <f>DAY(EOMONTH(GC[[#This Row],[Month Year]],0))</f>
        <v>31</v>
      </c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25"/>
      <c r="T102" s="125"/>
      <c r="U102" s="125"/>
      <c r="V102" s="125"/>
      <c r="W102" s="125"/>
      <c r="X102" s="125"/>
      <c r="Y102" s="4">
        <f>SUM(GC[[#This Row],[ICR1]:[ICR14]])</f>
        <v>0</v>
      </c>
      <c r="Z102" s="132"/>
      <c r="AA102" s="132"/>
    </row>
    <row r="103" spans="1:27">
      <c r="A103" s="132">
        <v>101</v>
      </c>
      <c r="B103" s="126">
        <f t="shared" si="1"/>
        <v>45483</v>
      </c>
      <c r="C103" s="127">
        <f>YEAR(GC[[#This Row],[Date]])+IF(MONTH(GC[[#This Row],[Date]])&gt;=4,1,0)</f>
        <v>2025</v>
      </c>
      <c r="D103" s="128">
        <f>YEAR(GC[[#This Row],[Date]])</f>
        <v>2024</v>
      </c>
      <c r="E103" s="125" t="s">
        <v>156</v>
      </c>
      <c r="F103" s="125" t="s">
        <v>156</v>
      </c>
      <c r="G103" s="129" t="str">
        <f>TEXT(GC[[#This Row],[Date]],"mmm-yy")</f>
        <v>Jul-24</v>
      </c>
      <c r="H103" s="129">
        <f>DAY(EOMONTH(GC[[#This Row],[Month Year]],0))</f>
        <v>31</v>
      </c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25"/>
      <c r="T103" s="125"/>
      <c r="U103" s="125"/>
      <c r="V103" s="125"/>
      <c r="W103" s="125"/>
      <c r="X103" s="125"/>
      <c r="Y103" s="4">
        <f>SUM(GC[[#This Row],[ICR1]:[ICR14]])</f>
        <v>0</v>
      </c>
      <c r="Z103" s="132"/>
      <c r="AA103" s="132"/>
    </row>
    <row r="104" spans="1:27">
      <c r="A104" s="132">
        <v>102</v>
      </c>
      <c r="B104" s="126">
        <f t="shared" si="1"/>
        <v>45484</v>
      </c>
      <c r="C104" s="127">
        <f>YEAR(GC[[#This Row],[Date]])+IF(MONTH(GC[[#This Row],[Date]])&gt;=4,1,0)</f>
        <v>2025</v>
      </c>
      <c r="D104" s="128">
        <f>YEAR(GC[[#This Row],[Date]])</f>
        <v>2024</v>
      </c>
      <c r="E104" s="125" t="s">
        <v>156</v>
      </c>
      <c r="F104" s="125" t="s">
        <v>156</v>
      </c>
      <c r="G104" s="129" t="str">
        <f>TEXT(GC[[#This Row],[Date]],"mmm-yy")</f>
        <v>Jul-24</v>
      </c>
      <c r="H104" s="129">
        <f>DAY(EOMONTH(GC[[#This Row],[Month Year]],0))</f>
        <v>31</v>
      </c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25"/>
      <c r="T104" s="125"/>
      <c r="U104" s="125"/>
      <c r="V104" s="125"/>
      <c r="W104" s="125"/>
      <c r="X104" s="125"/>
      <c r="Y104" s="4">
        <f>SUM(GC[[#This Row],[ICR1]:[ICR14]])</f>
        <v>0</v>
      </c>
      <c r="Z104" s="132"/>
      <c r="AA104" s="132"/>
    </row>
    <row r="105" spans="1:27">
      <c r="A105" s="132">
        <v>103</v>
      </c>
      <c r="B105" s="126">
        <f t="shared" si="1"/>
        <v>45485</v>
      </c>
      <c r="C105" s="127">
        <f>YEAR(GC[[#This Row],[Date]])+IF(MONTH(GC[[#This Row],[Date]])&gt;=4,1,0)</f>
        <v>2025</v>
      </c>
      <c r="D105" s="128">
        <f>YEAR(GC[[#This Row],[Date]])</f>
        <v>2024</v>
      </c>
      <c r="E105" s="125" t="s">
        <v>156</v>
      </c>
      <c r="F105" s="125" t="s">
        <v>156</v>
      </c>
      <c r="G105" s="129" t="str">
        <f>TEXT(GC[[#This Row],[Date]],"mmm-yy")</f>
        <v>Jul-24</v>
      </c>
      <c r="H105" s="129">
        <f>DAY(EOMONTH(GC[[#This Row],[Month Year]],0))</f>
        <v>31</v>
      </c>
      <c r="I105" s="132">
        <v>1</v>
      </c>
      <c r="J105" s="132" t="s">
        <v>359</v>
      </c>
      <c r="K105" s="132">
        <v>0</v>
      </c>
      <c r="L105" s="132">
        <v>0</v>
      </c>
      <c r="M105" s="132">
        <v>55</v>
      </c>
      <c r="N105" s="132">
        <v>0</v>
      </c>
      <c r="O105" s="132">
        <v>0</v>
      </c>
      <c r="P105" s="132"/>
      <c r="Q105" s="132"/>
      <c r="R105" s="132"/>
      <c r="S105" s="125"/>
      <c r="T105" s="125"/>
      <c r="U105" s="125"/>
      <c r="V105" s="125"/>
      <c r="W105" s="125"/>
      <c r="X105" s="125"/>
      <c r="Y105" s="4">
        <f>SUM(GC[[#This Row],[ICR1]:[ICR14]])</f>
        <v>55</v>
      </c>
      <c r="Z105" s="132" t="s">
        <v>359</v>
      </c>
      <c r="AA105" s="132" t="s">
        <v>360</v>
      </c>
    </row>
    <row r="106" spans="1:27">
      <c r="A106" s="132">
        <v>104</v>
      </c>
      <c r="B106" s="126">
        <f t="shared" si="1"/>
        <v>45486</v>
      </c>
      <c r="C106" s="127">
        <f>YEAR(GC[[#This Row],[Date]])+IF(MONTH(GC[[#This Row],[Date]])&gt;=4,1,0)</f>
        <v>2025</v>
      </c>
      <c r="D106" s="128">
        <f>YEAR(GC[[#This Row],[Date]])</f>
        <v>2024</v>
      </c>
      <c r="E106" s="125" t="s">
        <v>156</v>
      </c>
      <c r="F106" s="125" t="s">
        <v>156</v>
      </c>
      <c r="G106" s="129" t="str">
        <f>TEXT(GC[[#This Row],[Date]],"mmm-yy")</f>
        <v>Jul-24</v>
      </c>
      <c r="H106" s="129">
        <f>DAY(EOMONTH(GC[[#This Row],[Month Year]],0))</f>
        <v>31</v>
      </c>
      <c r="I106" s="132">
        <v>1</v>
      </c>
      <c r="J106" s="132" t="s">
        <v>359</v>
      </c>
      <c r="K106" s="132">
        <v>0</v>
      </c>
      <c r="L106" s="132">
        <v>0</v>
      </c>
      <c r="M106" s="132">
        <v>94</v>
      </c>
      <c r="N106" s="132">
        <v>0</v>
      </c>
      <c r="O106" s="132">
        <v>0</v>
      </c>
      <c r="P106" s="132"/>
      <c r="Q106" s="132"/>
      <c r="R106" s="132"/>
      <c r="S106" s="125"/>
      <c r="T106" s="125"/>
      <c r="U106" s="125"/>
      <c r="V106" s="125"/>
      <c r="W106" s="125"/>
      <c r="X106" s="125"/>
      <c r="Y106" s="4">
        <f>SUM(GC[[#This Row],[ICR1]:[ICR14]])</f>
        <v>94</v>
      </c>
      <c r="Z106" s="132" t="s">
        <v>359</v>
      </c>
      <c r="AA106" s="132" t="s">
        <v>361</v>
      </c>
    </row>
    <row r="107" spans="1:27">
      <c r="A107" s="132">
        <v>105</v>
      </c>
      <c r="B107" s="126">
        <f t="shared" si="1"/>
        <v>45487</v>
      </c>
      <c r="C107" s="127">
        <f>YEAR(GC[[#This Row],[Date]])+IF(MONTH(GC[[#This Row],[Date]])&gt;=4,1,0)</f>
        <v>2025</v>
      </c>
      <c r="D107" s="128">
        <f>YEAR(GC[[#This Row],[Date]])</f>
        <v>2024</v>
      </c>
      <c r="E107" s="125" t="s">
        <v>156</v>
      </c>
      <c r="F107" s="125" t="s">
        <v>156</v>
      </c>
      <c r="G107" s="129" t="str">
        <f>TEXT(GC[[#This Row],[Date]],"mmm-yy")</f>
        <v>Jul-24</v>
      </c>
      <c r="H107" s="129">
        <f>DAY(EOMONTH(GC[[#This Row],[Month Year]],0))</f>
        <v>31</v>
      </c>
      <c r="I107" s="132">
        <v>1</v>
      </c>
      <c r="J107" s="132" t="s">
        <v>359</v>
      </c>
      <c r="K107" s="132">
        <v>0</v>
      </c>
      <c r="L107" s="132">
        <v>0</v>
      </c>
      <c r="M107" s="132">
        <v>107</v>
      </c>
      <c r="N107" s="132">
        <v>0</v>
      </c>
      <c r="O107" s="132">
        <v>0</v>
      </c>
      <c r="P107" s="132"/>
      <c r="Q107" s="132"/>
      <c r="R107" s="132"/>
      <c r="S107" s="125"/>
      <c r="T107" s="125"/>
      <c r="U107" s="125"/>
      <c r="V107" s="125"/>
      <c r="W107" s="125"/>
      <c r="X107" s="125"/>
      <c r="Y107" s="4">
        <f>SUM(GC[[#This Row],[ICR1]:[ICR14]])</f>
        <v>107</v>
      </c>
      <c r="Z107" s="132" t="s">
        <v>359</v>
      </c>
      <c r="AA107" s="132" t="s">
        <v>362</v>
      </c>
    </row>
    <row r="108" spans="1:27">
      <c r="A108" s="132">
        <v>106</v>
      </c>
      <c r="B108" s="126">
        <f t="shared" si="1"/>
        <v>45488</v>
      </c>
      <c r="C108" s="127">
        <f>YEAR(GC[[#This Row],[Date]])+IF(MONTH(GC[[#This Row],[Date]])&gt;=4,1,0)</f>
        <v>2025</v>
      </c>
      <c r="D108" s="128">
        <f>YEAR(GC[[#This Row],[Date]])</f>
        <v>2024</v>
      </c>
      <c r="E108" s="125" t="s">
        <v>156</v>
      </c>
      <c r="F108" s="125" t="s">
        <v>156</v>
      </c>
      <c r="G108" s="129" t="str">
        <f>TEXT(GC[[#This Row],[Date]],"mmm-yy")</f>
        <v>Jul-24</v>
      </c>
      <c r="H108" s="129">
        <f>DAY(EOMONTH(GC[[#This Row],[Month Year]],0))</f>
        <v>31</v>
      </c>
      <c r="I108" s="132">
        <v>1</v>
      </c>
      <c r="J108" s="132" t="s">
        <v>359</v>
      </c>
      <c r="K108" s="132">
        <v>0</v>
      </c>
      <c r="L108" s="132">
        <v>85</v>
      </c>
      <c r="M108" s="132">
        <v>0</v>
      </c>
      <c r="N108" s="132">
        <v>0</v>
      </c>
      <c r="O108" s="132">
        <v>0</v>
      </c>
      <c r="P108" s="132"/>
      <c r="Q108" s="132"/>
      <c r="R108" s="132"/>
      <c r="S108" s="125"/>
      <c r="T108" s="125"/>
      <c r="U108" s="125"/>
      <c r="V108" s="125"/>
      <c r="W108" s="125"/>
      <c r="X108" s="125"/>
      <c r="Y108" s="4">
        <f>SUM(GC[[#This Row],[ICR1]:[ICR14]])</f>
        <v>85</v>
      </c>
      <c r="Z108" s="132" t="s">
        <v>359</v>
      </c>
      <c r="AA108" s="132" t="s">
        <v>363</v>
      </c>
    </row>
    <row r="109" spans="1:27">
      <c r="A109" s="132">
        <v>107</v>
      </c>
      <c r="B109" s="126">
        <f t="shared" si="1"/>
        <v>45489</v>
      </c>
      <c r="C109" s="127">
        <f>YEAR(GC[[#This Row],[Date]])+IF(MONTH(GC[[#This Row],[Date]])&gt;=4,1,0)</f>
        <v>2025</v>
      </c>
      <c r="D109" s="128">
        <f>YEAR(GC[[#This Row],[Date]])</f>
        <v>2024</v>
      </c>
      <c r="E109" s="125" t="s">
        <v>156</v>
      </c>
      <c r="F109" s="125" t="s">
        <v>156</v>
      </c>
      <c r="G109" s="129" t="str">
        <f>TEXT(GC[[#This Row],[Date]],"mmm-yy")</f>
        <v>Jul-24</v>
      </c>
      <c r="H109" s="129">
        <f>DAY(EOMONTH(GC[[#This Row],[Month Year]],0))</f>
        <v>31</v>
      </c>
      <c r="I109" s="132">
        <v>1</v>
      </c>
      <c r="J109" s="132" t="s">
        <v>359</v>
      </c>
      <c r="K109" s="132">
        <v>0</v>
      </c>
      <c r="L109" s="132">
        <v>32</v>
      </c>
      <c r="M109" s="132">
        <v>0</v>
      </c>
      <c r="N109" s="132">
        <v>72</v>
      </c>
      <c r="O109" s="132">
        <v>12</v>
      </c>
      <c r="P109" s="132"/>
      <c r="Q109" s="132"/>
      <c r="R109" s="132"/>
      <c r="S109" s="125"/>
      <c r="T109" s="125"/>
      <c r="U109" s="125"/>
      <c r="V109" s="125"/>
      <c r="W109" s="125"/>
      <c r="X109" s="125"/>
      <c r="Y109" s="4">
        <f>SUM(GC[[#This Row],[ICR1]:[ICR14]])</f>
        <v>116</v>
      </c>
      <c r="Z109" s="132" t="s">
        <v>359</v>
      </c>
      <c r="AA109" s="132" t="s">
        <v>364</v>
      </c>
    </row>
    <row r="110" spans="1:27">
      <c r="A110" s="132">
        <v>108</v>
      </c>
      <c r="B110" s="126">
        <f t="shared" si="1"/>
        <v>45490</v>
      </c>
      <c r="C110" s="127">
        <f>YEAR(GC[[#This Row],[Date]])+IF(MONTH(GC[[#This Row],[Date]])&gt;=4,1,0)</f>
        <v>2025</v>
      </c>
      <c r="D110" s="128">
        <f>YEAR(GC[[#This Row],[Date]])</f>
        <v>2024</v>
      </c>
      <c r="E110" s="125" t="s">
        <v>156</v>
      </c>
      <c r="F110" s="125" t="s">
        <v>156</v>
      </c>
      <c r="G110" s="129" t="str">
        <f>TEXT(GC[[#This Row],[Date]],"mmm-yy")</f>
        <v>Jul-24</v>
      </c>
      <c r="H110" s="129">
        <f>DAY(EOMONTH(GC[[#This Row],[Month Year]],0))</f>
        <v>31</v>
      </c>
      <c r="I110" s="132">
        <v>1</v>
      </c>
      <c r="J110" s="132" t="s">
        <v>359</v>
      </c>
      <c r="K110" s="132">
        <v>0</v>
      </c>
      <c r="L110" s="132">
        <v>17</v>
      </c>
      <c r="M110" s="132">
        <v>0</v>
      </c>
      <c r="N110" s="132">
        <v>53</v>
      </c>
      <c r="O110" s="132">
        <v>24</v>
      </c>
      <c r="P110" s="132"/>
      <c r="Q110" s="132"/>
      <c r="R110" s="132"/>
      <c r="S110" s="125"/>
      <c r="T110" s="125"/>
      <c r="U110" s="125"/>
      <c r="V110" s="125"/>
      <c r="W110" s="125"/>
      <c r="X110" s="125"/>
      <c r="Y110" s="4">
        <f>SUM(GC[[#This Row],[ICR1]:[ICR14]])</f>
        <v>94</v>
      </c>
      <c r="Z110" s="132" t="s">
        <v>359</v>
      </c>
      <c r="AA110" s="132" t="s">
        <v>365</v>
      </c>
    </row>
    <row r="111" spans="1:27">
      <c r="A111" s="132">
        <v>109</v>
      </c>
      <c r="B111" s="126">
        <f t="shared" si="1"/>
        <v>45491</v>
      </c>
      <c r="C111" s="127">
        <f>YEAR(GC[[#This Row],[Date]])+IF(MONTH(GC[[#This Row],[Date]])&gt;=4,1,0)</f>
        <v>2025</v>
      </c>
      <c r="D111" s="128">
        <f>YEAR(GC[[#This Row],[Date]])</f>
        <v>2024</v>
      </c>
      <c r="E111" s="125" t="s">
        <v>156</v>
      </c>
      <c r="F111" s="125" t="s">
        <v>156</v>
      </c>
      <c r="G111" s="129" t="str">
        <f>TEXT(GC[[#This Row],[Date]],"mmm-yy")</f>
        <v>Jul-24</v>
      </c>
      <c r="H111" s="129">
        <f>DAY(EOMONTH(GC[[#This Row],[Month Year]],0))</f>
        <v>31</v>
      </c>
      <c r="I111" s="132">
        <v>1</v>
      </c>
      <c r="J111" s="132" t="s">
        <v>359</v>
      </c>
      <c r="K111" s="132">
        <v>0</v>
      </c>
      <c r="L111" s="132">
        <v>0</v>
      </c>
      <c r="M111" s="132">
        <v>0</v>
      </c>
      <c r="N111" s="132">
        <v>0</v>
      </c>
      <c r="O111" s="132">
        <v>58</v>
      </c>
      <c r="P111" s="132"/>
      <c r="Q111" s="132"/>
      <c r="R111" s="132"/>
      <c r="S111" s="125"/>
      <c r="T111" s="125"/>
      <c r="U111" s="125"/>
      <c r="V111" s="125"/>
      <c r="W111" s="125"/>
      <c r="X111" s="125"/>
      <c r="Y111" s="4">
        <f>SUM(GC[[#This Row],[ICR1]:[ICR14]])</f>
        <v>58</v>
      </c>
      <c r="Z111" s="132" t="s">
        <v>359</v>
      </c>
      <c r="AA111" s="132" t="s">
        <v>366</v>
      </c>
    </row>
    <row r="112" spans="1:27">
      <c r="A112" s="132">
        <v>110</v>
      </c>
      <c r="B112" s="126">
        <f t="shared" si="1"/>
        <v>45492</v>
      </c>
      <c r="C112" s="127">
        <f>YEAR(GC[[#This Row],[Date]])+IF(MONTH(GC[[#This Row],[Date]])&gt;=4,1,0)</f>
        <v>2025</v>
      </c>
      <c r="D112" s="128">
        <f>YEAR(GC[[#This Row],[Date]])</f>
        <v>2024</v>
      </c>
      <c r="E112" s="125" t="s">
        <v>156</v>
      </c>
      <c r="F112" s="125" t="s">
        <v>156</v>
      </c>
      <c r="G112" s="129" t="str">
        <f>TEXT(GC[[#This Row],[Date]],"mmm-yy")</f>
        <v>Jul-24</v>
      </c>
      <c r="H112" s="129">
        <f>DAY(EOMONTH(GC[[#This Row],[Month Year]],0))</f>
        <v>31</v>
      </c>
      <c r="I112" s="132">
        <v>1</v>
      </c>
      <c r="J112" s="132" t="s">
        <v>359</v>
      </c>
      <c r="K112" s="132">
        <v>0</v>
      </c>
      <c r="L112" s="132">
        <v>0</v>
      </c>
      <c r="M112" s="132">
        <v>0</v>
      </c>
      <c r="N112" s="132">
        <v>0</v>
      </c>
      <c r="O112" s="132">
        <v>0</v>
      </c>
      <c r="P112" s="132"/>
      <c r="Q112" s="132"/>
      <c r="R112" s="132"/>
      <c r="S112" s="125"/>
      <c r="T112" s="125"/>
      <c r="U112" s="125"/>
      <c r="V112" s="125"/>
      <c r="W112" s="125"/>
      <c r="X112" s="125"/>
      <c r="Y112" s="4">
        <f>SUM(GC[[#This Row],[ICR1]:[ICR14]])</f>
        <v>0</v>
      </c>
      <c r="Z112" s="132"/>
      <c r="AA112" s="132" t="s">
        <v>367</v>
      </c>
    </row>
    <row r="113" spans="1:27">
      <c r="A113" s="132">
        <v>111</v>
      </c>
      <c r="B113" s="126">
        <f t="shared" si="1"/>
        <v>45493</v>
      </c>
      <c r="C113" s="127">
        <f>YEAR(GC[[#This Row],[Date]])+IF(MONTH(GC[[#This Row],[Date]])&gt;=4,1,0)</f>
        <v>2025</v>
      </c>
      <c r="D113" s="128">
        <f>YEAR(GC[[#This Row],[Date]])</f>
        <v>2024</v>
      </c>
      <c r="E113" s="125" t="s">
        <v>156</v>
      </c>
      <c r="F113" s="125" t="s">
        <v>156</v>
      </c>
      <c r="G113" s="129" t="str">
        <f>TEXT(GC[[#This Row],[Date]],"mmm-yy")</f>
        <v>Jul-24</v>
      </c>
      <c r="H113" s="129">
        <f>DAY(EOMONTH(GC[[#This Row],[Month Year]],0))</f>
        <v>31</v>
      </c>
      <c r="I113" s="132">
        <v>1</v>
      </c>
      <c r="J113" s="132" t="s">
        <v>359</v>
      </c>
      <c r="K113" s="132">
        <v>0</v>
      </c>
      <c r="L113" s="132">
        <v>31</v>
      </c>
      <c r="M113" s="132">
        <v>0</v>
      </c>
      <c r="N113" s="132">
        <v>18</v>
      </c>
      <c r="O113" s="132">
        <v>0</v>
      </c>
      <c r="P113" s="132"/>
      <c r="Q113" s="132"/>
      <c r="R113" s="132"/>
      <c r="S113" s="125"/>
      <c r="T113" s="125"/>
      <c r="U113" s="125"/>
      <c r="V113" s="125"/>
      <c r="W113" s="125"/>
      <c r="X113" s="125"/>
      <c r="Y113" s="4">
        <f>SUM(GC[[#This Row],[ICR1]:[ICR14]])</f>
        <v>49</v>
      </c>
      <c r="Z113" s="132" t="s">
        <v>359</v>
      </c>
      <c r="AA113" s="132" t="s">
        <v>368</v>
      </c>
    </row>
    <row r="114" spans="1:27">
      <c r="A114" s="132">
        <v>112</v>
      </c>
      <c r="B114" s="126">
        <f t="shared" si="1"/>
        <v>45494</v>
      </c>
      <c r="C114" s="127">
        <f>YEAR(GC[[#This Row],[Date]])+IF(MONTH(GC[[#This Row],[Date]])&gt;=4,1,0)</f>
        <v>2025</v>
      </c>
      <c r="D114" s="128">
        <f>YEAR(GC[[#This Row],[Date]])</f>
        <v>2024</v>
      </c>
      <c r="E114" s="125" t="s">
        <v>156</v>
      </c>
      <c r="F114" s="125" t="s">
        <v>156</v>
      </c>
      <c r="G114" s="129" t="str">
        <f>TEXT(GC[[#This Row],[Date]],"mmm-yy")</f>
        <v>Jul-24</v>
      </c>
      <c r="H114" s="129">
        <f>DAY(EOMONTH(GC[[#This Row],[Month Year]],0))</f>
        <v>31</v>
      </c>
      <c r="I114" s="132">
        <v>1</v>
      </c>
      <c r="J114" s="132" t="s">
        <v>359</v>
      </c>
      <c r="K114" s="132">
        <v>0</v>
      </c>
      <c r="L114" s="132">
        <v>0</v>
      </c>
      <c r="M114" s="132">
        <v>43</v>
      </c>
      <c r="N114" s="132">
        <v>0</v>
      </c>
      <c r="O114" s="132">
        <v>0</v>
      </c>
      <c r="P114" s="132">
        <v>0</v>
      </c>
      <c r="Q114" s="132"/>
      <c r="R114" s="132"/>
      <c r="S114" s="125"/>
      <c r="T114" s="125"/>
      <c r="U114" s="125"/>
      <c r="V114" s="125"/>
      <c r="W114" s="125"/>
      <c r="X114" s="125"/>
      <c r="Y114" s="4">
        <f>SUM(GC[[#This Row],[ICR1]:[ICR14]])</f>
        <v>43</v>
      </c>
      <c r="Z114" s="132" t="s">
        <v>359</v>
      </c>
      <c r="AA114" s="132" t="s">
        <v>369</v>
      </c>
    </row>
    <row r="115" spans="1:27">
      <c r="A115" s="132">
        <v>113</v>
      </c>
      <c r="B115" s="126">
        <f t="shared" si="1"/>
        <v>45495</v>
      </c>
      <c r="C115" s="127">
        <f>YEAR(GC[[#This Row],[Date]])+IF(MONTH(GC[[#This Row],[Date]])&gt;=4,1,0)</f>
        <v>2025</v>
      </c>
      <c r="D115" s="128">
        <f>YEAR(GC[[#This Row],[Date]])</f>
        <v>2024</v>
      </c>
      <c r="E115" s="125" t="s">
        <v>156</v>
      </c>
      <c r="F115" s="125" t="s">
        <v>156</v>
      </c>
      <c r="G115" s="129" t="str">
        <f>TEXT(GC[[#This Row],[Date]],"mmm-yy")</f>
        <v>Jul-24</v>
      </c>
      <c r="H115" s="129">
        <f>DAY(EOMONTH(GC[[#This Row],[Month Year]],0))</f>
        <v>31</v>
      </c>
      <c r="I115" s="132">
        <v>1</v>
      </c>
      <c r="J115" s="132" t="s">
        <v>359</v>
      </c>
      <c r="K115" s="132">
        <v>0</v>
      </c>
      <c r="L115" s="132">
        <v>0</v>
      </c>
      <c r="M115" s="132">
        <v>0</v>
      </c>
      <c r="N115" s="132">
        <v>0</v>
      </c>
      <c r="O115" s="132">
        <v>31</v>
      </c>
      <c r="P115" s="132">
        <v>27</v>
      </c>
      <c r="Q115" s="132"/>
      <c r="R115" s="132"/>
      <c r="S115" s="125"/>
      <c r="T115" s="125"/>
      <c r="U115" s="125"/>
      <c r="V115" s="125"/>
      <c r="W115" s="125"/>
      <c r="X115" s="125"/>
      <c r="Y115" s="4">
        <f>SUM(GC[[#This Row],[ICR1]:[ICR14]])</f>
        <v>58</v>
      </c>
      <c r="Z115" s="132" t="s">
        <v>359</v>
      </c>
      <c r="AA115" s="132" t="s">
        <v>370</v>
      </c>
    </row>
    <row r="116" spans="1:27">
      <c r="A116" s="132">
        <v>114</v>
      </c>
      <c r="B116" s="126">
        <f t="shared" si="1"/>
        <v>45496</v>
      </c>
      <c r="C116" s="127">
        <f>YEAR(GC[[#This Row],[Date]])+IF(MONTH(GC[[#This Row],[Date]])&gt;=4,1,0)</f>
        <v>2025</v>
      </c>
      <c r="D116" s="128">
        <f>YEAR(GC[[#This Row],[Date]])</f>
        <v>2024</v>
      </c>
      <c r="E116" s="125" t="s">
        <v>156</v>
      </c>
      <c r="F116" s="125" t="s">
        <v>156</v>
      </c>
      <c r="G116" s="129" t="str">
        <f>TEXT(GC[[#This Row],[Date]],"mmm-yy")</f>
        <v>Jul-24</v>
      </c>
      <c r="H116" s="129">
        <f>DAY(EOMONTH(GC[[#This Row],[Month Year]],0))</f>
        <v>31</v>
      </c>
      <c r="I116" s="132">
        <v>1</v>
      </c>
      <c r="J116" s="132" t="s">
        <v>359</v>
      </c>
      <c r="K116" s="132">
        <v>0</v>
      </c>
      <c r="L116" s="132">
        <v>0</v>
      </c>
      <c r="M116" s="132">
        <v>0</v>
      </c>
      <c r="N116" s="132">
        <v>10</v>
      </c>
      <c r="O116" s="132">
        <v>10</v>
      </c>
      <c r="P116" s="132">
        <v>0</v>
      </c>
      <c r="Q116" s="132"/>
      <c r="R116" s="132"/>
      <c r="S116" s="125"/>
      <c r="T116" s="125"/>
      <c r="U116" s="125"/>
      <c r="V116" s="125"/>
      <c r="W116" s="125"/>
      <c r="X116" s="125"/>
      <c r="Y116" s="4">
        <f>SUM(GC[[#This Row],[ICR1]:[ICR14]])</f>
        <v>20</v>
      </c>
      <c r="Z116" s="132" t="s">
        <v>359</v>
      </c>
      <c r="AA116" s="132" t="s">
        <v>371</v>
      </c>
    </row>
    <row r="117" spans="1:27">
      <c r="A117" s="132">
        <v>115</v>
      </c>
      <c r="B117" s="126">
        <f t="shared" si="1"/>
        <v>45497</v>
      </c>
      <c r="C117" s="127">
        <f>YEAR(GC[[#This Row],[Date]])+IF(MONTH(GC[[#This Row],[Date]])&gt;=4,1,0)</f>
        <v>2025</v>
      </c>
      <c r="D117" s="128">
        <f>YEAR(GC[[#This Row],[Date]])</f>
        <v>2024</v>
      </c>
      <c r="E117" s="125" t="s">
        <v>156</v>
      </c>
      <c r="F117" s="125" t="s">
        <v>156</v>
      </c>
      <c r="G117" s="129" t="str">
        <f>TEXT(GC[[#This Row],[Date]],"mmm-yy")</f>
        <v>Jul-24</v>
      </c>
      <c r="H117" s="129">
        <f>DAY(EOMONTH(GC[[#This Row],[Month Year]],0))</f>
        <v>31</v>
      </c>
      <c r="I117" s="132">
        <v>1</v>
      </c>
      <c r="J117" s="132" t="s">
        <v>359</v>
      </c>
      <c r="K117" s="132">
        <v>0</v>
      </c>
      <c r="L117" s="132">
        <v>0</v>
      </c>
      <c r="M117" s="132">
        <v>0</v>
      </c>
      <c r="N117" s="132">
        <v>26</v>
      </c>
      <c r="O117" s="132">
        <v>18</v>
      </c>
      <c r="P117" s="132">
        <v>0</v>
      </c>
      <c r="Q117" s="132"/>
      <c r="R117" s="132"/>
      <c r="S117" s="125"/>
      <c r="T117" s="125"/>
      <c r="U117" s="125"/>
      <c r="V117" s="125"/>
      <c r="W117" s="125"/>
      <c r="X117" s="125"/>
      <c r="Y117" s="4">
        <f>SUM(GC[[#This Row],[ICR1]:[ICR14]])</f>
        <v>44</v>
      </c>
      <c r="Z117" s="132" t="s">
        <v>359</v>
      </c>
      <c r="AA117" s="132" t="s">
        <v>372</v>
      </c>
    </row>
    <row r="118" spans="1:27">
      <c r="A118" s="132">
        <v>116</v>
      </c>
      <c r="B118" s="126">
        <f t="shared" si="1"/>
        <v>45498</v>
      </c>
      <c r="C118" s="127">
        <f>YEAR(GC[[#This Row],[Date]])+IF(MONTH(GC[[#This Row],[Date]])&gt;=4,1,0)</f>
        <v>2025</v>
      </c>
      <c r="D118" s="128">
        <f>YEAR(GC[[#This Row],[Date]])</f>
        <v>2024</v>
      </c>
      <c r="E118" s="125" t="s">
        <v>156</v>
      </c>
      <c r="F118" s="125" t="s">
        <v>156</v>
      </c>
      <c r="G118" s="129" t="str">
        <f>TEXT(GC[[#This Row],[Date]],"mmm-yy")</f>
        <v>Jul-24</v>
      </c>
      <c r="H118" s="129">
        <f>DAY(EOMONTH(GC[[#This Row],[Month Year]],0))</f>
        <v>31</v>
      </c>
      <c r="I118" s="132">
        <v>1</v>
      </c>
      <c r="J118" s="132" t="s">
        <v>359</v>
      </c>
      <c r="K118" s="132">
        <v>0</v>
      </c>
      <c r="L118" s="132">
        <v>0</v>
      </c>
      <c r="M118" s="132">
        <v>0</v>
      </c>
      <c r="N118" s="132">
        <v>5</v>
      </c>
      <c r="O118" s="132">
        <v>65</v>
      </c>
      <c r="P118" s="132">
        <v>0</v>
      </c>
      <c r="Q118" s="132"/>
      <c r="R118" s="132"/>
      <c r="S118" s="125"/>
      <c r="T118" s="125"/>
      <c r="U118" s="125"/>
      <c r="V118" s="125"/>
      <c r="W118" s="125"/>
      <c r="X118" s="125"/>
      <c r="Y118" s="4">
        <f>SUM(GC[[#This Row],[ICR1]:[ICR14]])</f>
        <v>70</v>
      </c>
      <c r="Z118" s="132" t="s">
        <v>359</v>
      </c>
      <c r="AA118" s="132" t="s">
        <v>373</v>
      </c>
    </row>
    <row r="119" spans="1:27">
      <c r="A119" s="132">
        <v>117</v>
      </c>
      <c r="B119" s="126">
        <f t="shared" si="1"/>
        <v>45499</v>
      </c>
      <c r="C119" s="127">
        <f>YEAR(GC[[#This Row],[Date]])+IF(MONTH(GC[[#This Row],[Date]])&gt;=4,1,0)</f>
        <v>2025</v>
      </c>
      <c r="D119" s="128">
        <f>YEAR(GC[[#This Row],[Date]])</f>
        <v>2024</v>
      </c>
      <c r="E119" s="125" t="s">
        <v>156</v>
      </c>
      <c r="F119" s="125" t="s">
        <v>156</v>
      </c>
      <c r="G119" s="129" t="str">
        <f>TEXT(GC[[#This Row],[Date]],"mmm-yy")</f>
        <v>Jul-24</v>
      </c>
      <c r="H119" s="129">
        <f>DAY(EOMONTH(GC[[#This Row],[Month Year]],0))</f>
        <v>31</v>
      </c>
      <c r="I119" s="132">
        <v>1</v>
      </c>
      <c r="J119" s="132" t="s">
        <v>359</v>
      </c>
      <c r="K119" s="132">
        <v>0</v>
      </c>
      <c r="L119" s="132">
        <v>0</v>
      </c>
      <c r="M119" s="132">
        <v>3</v>
      </c>
      <c r="N119" s="132">
        <v>0</v>
      </c>
      <c r="O119" s="132">
        <v>0</v>
      </c>
      <c r="P119" s="132">
        <v>0</v>
      </c>
      <c r="Q119" s="132"/>
      <c r="R119" s="132"/>
      <c r="S119" s="125"/>
      <c r="T119" s="125"/>
      <c r="U119" s="125"/>
      <c r="V119" s="125"/>
      <c r="W119" s="125"/>
      <c r="X119" s="125"/>
      <c r="Y119" s="4">
        <f>SUM(GC[[#This Row],[ICR1]:[ICR14]])</f>
        <v>3</v>
      </c>
      <c r="Z119" s="132" t="s">
        <v>359</v>
      </c>
      <c r="AA119" s="132" t="s">
        <v>374</v>
      </c>
    </row>
    <row r="120" spans="1:27">
      <c r="A120" s="132">
        <v>118</v>
      </c>
      <c r="B120" s="126">
        <f t="shared" si="1"/>
        <v>45500</v>
      </c>
      <c r="C120" s="127">
        <f>YEAR(GC[[#This Row],[Date]])+IF(MONTH(GC[[#This Row],[Date]])&gt;=4,1,0)</f>
        <v>2025</v>
      </c>
      <c r="D120" s="128">
        <f>YEAR(GC[[#This Row],[Date]])</f>
        <v>2024</v>
      </c>
      <c r="E120" s="125" t="s">
        <v>156</v>
      </c>
      <c r="F120" s="125" t="s">
        <v>156</v>
      </c>
      <c r="G120" s="129" t="str">
        <f>TEXT(GC[[#This Row],[Date]],"mmm-yy")</f>
        <v>Jul-24</v>
      </c>
      <c r="H120" s="129">
        <f>DAY(EOMONTH(GC[[#This Row],[Month Year]],0))</f>
        <v>31</v>
      </c>
      <c r="I120" s="132">
        <v>1</v>
      </c>
      <c r="J120" s="132" t="s">
        <v>359</v>
      </c>
      <c r="K120" s="132">
        <v>42</v>
      </c>
      <c r="L120" s="132">
        <v>0</v>
      </c>
      <c r="M120" s="132">
        <v>0</v>
      </c>
      <c r="N120" s="132">
        <v>0</v>
      </c>
      <c r="O120" s="132">
        <v>0</v>
      </c>
      <c r="P120" s="132">
        <v>0</v>
      </c>
      <c r="Q120" s="132"/>
      <c r="R120" s="132"/>
      <c r="S120" s="125"/>
      <c r="T120" s="125"/>
      <c r="U120" s="125"/>
      <c r="V120" s="125"/>
      <c r="W120" s="125"/>
      <c r="X120" s="125"/>
      <c r="Y120" s="4">
        <f>SUM(GC[[#This Row],[ICR1]:[ICR14]])</f>
        <v>42</v>
      </c>
      <c r="Z120" s="132" t="s">
        <v>359</v>
      </c>
      <c r="AA120" s="132" t="s">
        <v>375</v>
      </c>
    </row>
    <row r="121" spans="1:27">
      <c r="A121" s="132">
        <v>119</v>
      </c>
      <c r="B121" s="126">
        <f t="shared" si="1"/>
        <v>45501</v>
      </c>
      <c r="C121" s="127">
        <f>YEAR(GC[[#This Row],[Date]])+IF(MONTH(GC[[#This Row],[Date]])&gt;=4,1,0)</f>
        <v>2025</v>
      </c>
      <c r="D121" s="128">
        <f>YEAR(GC[[#This Row],[Date]])</f>
        <v>2024</v>
      </c>
      <c r="E121" s="125" t="s">
        <v>156</v>
      </c>
      <c r="F121" s="125" t="s">
        <v>156</v>
      </c>
      <c r="G121" s="129" t="str">
        <f>TEXT(GC[[#This Row],[Date]],"mmm-yy")</f>
        <v>Jul-24</v>
      </c>
      <c r="H121" s="129">
        <f>DAY(EOMONTH(GC[[#This Row],[Month Year]],0))</f>
        <v>31</v>
      </c>
      <c r="I121" s="132">
        <v>1</v>
      </c>
      <c r="J121" s="132" t="s">
        <v>359</v>
      </c>
      <c r="K121" s="132">
        <v>69</v>
      </c>
      <c r="L121" s="132">
        <v>0</v>
      </c>
      <c r="M121" s="132">
        <v>0</v>
      </c>
      <c r="N121" s="132">
        <v>6</v>
      </c>
      <c r="O121" s="132">
        <v>0</v>
      </c>
      <c r="P121" s="132">
        <v>0</v>
      </c>
      <c r="Q121" s="132"/>
      <c r="R121" s="132"/>
      <c r="S121" s="125"/>
      <c r="T121" s="125"/>
      <c r="U121" s="125"/>
      <c r="V121" s="125"/>
      <c r="W121" s="125"/>
      <c r="X121" s="125"/>
      <c r="Y121" s="4">
        <f>SUM(GC[[#This Row],[ICR1]:[ICR14]])</f>
        <v>75</v>
      </c>
      <c r="Z121" s="132" t="s">
        <v>359</v>
      </c>
      <c r="AA121" s="132" t="s">
        <v>376</v>
      </c>
    </row>
    <row r="122" spans="1:27">
      <c r="A122" s="132">
        <v>120</v>
      </c>
      <c r="B122" s="126">
        <f t="shared" si="1"/>
        <v>45502</v>
      </c>
      <c r="C122" s="127">
        <f>YEAR(GC[[#This Row],[Date]])+IF(MONTH(GC[[#This Row],[Date]])&gt;=4,1,0)</f>
        <v>2025</v>
      </c>
      <c r="D122" s="128">
        <f>YEAR(GC[[#This Row],[Date]])</f>
        <v>2024</v>
      </c>
      <c r="E122" s="125" t="s">
        <v>156</v>
      </c>
      <c r="F122" s="125" t="s">
        <v>156</v>
      </c>
      <c r="G122" s="129" t="str">
        <f>TEXT(GC[[#This Row],[Date]],"mmm-yy")</f>
        <v>Jul-24</v>
      </c>
      <c r="H122" s="129">
        <f>DAY(EOMONTH(GC[[#This Row],[Month Year]],0))</f>
        <v>31</v>
      </c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25"/>
      <c r="T122" s="125"/>
      <c r="U122" s="125"/>
      <c r="V122" s="125"/>
      <c r="W122" s="125"/>
      <c r="X122" s="125"/>
      <c r="Y122" s="4">
        <f>SUM(GC[[#This Row],[ICR1]:[ICR14]])</f>
        <v>0</v>
      </c>
      <c r="Z122" s="132"/>
      <c r="AA122" s="132"/>
    </row>
    <row r="123" spans="1:27">
      <c r="A123" s="132">
        <v>120</v>
      </c>
      <c r="B123" s="126">
        <f t="shared" si="1"/>
        <v>45503</v>
      </c>
      <c r="C123" s="127">
        <f>YEAR(GC[[#This Row],[Date]])+IF(MONTH(GC[[#This Row],[Date]])&gt;=4,1,0)</f>
        <v>2025</v>
      </c>
      <c r="D123" s="128">
        <f>YEAR(GC[[#This Row],[Date]])</f>
        <v>2024</v>
      </c>
      <c r="E123" s="125" t="s">
        <v>156</v>
      </c>
      <c r="F123" s="125" t="s">
        <v>156</v>
      </c>
      <c r="G123" s="129" t="str">
        <f>TEXT(GC[[#This Row],[Date]],"mmm-yy")</f>
        <v>Jul-24</v>
      </c>
      <c r="H123" s="129">
        <f>DAY(EOMONTH(GC[[#This Row],[Month Year]],0))</f>
        <v>31</v>
      </c>
      <c r="I123" s="132">
        <v>1</v>
      </c>
      <c r="J123" s="132" t="s">
        <v>359</v>
      </c>
      <c r="K123" s="132">
        <v>0</v>
      </c>
      <c r="L123" s="132">
        <v>36</v>
      </c>
      <c r="M123" s="132">
        <v>0</v>
      </c>
      <c r="N123" s="132">
        <v>58</v>
      </c>
      <c r="O123" s="132">
        <v>0</v>
      </c>
      <c r="P123" s="132">
        <v>0</v>
      </c>
      <c r="Q123" s="132"/>
      <c r="R123" s="132"/>
      <c r="S123" s="125"/>
      <c r="T123" s="125"/>
      <c r="U123" s="125"/>
      <c r="V123" s="125"/>
      <c r="W123" s="125"/>
      <c r="X123" s="125"/>
      <c r="Y123" s="4">
        <f>SUM(GC[[#This Row],[ICR1]:[ICR14]])</f>
        <v>94</v>
      </c>
      <c r="Z123" s="132" t="s">
        <v>359</v>
      </c>
      <c r="AA123" s="132" t="s">
        <v>377</v>
      </c>
    </row>
    <row r="124" spans="1:27">
      <c r="A124" s="132">
        <v>122</v>
      </c>
      <c r="B124" s="126">
        <f t="shared" si="1"/>
        <v>45504</v>
      </c>
      <c r="C124" s="127">
        <f>YEAR(GC[[#This Row],[Date]])+IF(MONTH(GC[[#This Row],[Date]])&gt;=4,1,0)</f>
        <v>2025</v>
      </c>
      <c r="D124" s="128">
        <f>YEAR(GC[[#This Row],[Date]])</f>
        <v>2024</v>
      </c>
      <c r="E124" s="125" t="s">
        <v>156</v>
      </c>
      <c r="F124" s="125" t="s">
        <v>156</v>
      </c>
      <c r="G124" s="129" t="str">
        <f>TEXT(GC[[#This Row],[Date]],"mmm-yy")</f>
        <v>Jul-24</v>
      </c>
      <c r="H124" s="129">
        <f>DAY(EOMONTH(GC[[#This Row],[Month Year]],0))</f>
        <v>31</v>
      </c>
      <c r="I124" s="132">
        <v>1</v>
      </c>
      <c r="J124" s="132" t="s">
        <v>359</v>
      </c>
      <c r="K124" s="132">
        <v>0</v>
      </c>
      <c r="L124" s="132">
        <v>0</v>
      </c>
      <c r="M124" s="132">
        <v>0</v>
      </c>
      <c r="N124" s="132">
        <v>0</v>
      </c>
      <c r="O124" s="132">
        <v>0</v>
      </c>
      <c r="P124" s="132">
        <v>115</v>
      </c>
      <c r="Q124" s="132"/>
      <c r="R124" s="132"/>
      <c r="S124" s="125"/>
      <c r="T124" s="125"/>
      <c r="U124" s="125"/>
      <c r="V124" s="125"/>
      <c r="W124" s="125"/>
      <c r="X124" s="125"/>
      <c r="Y124" s="4">
        <f>SUM(GC[[#This Row],[ICR1]:[ICR14]])</f>
        <v>115</v>
      </c>
      <c r="Z124" s="132" t="s">
        <v>359</v>
      </c>
      <c r="AA124" s="132" t="s">
        <v>378</v>
      </c>
    </row>
    <row r="125" spans="1:27">
      <c r="A125" s="132">
        <v>123</v>
      </c>
      <c r="B125" s="126">
        <f t="shared" si="1"/>
        <v>45505</v>
      </c>
      <c r="C125" s="127">
        <f>YEAR(GC[[#This Row],[Date]])+IF(MONTH(GC[[#This Row],[Date]])&gt;=4,1,0)</f>
        <v>2025</v>
      </c>
      <c r="D125" s="128">
        <f>YEAR(GC[[#This Row],[Date]])</f>
        <v>2024</v>
      </c>
      <c r="E125" s="125" t="s">
        <v>156</v>
      </c>
      <c r="F125" s="125" t="s">
        <v>156</v>
      </c>
      <c r="G125" s="129" t="str">
        <f>TEXT(GC[[#This Row],[Date]],"mmm-yy")</f>
        <v>Aug-24</v>
      </c>
      <c r="H125" s="129">
        <f>DAY(EOMONTH(GC[[#This Row],[Month Year]],0))</f>
        <v>31</v>
      </c>
      <c r="I125" s="132">
        <v>1</v>
      </c>
      <c r="J125" s="132" t="s">
        <v>359</v>
      </c>
      <c r="K125" s="132">
        <v>0</v>
      </c>
      <c r="L125" s="132">
        <v>0</v>
      </c>
      <c r="M125" s="132">
        <v>0</v>
      </c>
      <c r="N125" s="132">
        <v>0</v>
      </c>
      <c r="O125" s="132">
        <v>0</v>
      </c>
      <c r="P125" s="132">
        <v>77</v>
      </c>
      <c r="Q125" s="132"/>
      <c r="R125" s="132"/>
      <c r="S125" s="125"/>
      <c r="T125" s="125"/>
      <c r="U125" s="125"/>
      <c r="V125" s="125"/>
      <c r="W125" s="125"/>
      <c r="X125" s="125"/>
      <c r="Y125" s="4">
        <f>SUM(GC[[#This Row],[ICR1]:[ICR14]])</f>
        <v>77</v>
      </c>
      <c r="Z125" s="132" t="s">
        <v>359</v>
      </c>
      <c r="AA125" s="132" t="s">
        <v>379</v>
      </c>
    </row>
    <row r="126" spans="1:27">
      <c r="A126" s="132">
        <v>124</v>
      </c>
      <c r="B126" s="126">
        <f t="shared" si="1"/>
        <v>45506</v>
      </c>
      <c r="C126" s="127">
        <f>YEAR(GC[[#This Row],[Date]])+IF(MONTH(GC[[#This Row],[Date]])&gt;=4,1,0)</f>
        <v>2025</v>
      </c>
      <c r="D126" s="128">
        <f>YEAR(GC[[#This Row],[Date]])</f>
        <v>2024</v>
      </c>
      <c r="E126" s="125" t="s">
        <v>156</v>
      </c>
      <c r="F126" s="125" t="s">
        <v>156</v>
      </c>
      <c r="G126" s="129" t="str">
        <f>TEXT(GC[[#This Row],[Date]],"mmm-yy")</f>
        <v>Aug-24</v>
      </c>
      <c r="H126" s="129">
        <f>DAY(EOMONTH(GC[[#This Row],[Month Year]],0))</f>
        <v>31</v>
      </c>
      <c r="I126" s="132">
        <v>1</v>
      </c>
      <c r="J126" s="132" t="s">
        <v>359</v>
      </c>
      <c r="K126" s="132">
        <v>0</v>
      </c>
      <c r="L126" s="132">
        <v>0</v>
      </c>
      <c r="M126" s="132">
        <v>0</v>
      </c>
      <c r="N126" s="132">
        <v>0</v>
      </c>
      <c r="O126" s="132">
        <v>0</v>
      </c>
      <c r="P126" s="132">
        <v>0</v>
      </c>
      <c r="Q126" s="132">
        <v>113</v>
      </c>
      <c r="R126" s="132">
        <v>0</v>
      </c>
      <c r="S126" s="125"/>
      <c r="T126" s="125"/>
      <c r="U126" s="125"/>
      <c r="V126" s="125"/>
      <c r="W126" s="125"/>
      <c r="X126" s="125"/>
      <c r="Y126" s="4">
        <f>SUM(GC[[#This Row],[ICR1]:[ICR14]])</f>
        <v>113</v>
      </c>
      <c r="Z126" s="132" t="s">
        <v>359</v>
      </c>
      <c r="AA126" s="132" t="s">
        <v>380</v>
      </c>
    </row>
    <row r="127" spans="1:27">
      <c r="A127" s="132">
        <v>125</v>
      </c>
      <c r="B127" s="126">
        <f t="shared" si="1"/>
        <v>45507</v>
      </c>
      <c r="C127" s="127">
        <f>YEAR(GC[[#This Row],[Date]])+IF(MONTH(GC[[#This Row],[Date]])&gt;=4,1,0)</f>
        <v>2025</v>
      </c>
      <c r="D127" s="128">
        <f>YEAR(GC[[#This Row],[Date]])</f>
        <v>2024</v>
      </c>
      <c r="E127" s="125" t="s">
        <v>156</v>
      </c>
      <c r="F127" s="125" t="s">
        <v>156</v>
      </c>
      <c r="G127" s="129" t="str">
        <f>TEXT(GC[[#This Row],[Date]],"mmm-yy")</f>
        <v>Aug-24</v>
      </c>
      <c r="H127" s="129">
        <f>DAY(EOMONTH(GC[[#This Row],[Month Year]],0))</f>
        <v>31</v>
      </c>
      <c r="I127" s="132">
        <v>1</v>
      </c>
      <c r="J127" s="132" t="s">
        <v>359</v>
      </c>
      <c r="K127" s="132">
        <v>0</v>
      </c>
      <c r="L127" s="132">
        <v>0</v>
      </c>
      <c r="M127" s="132">
        <v>19</v>
      </c>
      <c r="N127" s="132">
        <v>0</v>
      </c>
      <c r="O127" s="132">
        <v>0</v>
      </c>
      <c r="P127" s="132">
        <v>0</v>
      </c>
      <c r="Q127" s="132">
        <v>22</v>
      </c>
      <c r="R127" s="132">
        <v>0</v>
      </c>
      <c r="S127" s="125"/>
      <c r="T127" s="125"/>
      <c r="U127" s="125"/>
      <c r="V127" s="125"/>
      <c r="W127" s="125"/>
      <c r="X127" s="125"/>
      <c r="Y127" s="4">
        <f>SUM(GC[[#This Row],[ICR1]:[ICR14]])</f>
        <v>41</v>
      </c>
      <c r="Z127" s="132" t="s">
        <v>359</v>
      </c>
      <c r="AA127" s="132" t="s">
        <v>381</v>
      </c>
    </row>
    <row r="128" spans="1:27">
      <c r="A128" s="132">
        <v>126</v>
      </c>
      <c r="B128" s="126">
        <f t="shared" si="1"/>
        <v>45508</v>
      </c>
      <c r="C128" s="127">
        <f>YEAR(GC[[#This Row],[Date]])+IF(MONTH(GC[[#This Row],[Date]])&gt;=4,1,0)</f>
        <v>2025</v>
      </c>
      <c r="D128" s="128">
        <f>YEAR(GC[[#This Row],[Date]])</f>
        <v>2024</v>
      </c>
      <c r="E128" s="125" t="s">
        <v>156</v>
      </c>
      <c r="F128" s="125" t="s">
        <v>156</v>
      </c>
      <c r="G128" s="129" t="str">
        <f>TEXT(GC[[#This Row],[Date]],"mmm-yy")</f>
        <v>Aug-24</v>
      </c>
      <c r="H128" s="129">
        <f>DAY(EOMONTH(GC[[#This Row],[Month Year]],0))</f>
        <v>31</v>
      </c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25"/>
      <c r="T128" s="125"/>
      <c r="U128" s="125"/>
      <c r="V128" s="125"/>
      <c r="W128" s="125"/>
      <c r="X128" s="125"/>
      <c r="Y128" s="4">
        <f>SUM(GC[[#This Row],[ICR1]:[ICR14]])</f>
        <v>0</v>
      </c>
      <c r="Z128" s="132"/>
      <c r="AA128" s="132"/>
    </row>
    <row r="129" spans="1:27">
      <c r="A129" s="132">
        <v>127</v>
      </c>
      <c r="B129" s="126">
        <f t="shared" si="1"/>
        <v>45509</v>
      </c>
      <c r="C129" s="127">
        <f>YEAR(GC[[#This Row],[Date]])+IF(MONTH(GC[[#This Row],[Date]])&gt;=4,1,0)</f>
        <v>2025</v>
      </c>
      <c r="D129" s="128">
        <f>YEAR(GC[[#This Row],[Date]])</f>
        <v>2024</v>
      </c>
      <c r="E129" s="125" t="s">
        <v>156</v>
      </c>
      <c r="F129" s="125" t="s">
        <v>156</v>
      </c>
      <c r="G129" s="129" t="str">
        <f>TEXT(GC[[#This Row],[Date]],"mmm-yy")</f>
        <v>Aug-24</v>
      </c>
      <c r="H129" s="129">
        <f>DAY(EOMONTH(GC[[#This Row],[Month Year]],0))</f>
        <v>31</v>
      </c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25"/>
      <c r="T129" s="125"/>
      <c r="U129" s="125"/>
      <c r="V129" s="125"/>
      <c r="W129" s="125"/>
      <c r="X129" s="125"/>
      <c r="Y129" s="4">
        <f>SUM(GC[[#This Row],[ICR1]:[ICR14]])</f>
        <v>0</v>
      </c>
      <c r="Z129" s="132"/>
      <c r="AA129" s="132"/>
    </row>
    <row r="130" spans="1:27">
      <c r="A130" s="132">
        <v>127</v>
      </c>
      <c r="B130" s="126">
        <f t="shared" si="1"/>
        <v>45510</v>
      </c>
      <c r="C130" s="127">
        <f>YEAR(GC[[#This Row],[Date]])+IF(MONTH(GC[[#This Row],[Date]])&gt;=4,1,0)</f>
        <v>2025</v>
      </c>
      <c r="D130" s="128">
        <f>YEAR(GC[[#This Row],[Date]])</f>
        <v>2024</v>
      </c>
      <c r="E130" s="125" t="s">
        <v>156</v>
      </c>
      <c r="F130" s="125" t="s">
        <v>156</v>
      </c>
      <c r="G130" s="129" t="str">
        <f>TEXT(GC[[#This Row],[Date]],"mmm-yy")</f>
        <v>Aug-24</v>
      </c>
      <c r="H130" s="129">
        <f>DAY(EOMONTH(GC[[#This Row],[Month Year]],0))</f>
        <v>31</v>
      </c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25"/>
      <c r="T130" s="125"/>
      <c r="U130" s="125"/>
      <c r="V130" s="125"/>
      <c r="W130" s="125"/>
      <c r="X130" s="125"/>
      <c r="Y130" s="4">
        <f>SUM(GC[[#This Row],[ICR1]:[ICR14]])</f>
        <v>0</v>
      </c>
      <c r="Z130" s="132"/>
      <c r="AA130" s="132"/>
    </row>
    <row r="131" spans="1:27">
      <c r="A131" s="132">
        <v>127</v>
      </c>
      <c r="B131" s="126">
        <f t="shared" si="1"/>
        <v>45511</v>
      </c>
      <c r="C131" s="127">
        <f>YEAR(GC[[#This Row],[Date]])+IF(MONTH(GC[[#This Row],[Date]])&gt;=4,1,0)</f>
        <v>2025</v>
      </c>
      <c r="D131" s="128">
        <f>YEAR(GC[[#This Row],[Date]])</f>
        <v>2024</v>
      </c>
      <c r="E131" s="125" t="s">
        <v>156</v>
      </c>
      <c r="F131" s="125" t="s">
        <v>156</v>
      </c>
      <c r="G131" s="129" t="str">
        <f>TEXT(GC[[#This Row],[Date]],"mmm-yy")</f>
        <v>Aug-24</v>
      </c>
      <c r="H131" s="129">
        <f>DAY(EOMONTH(GC[[#This Row],[Month Year]],0))</f>
        <v>31</v>
      </c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25"/>
      <c r="T131" s="125"/>
      <c r="U131" s="125"/>
      <c r="V131" s="125"/>
      <c r="W131" s="125"/>
      <c r="X131" s="125"/>
      <c r="Y131" s="4">
        <f>SUM(GC[[#This Row],[ICR1]:[ICR14]])</f>
        <v>0</v>
      </c>
      <c r="Z131" s="132"/>
      <c r="AA131" s="132"/>
    </row>
    <row r="132" spans="1:27">
      <c r="A132" s="132">
        <v>127</v>
      </c>
      <c r="B132" s="126">
        <f t="shared" si="1"/>
        <v>45512</v>
      </c>
      <c r="C132" s="127">
        <f>YEAR(GC[[#This Row],[Date]])+IF(MONTH(GC[[#This Row],[Date]])&gt;=4,1,0)</f>
        <v>2025</v>
      </c>
      <c r="D132" s="128">
        <f>YEAR(GC[[#This Row],[Date]])</f>
        <v>2024</v>
      </c>
      <c r="E132" s="125" t="s">
        <v>156</v>
      </c>
      <c r="F132" s="125" t="s">
        <v>156</v>
      </c>
      <c r="G132" s="129" t="str">
        <f>TEXT(GC[[#This Row],[Date]],"mmm-yy")</f>
        <v>Aug-24</v>
      </c>
      <c r="H132" s="129">
        <f>DAY(EOMONTH(GC[[#This Row],[Month Year]],0))</f>
        <v>31</v>
      </c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25"/>
      <c r="T132" s="125"/>
      <c r="U132" s="125"/>
      <c r="V132" s="125"/>
      <c r="W132" s="125"/>
      <c r="X132" s="125"/>
      <c r="Y132" s="4">
        <f>SUM(GC[[#This Row],[ICR1]:[ICR14]])</f>
        <v>0</v>
      </c>
      <c r="Z132" s="132"/>
      <c r="AA132" s="132"/>
    </row>
    <row r="133" spans="1:27">
      <c r="A133" s="132">
        <v>127</v>
      </c>
      <c r="B133" s="126">
        <f t="shared" ref="B133:B196" si="2">B132+1</f>
        <v>45513</v>
      </c>
      <c r="C133" s="127">
        <f>YEAR(GC[[#This Row],[Date]])+IF(MONTH(GC[[#This Row],[Date]])&gt;=4,1,0)</f>
        <v>2025</v>
      </c>
      <c r="D133" s="128">
        <f>YEAR(GC[[#This Row],[Date]])</f>
        <v>2024</v>
      </c>
      <c r="E133" s="125" t="s">
        <v>156</v>
      </c>
      <c r="F133" s="125" t="s">
        <v>156</v>
      </c>
      <c r="G133" s="129" t="str">
        <f>TEXT(GC[[#This Row],[Date]],"mmm-yy")</f>
        <v>Aug-24</v>
      </c>
      <c r="H133" s="129">
        <f>DAY(EOMONTH(GC[[#This Row],[Month Year]],0))</f>
        <v>31</v>
      </c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25"/>
      <c r="T133" s="125"/>
      <c r="U133" s="125"/>
      <c r="V133" s="125"/>
      <c r="W133" s="125"/>
      <c r="X133" s="125"/>
      <c r="Y133" s="4">
        <f>SUM(GC[[#This Row],[ICR1]:[ICR14]])</f>
        <v>0</v>
      </c>
      <c r="Z133" s="132"/>
      <c r="AA133" s="132"/>
    </row>
    <row r="134" spans="1:27">
      <c r="A134" s="132">
        <v>127</v>
      </c>
      <c r="B134" s="126">
        <f t="shared" si="2"/>
        <v>45514</v>
      </c>
      <c r="C134" s="127">
        <f>YEAR(GC[[#This Row],[Date]])+IF(MONTH(GC[[#This Row],[Date]])&gt;=4,1,0)</f>
        <v>2025</v>
      </c>
      <c r="D134" s="128">
        <f>YEAR(GC[[#This Row],[Date]])</f>
        <v>2024</v>
      </c>
      <c r="E134" s="125" t="s">
        <v>156</v>
      </c>
      <c r="F134" s="125" t="s">
        <v>156</v>
      </c>
      <c r="G134" s="129" t="str">
        <f>TEXT(GC[[#This Row],[Date]],"mmm-yy")</f>
        <v>Aug-24</v>
      </c>
      <c r="H134" s="129">
        <f>DAY(EOMONTH(GC[[#This Row],[Month Year]],0))</f>
        <v>31</v>
      </c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25"/>
      <c r="T134" s="125"/>
      <c r="U134" s="125"/>
      <c r="V134" s="125"/>
      <c r="W134" s="125"/>
      <c r="X134" s="125"/>
      <c r="Y134" s="4">
        <f>SUM(GC[[#This Row],[ICR1]:[ICR14]])</f>
        <v>0</v>
      </c>
      <c r="Z134" s="132"/>
      <c r="AA134" s="132"/>
    </row>
    <row r="135" spans="1:27">
      <c r="A135" s="132">
        <v>127</v>
      </c>
      <c r="B135" s="126">
        <f t="shared" si="2"/>
        <v>45515</v>
      </c>
      <c r="C135" s="127">
        <f>YEAR(GC[[#This Row],[Date]])+IF(MONTH(GC[[#This Row],[Date]])&gt;=4,1,0)</f>
        <v>2025</v>
      </c>
      <c r="D135" s="128">
        <f>YEAR(GC[[#This Row],[Date]])</f>
        <v>2024</v>
      </c>
      <c r="E135" s="125" t="s">
        <v>156</v>
      </c>
      <c r="F135" s="125" t="s">
        <v>156</v>
      </c>
      <c r="G135" s="129" t="str">
        <f>TEXT(GC[[#This Row],[Date]],"mmm-yy")</f>
        <v>Aug-24</v>
      </c>
      <c r="H135" s="129">
        <f>DAY(EOMONTH(GC[[#This Row],[Month Year]],0))</f>
        <v>31</v>
      </c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25"/>
      <c r="T135" s="125"/>
      <c r="U135" s="125"/>
      <c r="V135" s="125"/>
      <c r="W135" s="125"/>
      <c r="X135" s="125"/>
      <c r="Y135" s="4">
        <f>SUM(GC[[#This Row],[ICR1]:[ICR14]])</f>
        <v>0</v>
      </c>
      <c r="Z135" s="132"/>
      <c r="AA135" s="132"/>
    </row>
    <row r="136" spans="1:27">
      <c r="A136" s="132">
        <v>127</v>
      </c>
      <c r="B136" s="126">
        <f t="shared" si="2"/>
        <v>45516</v>
      </c>
      <c r="C136" s="127">
        <f>YEAR(GC[[#This Row],[Date]])+IF(MONTH(GC[[#This Row],[Date]])&gt;=4,1,0)</f>
        <v>2025</v>
      </c>
      <c r="D136" s="128">
        <f>YEAR(GC[[#This Row],[Date]])</f>
        <v>2024</v>
      </c>
      <c r="E136" s="125" t="s">
        <v>156</v>
      </c>
      <c r="F136" s="125" t="s">
        <v>156</v>
      </c>
      <c r="G136" s="129" t="str">
        <f>TEXT(GC[[#This Row],[Date]],"mmm-yy")</f>
        <v>Aug-24</v>
      </c>
      <c r="H136" s="129">
        <f>DAY(EOMONTH(GC[[#This Row],[Month Year]],0))</f>
        <v>31</v>
      </c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25"/>
      <c r="T136" s="125"/>
      <c r="U136" s="125"/>
      <c r="V136" s="125"/>
      <c r="W136" s="125"/>
      <c r="X136" s="125"/>
      <c r="Y136" s="4">
        <f>SUM(GC[[#This Row],[ICR1]:[ICR14]])</f>
        <v>0</v>
      </c>
      <c r="Z136" s="132"/>
      <c r="AA136" s="132"/>
    </row>
    <row r="137" spans="1:27">
      <c r="A137" s="132">
        <v>127</v>
      </c>
      <c r="B137" s="126">
        <f t="shared" si="2"/>
        <v>45517</v>
      </c>
      <c r="C137" s="127">
        <f>YEAR(GC[[#This Row],[Date]])+IF(MONTH(GC[[#This Row],[Date]])&gt;=4,1,0)</f>
        <v>2025</v>
      </c>
      <c r="D137" s="128">
        <f>YEAR(GC[[#This Row],[Date]])</f>
        <v>2024</v>
      </c>
      <c r="E137" s="125" t="s">
        <v>156</v>
      </c>
      <c r="F137" s="125" t="s">
        <v>156</v>
      </c>
      <c r="G137" s="129" t="str">
        <f>TEXT(GC[[#This Row],[Date]],"mmm-yy")</f>
        <v>Aug-24</v>
      </c>
      <c r="H137" s="129">
        <f>DAY(EOMONTH(GC[[#This Row],[Month Year]],0))</f>
        <v>31</v>
      </c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25"/>
      <c r="T137" s="125"/>
      <c r="U137" s="125"/>
      <c r="V137" s="125"/>
      <c r="W137" s="125"/>
      <c r="X137" s="125"/>
      <c r="Y137" s="4">
        <f>SUM(GC[[#This Row],[ICR1]:[ICR14]])</f>
        <v>0</v>
      </c>
      <c r="Z137" s="132"/>
      <c r="AA137" s="132"/>
    </row>
    <row r="138" spans="1:27">
      <c r="A138" s="132">
        <v>127</v>
      </c>
      <c r="B138" s="126">
        <f t="shared" si="2"/>
        <v>45518</v>
      </c>
      <c r="C138" s="127">
        <f>YEAR(GC[[#This Row],[Date]])+IF(MONTH(GC[[#This Row],[Date]])&gt;=4,1,0)</f>
        <v>2025</v>
      </c>
      <c r="D138" s="128">
        <f>YEAR(GC[[#This Row],[Date]])</f>
        <v>2024</v>
      </c>
      <c r="E138" s="125" t="s">
        <v>156</v>
      </c>
      <c r="F138" s="125" t="s">
        <v>156</v>
      </c>
      <c r="G138" s="129" t="str">
        <f>TEXT(GC[[#This Row],[Date]],"mmm-yy")</f>
        <v>Aug-24</v>
      </c>
      <c r="H138" s="129">
        <f>DAY(EOMONTH(GC[[#This Row],[Month Year]],0))</f>
        <v>31</v>
      </c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25"/>
      <c r="T138" s="125"/>
      <c r="U138" s="125"/>
      <c r="V138" s="125"/>
      <c r="W138" s="125"/>
      <c r="X138" s="125"/>
      <c r="Y138" s="4">
        <f>SUM(GC[[#This Row],[ICR1]:[ICR14]])</f>
        <v>0</v>
      </c>
      <c r="Z138" s="132"/>
      <c r="AA138" s="132"/>
    </row>
    <row r="139" spans="1:27">
      <c r="A139" s="132">
        <v>127</v>
      </c>
      <c r="B139" s="126">
        <f t="shared" si="2"/>
        <v>45519</v>
      </c>
      <c r="C139" s="127">
        <f>YEAR(GC[[#This Row],[Date]])+IF(MONTH(GC[[#This Row],[Date]])&gt;=4,1,0)</f>
        <v>2025</v>
      </c>
      <c r="D139" s="128">
        <f>YEAR(GC[[#This Row],[Date]])</f>
        <v>2024</v>
      </c>
      <c r="E139" s="125" t="s">
        <v>156</v>
      </c>
      <c r="F139" s="125" t="s">
        <v>156</v>
      </c>
      <c r="G139" s="129" t="str">
        <f>TEXT(GC[[#This Row],[Date]],"mmm-yy")</f>
        <v>Aug-24</v>
      </c>
      <c r="H139" s="129">
        <f>DAY(EOMONTH(GC[[#This Row],[Month Year]],0))</f>
        <v>31</v>
      </c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25"/>
      <c r="T139" s="125"/>
      <c r="U139" s="125"/>
      <c r="V139" s="125"/>
      <c r="W139" s="125"/>
      <c r="X139" s="125"/>
      <c r="Y139" s="4">
        <f>SUM(GC[[#This Row],[ICR1]:[ICR14]])</f>
        <v>0</v>
      </c>
      <c r="Z139" s="132"/>
      <c r="AA139" s="132"/>
    </row>
    <row r="140" spans="1:27">
      <c r="A140" s="132">
        <v>127</v>
      </c>
      <c r="B140" s="126">
        <f t="shared" si="2"/>
        <v>45520</v>
      </c>
      <c r="C140" s="127">
        <f>YEAR(GC[[#This Row],[Date]])+IF(MONTH(GC[[#This Row],[Date]])&gt;=4,1,0)</f>
        <v>2025</v>
      </c>
      <c r="D140" s="128">
        <f>YEAR(GC[[#This Row],[Date]])</f>
        <v>2024</v>
      </c>
      <c r="E140" s="125" t="s">
        <v>156</v>
      </c>
      <c r="F140" s="125" t="s">
        <v>156</v>
      </c>
      <c r="G140" s="129" t="str">
        <f>TEXT(GC[[#This Row],[Date]],"mmm-yy")</f>
        <v>Aug-24</v>
      </c>
      <c r="H140" s="129">
        <f>DAY(EOMONTH(GC[[#This Row],[Month Year]],0))</f>
        <v>31</v>
      </c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25"/>
      <c r="T140" s="125"/>
      <c r="U140" s="125"/>
      <c r="V140" s="125"/>
      <c r="W140" s="125"/>
      <c r="X140" s="125"/>
      <c r="Y140" s="4">
        <f>SUM(GC[[#This Row],[ICR1]:[ICR14]])</f>
        <v>0</v>
      </c>
      <c r="Z140" s="132"/>
      <c r="AA140" s="132"/>
    </row>
    <row r="141" spans="1:27">
      <c r="A141" s="132">
        <v>139</v>
      </c>
      <c r="B141" s="126">
        <f t="shared" si="2"/>
        <v>45521</v>
      </c>
      <c r="C141" s="127">
        <f>YEAR(GC[[#This Row],[Date]])+IF(MONTH(GC[[#This Row],[Date]])&gt;=4,1,0)</f>
        <v>2025</v>
      </c>
      <c r="D141" s="128">
        <f>YEAR(GC[[#This Row],[Date]])</f>
        <v>2024</v>
      </c>
      <c r="E141" s="125" t="s">
        <v>156</v>
      </c>
      <c r="F141" s="125" t="s">
        <v>156</v>
      </c>
      <c r="G141" s="129" t="str">
        <f>TEXT(GC[[#This Row],[Date]],"mmm-yy")</f>
        <v>Aug-24</v>
      </c>
      <c r="H141" s="129">
        <f>DAY(EOMONTH(GC[[#This Row],[Month Year]],0))</f>
        <v>31</v>
      </c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25"/>
      <c r="T141" s="125"/>
      <c r="U141" s="125"/>
      <c r="V141" s="125"/>
      <c r="W141" s="125"/>
      <c r="X141" s="125"/>
      <c r="Y141" s="4">
        <f>SUM(GC[[#This Row],[ICR1]:[ICR14]])</f>
        <v>0</v>
      </c>
      <c r="Z141" s="132"/>
      <c r="AA141" s="132"/>
    </row>
    <row r="142" spans="1:27">
      <c r="A142" s="132">
        <v>140</v>
      </c>
      <c r="B142" s="126">
        <f t="shared" si="2"/>
        <v>45522</v>
      </c>
      <c r="C142" s="127">
        <f>YEAR(GC[[#This Row],[Date]])+IF(MONTH(GC[[#This Row],[Date]])&gt;=4,1,0)</f>
        <v>2025</v>
      </c>
      <c r="D142" s="128">
        <f>YEAR(GC[[#This Row],[Date]])</f>
        <v>2024</v>
      </c>
      <c r="E142" s="125" t="s">
        <v>156</v>
      </c>
      <c r="F142" s="125" t="s">
        <v>156</v>
      </c>
      <c r="G142" s="129" t="str">
        <f>TEXT(GC[[#This Row],[Date]],"mmm-yy")</f>
        <v>Aug-24</v>
      </c>
      <c r="H142" s="129">
        <f>DAY(EOMONTH(GC[[#This Row],[Month Year]],0))</f>
        <v>31</v>
      </c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25"/>
      <c r="T142" s="125"/>
      <c r="U142" s="125"/>
      <c r="V142" s="125"/>
      <c r="W142" s="125"/>
      <c r="X142" s="125"/>
      <c r="Y142" s="4">
        <f>SUM(GC[[#This Row],[ICR1]:[ICR14]])</f>
        <v>0</v>
      </c>
      <c r="Z142" s="132"/>
      <c r="AA142" s="132"/>
    </row>
    <row r="143" spans="1:27">
      <c r="A143" s="132">
        <v>141</v>
      </c>
      <c r="B143" s="126">
        <f t="shared" si="2"/>
        <v>45523</v>
      </c>
      <c r="C143" s="127">
        <f>YEAR(GC[[#This Row],[Date]])+IF(MONTH(GC[[#This Row],[Date]])&gt;=4,1,0)</f>
        <v>2025</v>
      </c>
      <c r="D143" s="128">
        <f>YEAR(GC[[#This Row],[Date]])</f>
        <v>2024</v>
      </c>
      <c r="E143" s="125" t="s">
        <v>156</v>
      </c>
      <c r="F143" s="125" t="s">
        <v>156</v>
      </c>
      <c r="G143" s="129" t="str">
        <f>TEXT(GC[[#This Row],[Date]],"mmm-yy")</f>
        <v>Aug-24</v>
      </c>
      <c r="H143" s="129">
        <f>DAY(EOMONTH(GC[[#This Row],[Month Year]],0))</f>
        <v>31</v>
      </c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25"/>
      <c r="T143" s="125"/>
      <c r="U143" s="125"/>
      <c r="V143" s="125"/>
      <c r="W143" s="125"/>
      <c r="X143" s="125"/>
      <c r="Y143" s="4">
        <f>SUM(GC[[#This Row],[ICR1]:[ICR14]])</f>
        <v>0</v>
      </c>
      <c r="Z143" s="132"/>
      <c r="AA143" s="132"/>
    </row>
    <row r="144" spans="1:27">
      <c r="A144" s="132">
        <v>142</v>
      </c>
      <c r="B144" s="126">
        <f t="shared" si="2"/>
        <v>45524</v>
      </c>
      <c r="C144" s="127">
        <f>YEAR(GC[[#This Row],[Date]])+IF(MONTH(GC[[#This Row],[Date]])&gt;=4,1,0)</f>
        <v>2025</v>
      </c>
      <c r="D144" s="128">
        <f>YEAR(GC[[#This Row],[Date]])</f>
        <v>2024</v>
      </c>
      <c r="E144" s="125" t="s">
        <v>156</v>
      </c>
      <c r="F144" s="125" t="s">
        <v>156</v>
      </c>
      <c r="G144" s="129" t="str">
        <f>TEXT(GC[[#This Row],[Date]],"mmm-yy")</f>
        <v>Aug-24</v>
      </c>
      <c r="H144" s="129">
        <f>DAY(EOMONTH(GC[[#This Row],[Month Year]],0))</f>
        <v>31</v>
      </c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25"/>
      <c r="T144" s="125"/>
      <c r="U144" s="125"/>
      <c r="V144" s="125"/>
      <c r="W144" s="125"/>
      <c r="X144" s="125"/>
      <c r="Y144" s="4">
        <f>SUM(GC[[#This Row],[ICR1]:[ICR14]])</f>
        <v>0</v>
      </c>
      <c r="Z144" s="132"/>
      <c r="AA144" s="132"/>
    </row>
    <row r="145" spans="1:27">
      <c r="A145" s="132">
        <v>143</v>
      </c>
      <c r="B145" s="126">
        <f t="shared" si="2"/>
        <v>45525</v>
      </c>
      <c r="C145" s="127">
        <f>YEAR(GC[[#This Row],[Date]])+IF(MONTH(GC[[#This Row],[Date]])&gt;=4,1,0)</f>
        <v>2025</v>
      </c>
      <c r="D145" s="128">
        <f>YEAR(GC[[#This Row],[Date]])</f>
        <v>2024</v>
      </c>
      <c r="E145" s="125" t="s">
        <v>156</v>
      </c>
      <c r="F145" s="125" t="s">
        <v>156</v>
      </c>
      <c r="G145" s="129" t="str">
        <f>TEXT(GC[[#This Row],[Date]],"mmm-yy")</f>
        <v>Aug-24</v>
      </c>
      <c r="H145" s="129">
        <f>DAY(EOMONTH(GC[[#This Row],[Month Year]],0))</f>
        <v>31</v>
      </c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25"/>
      <c r="T145" s="125"/>
      <c r="U145" s="125"/>
      <c r="V145" s="125"/>
      <c r="W145" s="125"/>
      <c r="X145" s="125"/>
      <c r="Y145" s="4">
        <f>SUM(GC[[#This Row],[ICR1]:[ICR14]])</f>
        <v>0</v>
      </c>
      <c r="Z145" s="132"/>
      <c r="AA145" s="132"/>
    </row>
    <row r="146" spans="1:27">
      <c r="A146" s="132">
        <v>144</v>
      </c>
      <c r="B146" s="126">
        <f t="shared" si="2"/>
        <v>45526</v>
      </c>
      <c r="C146" s="127">
        <f>YEAR(GC[[#This Row],[Date]])+IF(MONTH(GC[[#This Row],[Date]])&gt;=4,1,0)</f>
        <v>2025</v>
      </c>
      <c r="D146" s="128">
        <f>YEAR(GC[[#This Row],[Date]])</f>
        <v>2024</v>
      </c>
      <c r="E146" s="125" t="s">
        <v>156</v>
      </c>
      <c r="F146" s="125" t="s">
        <v>156</v>
      </c>
      <c r="G146" s="129" t="str">
        <f>TEXT(GC[[#This Row],[Date]],"mmm-yy")</f>
        <v>Aug-24</v>
      </c>
      <c r="H146" s="129">
        <f>DAY(EOMONTH(GC[[#This Row],[Month Year]],0))</f>
        <v>31</v>
      </c>
      <c r="I146" s="132"/>
      <c r="J146" s="135"/>
      <c r="K146" s="132"/>
      <c r="L146" s="132"/>
      <c r="M146" s="132"/>
      <c r="N146" s="132"/>
      <c r="O146" s="132"/>
      <c r="P146" s="132"/>
      <c r="Q146" s="132"/>
      <c r="R146" s="132"/>
      <c r="S146" s="125"/>
      <c r="T146" s="125"/>
      <c r="U146" s="125"/>
      <c r="V146" s="125"/>
      <c r="W146" s="125"/>
      <c r="X146" s="125"/>
      <c r="Y146" s="4">
        <f>SUM(GC[[#This Row],[ICR1]:[ICR14]])</f>
        <v>0</v>
      </c>
      <c r="Z146" s="136"/>
      <c r="AA146" s="134"/>
    </row>
    <row r="147" spans="1:27">
      <c r="A147" s="132">
        <v>145</v>
      </c>
      <c r="B147" s="126">
        <f t="shared" si="2"/>
        <v>45527</v>
      </c>
      <c r="C147" s="127">
        <f>YEAR(GC[[#This Row],[Date]])+IF(MONTH(GC[[#This Row],[Date]])&gt;=4,1,0)</f>
        <v>2025</v>
      </c>
      <c r="D147" s="128">
        <f>YEAR(GC[[#This Row],[Date]])</f>
        <v>2024</v>
      </c>
      <c r="E147" s="125" t="s">
        <v>156</v>
      </c>
      <c r="F147" s="125" t="s">
        <v>156</v>
      </c>
      <c r="G147" s="129" t="str">
        <f>TEXT(GC[[#This Row],[Date]],"mmm-yy")</f>
        <v>Aug-24</v>
      </c>
      <c r="H147" s="129">
        <f>DAY(EOMONTH(GC[[#This Row],[Month Year]],0))</f>
        <v>31</v>
      </c>
      <c r="I147" s="132"/>
      <c r="J147" s="135"/>
      <c r="K147" s="132"/>
      <c r="L147" s="132"/>
      <c r="M147" s="132"/>
      <c r="N147" s="132"/>
      <c r="O147" s="132"/>
      <c r="P147" s="132"/>
      <c r="Q147" s="132"/>
      <c r="R147" s="132"/>
      <c r="S147" s="125"/>
      <c r="T147" s="125"/>
      <c r="U147" s="125"/>
      <c r="V147" s="125"/>
      <c r="W147" s="125"/>
      <c r="X147" s="125"/>
      <c r="Y147" s="4">
        <f>SUM(GC[[#This Row],[ICR1]:[ICR14]])</f>
        <v>0</v>
      </c>
      <c r="Z147" s="136"/>
      <c r="AA147" s="134"/>
    </row>
    <row r="148" spans="1:27">
      <c r="A148" s="132">
        <v>146</v>
      </c>
      <c r="B148" s="126">
        <f t="shared" si="2"/>
        <v>45528</v>
      </c>
      <c r="C148" s="127">
        <f>YEAR(GC[[#This Row],[Date]])+IF(MONTH(GC[[#This Row],[Date]])&gt;=4,1,0)</f>
        <v>2025</v>
      </c>
      <c r="D148" s="128">
        <f>YEAR(GC[[#This Row],[Date]])</f>
        <v>2024</v>
      </c>
      <c r="E148" s="125" t="s">
        <v>156</v>
      </c>
      <c r="F148" s="125" t="s">
        <v>156</v>
      </c>
      <c r="G148" s="129" t="str">
        <f>TEXT(GC[[#This Row],[Date]],"mmm-yy")</f>
        <v>Aug-24</v>
      </c>
      <c r="H148" s="129">
        <f>DAY(EOMONTH(GC[[#This Row],[Month Year]],0))</f>
        <v>31</v>
      </c>
      <c r="I148" s="132"/>
      <c r="J148" s="136"/>
      <c r="K148" s="132"/>
      <c r="L148" s="132"/>
      <c r="M148" s="132"/>
      <c r="N148" s="132"/>
      <c r="O148" s="132"/>
      <c r="P148" s="132"/>
      <c r="Q148" s="132"/>
      <c r="R148" s="132"/>
      <c r="S148" s="125"/>
      <c r="T148" s="125"/>
      <c r="U148" s="125"/>
      <c r="V148" s="125"/>
      <c r="W148" s="125"/>
      <c r="X148" s="125"/>
      <c r="Y148" s="4">
        <f>SUM(GC[[#This Row],[ICR1]:[ICR14]])</f>
        <v>0</v>
      </c>
      <c r="Z148" s="136"/>
      <c r="AA148" s="134"/>
    </row>
    <row r="149" spans="1:27">
      <c r="A149" s="132">
        <v>147</v>
      </c>
      <c r="B149" s="126">
        <f t="shared" si="2"/>
        <v>45529</v>
      </c>
      <c r="C149" s="127">
        <f>YEAR(GC[[#This Row],[Date]])+IF(MONTH(GC[[#This Row],[Date]])&gt;=4,1,0)</f>
        <v>2025</v>
      </c>
      <c r="D149" s="128">
        <f>YEAR(GC[[#This Row],[Date]])</f>
        <v>2024</v>
      </c>
      <c r="E149" s="125" t="s">
        <v>156</v>
      </c>
      <c r="F149" s="125" t="s">
        <v>156</v>
      </c>
      <c r="G149" s="129" t="str">
        <f>TEXT(GC[[#This Row],[Date]],"mmm-yy")</f>
        <v>Aug-24</v>
      </c>
      <c r="H149" s="129">
        <f>DAY(EOMONTH(GC[[#This Row],[Month Year]],0))</f>
        <v>31</v>
      </c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25"/>
      <c r="T149" s="125"/>
      <c r="U149" s="125"/>
      <c r="V149" s="125"/>
      <c r="W149" s="125"/>
      <c r="X149" s="125"/>
      <c r="Y149" s="4">
        <f>SUM(GC[[#This Row],[ICR1]:[ICR14]])</f>
        <v>0</v>
      </c>
      <c r="Z149" s="132"/>
      <c r="AA149" s="132"/>
    </row>
    <row r="150" spans="1:27">
      <c r="A150" s="132">
        <v>148</v>
      </c>
      <c r="B150" s="126">
        <f t="shared" si="2"/>
        <v>45530</v>
      </c>
      <c r="C150" s="127">
        <f>YEAR(GC[[#This Row],[Date]])+IF(MONTH(GC[[#This Row],[Date]])&gt;=4,1,0)</f>
        <v>2025</v>
      </c>
      <c r="D150" s="128">
        <f>YEAR(GC[[#This Row],[Date]])</f>
        <v>2024</v>
      </c>
      <c r="E150" s="125" t="s">
        <v>156</v>
      </c>
      <c r="F150" s="125" t="s">
        <v>156</v>
      </c>
      <c r="G150" s="129" t="str">
        <f>TEXT(GC[[#This Row],[Date]],"mmm-yy")</f>
        <v>Aug-24</v>
      </c>
      <c r="H150" s="129">
        <f>DAY(EOMONTH(GC[[#This Row],[Month Year]],0))</f>
        <v>31</v>
      </c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25"/>
      <c r="T150" s="125"/>
      <c r="U150" s="125"/>
      <c r="V150" s="125"/>
      <c r="W150" s="125"/>
      <c r="X150" s="125"/>
      <c r="Y150" s="4">
        <f>SUM(GC[[#This Row],[ICR1]:[ICR14]])</f>
        <v>0</v>
      </c>
      <c r="Z150" s="132"/>
      <c r="AA150" s="134"/>
    </row>
    <row r="151" spans="1:27">
      <c r="A151" s="132">
        <v>149</v>
      </c>
      <c r="B151" s="126">
        <f t="shared" si="2"/>
        <v>45531</v>
      </c>
      <c r="C151" s="127">
        <f>YEAR(GC[[#This Row],[Date]])+IF(MONTH(GC[[#This Row],[Date]])&gt;=4,1,0)</f>
        <v>2025</v>
      </c>
      <c r="D151" s="128">
        <f>YEAR(GC[[#This Row],[Date]])</f>
        <v>2024</v>
      </c>
      <c r="E151" s="125" t="s">
        <v>156</v>
      </c>
      <c r="F151" s="125" t="s">
        <v>156</v>
      </c>
      <c r="G151" s="129" t="str">
        <f>TEXT(GC[[#This Row],[Date]],"mmm-yy")</f>
        <v>Aug-24</v>
      </c>
      <c r="H151" s="129">
        <f>DAY(EOMONTH(GC[[#This Row],[Month Year]],0))</f>
        <v>31</v>
      </c>
      <c r="I151" s="132">
        <v>1</v>
      </c>
      <c r="J151" s="132" t="s">
        <v>359</v>
      </c>
      <c r="K151" s="132">
        <v>0</v>
      </c>
      <c r="L151" s="132">
        <v>0</v>
      </c>
      <c r="M151" s="132">
        <v>0</v>
      </c>
      <c r="N151" s="132">
        <v>0</v>
      </c>
      <c r="O151" s="132">
        <v>0</v>
      </c>
      <c r="P151" s="132">
        <v>0</v>
      </c>
      <c r="Q151" s="132">
        <v>0</v>
      </c>
      <c r="R151" s="132">
        <v>12</v>
      </c>
      <c r="S151" s="125"/>
      <c r="T151" s="125"/>
      <c r="U151" s="125"/>
      <c r="V151" s="125"/>
      <c r="W151" s="125"/>
      <c r="X151" s="125"/>
      <c r="Y151" s="4">
        <f>SUM(GC[[#This Row],[ICR1]:[ICR14]])</f>
        <v>12</v>
      </c>
      <c r="Z151" s="132" t="s">
        <v>359</v>
      </c>
      <c r="AA151" s="288" t="s">
        <v>382</v>
      </c>
    </row>
    <row r="152" spans="1:27">
      <c r="A152" s="132">
        <v>150</v>
      </c>
      <c r="B152" s="126">
        <f t="shared" si="2"/>
        <v>45532</v>
      </c>
      <c r="C152" s="127">
        <f>YEAR(GC[[#This Row],[Date]])+IF(MONTH(GC[[#This Row],[Date]])&gt;=4,1,0)</f>
        <v>2025</v>
      </c>
      <c r="D152" s="128">
        <f>YEAR(GC[[#This Row],[Date]])</f>
        <v>2024</v>
      </c>
      <c r="E152" s="125" t="s">
        <v>156</v>
      </c>
      <c r="F152" s="125" t="s">
        <v>156</v>
      </c>
      <c r="G152" s="129" t="str">
        <f>TEXT(GC[[#This Row],[Date]],"mmm-yy")</f>
        <v>Aug-24</v>
      </c>
      <c r="H152" s="129">
        <f>DAY(EOMONTH(GC[[#This Row],[Month Year]],0))</f>
        <v>31</v>
      </c>
      <c r="I152" s="132">
        <v>1</v>
      </c>
      <c r="J152" s="132" t="s">
        <v>359</v>
      </c>
      <c r="K152" s="132">
        <v>0</v>
      </c>
      <c r="L152" s="132">
        <v>0</v>
      </c>
      <c r="M152" s="132">
        <v>0</v>
      </c>
      <c r="N152" s="132">
        <v>0</v>
      </c>
      <c r="O152" s="132">
        <v>0</v>
      </c>
      <c r="P152" s="132">
        <v>0</v>
      </c>
      <c r="Q152" s="132">
        <v>0</v>
      </c>
      <c r="R152" s="132">
        <v>29</v>
      </c>
      <c r="S152" s="125"/>
      <c r="T152" s="125"/>
      <c r="U152" s="125"/>
      <c r="V152" s="125"/>
      <c r="W152" s="125"/>
      <c r="X152" s="125"/>
      <c r="Y152" s="4">
        <f>SUM(GC[[#This Row],[ICR1]:[ICR14]])</f>
        <v>29</v>
      </c>
      <c r="Z152" s="132" t="s">
        <v>359</v>
      </c>
      <c r="AA152" s="288" t="s">
        <v>383</v>
      </c>
    </row>
    <row r="153" spans="1:27">
      <c r="A153" s="132">
        <v>151</v>
      </c>
      <c r="B153" s="126">
        <f t="shared" si="2"/>
        <v>45533</v>
      </c>
      <c r="C153" s="127">
        <f>YEAR(GC[[#This Row],[Date]])+IF(MONTH(GC[[#This Row],[Date]])&gt;=4,1,0)</f>
        <v>2025</v>
      </c>
      <c r="D153" s="128">
        <f>YEAR(GC[[#This Row],[Date]])</f>
        <v>2024</v>
      </c>
      <c r="E153" s="125" t="s">
        <v>156</v>
      </c>
      <c r="F153" s="125" t="s">
        <v>156</v>
      </c>
      <c r="G153" s="129" t="str">
        <f>TEXT(GC[[#This Row],[Date]],"mmm-yy")</f>
        <v>Aug-24</v>
      </c>
      <c r="H153" s="129">
        <f>DAY(EOMONTH(GC[[#This Row],[Month Year]],0))</f>
        <v>31</v>
      </c>
      <c r="I153" s="132">
        <v>1</v>
      </c>
      <c r="J153" s="132" t="s">
        <v>359</v>
      </c>
      <c r="K153" s="132">
        <v>0</v>
      </c>
      <c r="L153" s="132">
        <v>0</v>
      </c>
      <c r="M153" s="132">
        <v>0</v>
      </c>
      <c r="N153" s="132">
        <v>0</v>
      </c>
      <c r="O153" s="132">
        <v>0</v>
      </c>
      <c r="P153" s="132">
        <v>0</v>
      </c>
      <c r="Q153" s="132">
        <v>0</v>
      </c>
      <c r="R153" s="132">
        <v>25</v>
      </c>
      <c r="S153" s="125"/>
      <c r="T153" s="125"/>
      <c r="U153" s="125"/>
      <c r="V153" s="125"/>
      <c r="W153" s="125"/>
      <c r="X153" s="125"/>
      <c r="Y153" s="4">
        <f>SUM(GC[[#This Row],[ICR1]:[ICR14]])</f>
        <v>25</v>
      </c>
      <c r="Z153" s="132" t="s">
        <v>359</v>
      </c>
      <c r="AA153" s="288" t="s">
        <v>384</v>
      </c>
    </row>
    <row r="154" spans="1:27">
      <c r="A154" s="132">
        <v>152</v>
      </c>
      <c r="B154" s="126">
        <f t="shared" si="2"/>
        <v>45534</v>
      </c>
      <c r="C154" s="127">
        <f>YEAR(GC[[#This Row],[Date]])+IF(MONTH(GC[[#This Row],[Date]])&gt;=4,1,0)</f>
        <v>2025</v>
      </c>
      <c r="D154" s="128">
        <f>YEAR(GC[[#This Row],[Date]])</f>
        <v>2024</v>
      </c>
      <c r="E154" s="125" t="s">
        <v>156</v>
      </c>
      <c r="F154" s="125" t="s">
        <v>156</v>
      </c>
      <c r="G154" s="129" t="str">
        <f>TEXT(GC[[#This Row],[Date]],"mmm-yy")</f>
        <v>Aug-24</v>
      </c>
      <c r="H154" s="129">
        <f>DAY(EOMONTH(GC[[#This Row],[Month Year]],0))</f>
        <v>31</v>
      </c>
      <c r="I154" s="132">
        <v>1</v>
      </c>
      <c r="J154" s="132" t="s">
        <v>359</v>
      </c>
      <c r="K154" s="132">
        <v>0</v>
      </c>
      <c r="L154" s="132">
        <v>0</v>
      </c>
      <c r="M154" s="132">
        <v>0</v>
      </c>
      <c r="N154" s="132">
        <v>0</v>
      </c>
      <c r="O154" s="132">
        <v>0</v>
      </c>
      <c r="P154" s="132">
        <v>0</v>
      </c>
      <c r="Q154" s="132">
        <v>0</v>
      </c>
      <c r="R154" s="132">
        <v>23</v>
      </c>
      <c r="S154" s="125"/>
      <c r="T154" s="125"/>
      <c r="U154" s="125"/>
      <c r="V154" s="125"/>
      <c r="W154" s="125"/>
      <c r="X154" s="125"/>
      <c r="Y154" s="4">
        <f>SUM(GC[[#This Row],[ICR1]:[ICR14]])</f>
        <v>23</v>
      </c>
      <c r="Z154" s="132" t="s">
        <v>359</v>
      </c>
      <c r="AA154" s="288" t="s">
        <v>385</v>
      </c>
    </row>
    <row r="155" spans="1:27">
      <c r="A155" s="132">
        <v>153</v>
      </c>
      <c r="B155" s="126">
        <f t="shared" si="2"/>
        <v>45535</v>
      </c>
      <c r="C155" s="127">
        <f>YEAR(GC[[#This Row],[Date]])+IF(MONTH(GC[[#This Row],[Date]])&gt;=4,1,0)</f>
        <v>2025</v>
      </c>
      <c r="D155" s="128">
        <f>YEAR(GC[[#This Row],[Date]])</f>
        <v>2024</v>
      </c>
      <c r="E155" s="125" t="s">
        <v>156</v>
      </c>
      <c r="F155" s="125" t="s">
        <v>156</v>
      </c>
      <c r="G155" s="129" t="str">
        <f>TEXT(GC[[#This Row],[Date]],"mmm-yy")</f>
        <v>Aug-24</v>
      </c>
      <c r="H155" s="129">
        <f>DAY(EOMONTH(GC[[#This Row],[Month Year]],0))</f>
        <v>31</v>
      </c>
      <c r="I155" s="132">
        <v>1</v>
      </c>
      <c r="J155" s="132" t="s">
        <v>359</v>
      </c>
      <c r="K155" s="132">
        <v>0</v>
      </c>
      <c r="L155" s="132">
        <v>0</v>
      </c>
      <c r="M155" s="132">
        <v>0</v>
      </c>
      <c r="N155" s="132">
        <v>0</v>
      </c>
      <c r="O155" s="132">
        <v>0</v>
      </c>
      <c r="P155" s="132">
        <v>0</v>
      </c>
      <c r="Q155" s="132">
        <v>0</v>
      </c>
      <c r="R155" s="132">
        <v>28</v>
      </c>
      <c r="S155" s="125"/>
      <c r="T155" s="125"/>
      <c r="U155" s="125"/>
      <c r="V155" s="125"/>
      <c r="W155" s="125"/>
      <c r="X155" s="125"/>
      <c r="Y155" s="4">
        <f>SUM(GC[[#This Row],[ICR1]:[ICR14]])</f>
        <v>28</v>
      </c>
      <c r="Z155" s="132" t="s">
        <v>359</v>
      </c>
      <c r="AA155" s="288" t="s">
        <v>386</v>
      </c>
    </row>
    <row r="156" spans="1:27">
      <c r="A156" s="132">
        <v>154</v>
      </c>
      <c r="B156" s="126">
        <f t="shared" si="2"/>
        <v>45536</v>
      </c>
      <c r="C156" s="127">
        <f>YEAR(GC[[#This Row],[Date]])+IF(MONTH(GC[[#This Row],[Date]])&gt;=4,1,0)</f>
        <v>2025</v>
      </c>
      <c r="D156" s="128">
        <f>YEAR(GC[[#This Row],[Date]])</f>
        <v>2024</v>
      </c>
      <c r="E156" s="125" t="s">
        <v>156</v>
      </c>
      <c r="F156" s="125" t="s">
        <v>156</v>
      </c>
      <c r="G156" s="129" t="str">
        <f>TEXT(GC[[#This Row],[Date]],"mmm-yy")</f>
        <v>Sep-24</v>
      </c>
      <c r="H156" s="129">
        <f>DAY(EOMONTH(GC[[#This Row],[Month Year]],0))</f>
        <v>30</v>
      </c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25"/>
      <c r="T156" s="125"/>
      <c r="U156" s="125"/>
      <c r="V156" s="125"/>
      <c r="W156" s="125"/>
      <c r="X156" s="125"/>
      <c r="Y156" s="4">
        <f>SUM(GC[[#This Row],[ICR1]:[ICR14]])</f>
        <v>0</v>
      </c>
      <c r="Z156" s="132"/>
      <c r="AA156" s="132"/>
    </row>
    <row r="157" spans="1:27">
      <c r="A157" s="132">
        <v>155</v>
      </c>
      <c r="B157" s="126">
        <f t="shared" si="2"/>
        <v>45537</v>
      </c>
      <c r="C157" s="127">
        <f>YEAR(GC[[#This Row],[Date]])+IF(MONTH(GC[[#This Row],[Date]])&gt;=4,1,0)</f>
        <v>2025</v>
      </c>
      <c r="D157" s="128">
        <f>YEAR(GC[[#This Row],[Date]])</f>
        <v>2024</v>
      </c>
      <c r="E157" s="125" t="s">
        <v>156</v>
      </c>
      <c r="F157" s="125" t="s">
        <v>156</v>
      </c>
      <c r="G157" s="129" t="str">
        <f>TEXT(GC[[#This Row],[Date]],"mmm-yy")</f>
        <v>Sep-24</v>
      </c>
      <c r="H157" s="129">
        <f>DAY(EOMONTH(GC[[#This Row],[Month Year]],0))</f>
        <v>30</v>
      </c>
      <c r="I157" s="132">
        <v>1</v>
      </c>
      <c r="J157" s="132" t="s">
        <v>359</v>
      </c>
      <c r="K157" s="132">
        <v>0</v>
      </c>
      <c r="L157" s="132">
        <v>0</v>
      </c>
      <c r="M157" s="132">
        <v>0</v>
      </c>
      <c r="N157" s="132">
        <v>0</v>
      </c>
      <c r="O157" s="132">
        <v>0</v>
      </c>
      <c r="P157" s="132">
        <v>0</v>
      </c>
      <c r="Q157" s="132">
        <v>0</v>
      </c>
      <c r="R157" s="132">
        <v>30</v>
      </c>
      <c r="S157" s="125"/>
      <c r="T157" s="125"/>
      <c r="U157" s="125"/>
      <c r="V157" s="125"/>
      <c r="W157" s="125"/>
      <c r="X157" s="125"/>
      <c r="Y157" s="4">
        <f>SUM(GC[[#This Row],[ICR1]:[ICR14]])</f>
        <v>30</v>
      </c>
      <c r="Z157" s="132" t="s">
        <v>359</v>
      </c>
      <c r="AA157" s="288" t="s">
        <v>387</v>
      </c>
    </row>
    <row r="158" spans="1:27">
      <c r="A158" s="132">
        <v>156</v>
      </c>
      <c r="B158" s="126">
        <f t="shared" si="2"/>
        <v>45538</v>
      </c>
      <c r="C158" s="127">
        <f>YEAR(GC[[#This Row],[Date]])+IF(MONTH(GC[[#This Row],[Date]])&gt;=4,1,0)</f>
        <v>2025</v>
      </c>
      <c r="D158" s="128">
        <f>YEAR(GC[[#This Row],[Date]])</f>
        <v>2024</v>
      </c>
      <c r="E158" s="125" t="s">
        <v>156</v>
      </c>
      <c r="F158" s="125" t="s">
        <v>156</v>
      </c>
      <c r="G158" s="129" t="str">
        <f>TEXT(GC[[#This Row],[Date]],"mmm-yy")</f>
        <v>Sep-24</v>
      </c>
      <c r="H158" s="129">
        <f>DAY(EOMONTH(GC[[#This Row],[Month Year]],0))</f>
        <v>30</v>
      </c>
      <c r="I158" s="132">
        <v>1</v>
      </c>
      <c r="J158" s="132" t="s">
        <v>359</v>
      </c>
      <c r="K158" s="132">
        <v>0</v>
      </c>
      <c r="L158" s="132">
        <v>0</v>
      </c>
      <c r="M158" s="132">
        <v>0</v>
      </c>
      <c r="N158" s="132">
        <v>0</v>
      </c>
      <c r="O158" s="132">
        <v>0</v>
      </c>
      <c r="P158" s="132">
        <v>0</v>
      </c>
      <c r="Q158" s="132">
        <v>0</v>
      </c>
      <c r="R158" s="132">
        <v>31</v>
      </c>
      <c r="S158" s="125"/>
      <c r="T158" s="125"/>
      <c r="U158" s="125"/>
      <c r="V158" s="125"/>
      <c r="W158" s="125"/>
      <c r="X158" s="125"/>
      <c r="Y158" s="4">
        <f>SUM(GC[[#This Row],[ICR1]:[ICR14]])</f>
        <v>31</v>
      </c>
      <c r="Z158" s="132" t="s">
        <v>359</v>
      </c>
      <c r="AA158" s="288" t="s">
        <v>388</v>
      </c>
    </row>
    <row r="159" spans="1:27">
      <c r="A159" s="132">
        <v>157</v>
      </c>
      <c r="B159" s="126">
        <f t="shared" si="2"/>
        <v>45539</v>
      </c>
      <c r="C159" s="127">
        <f>YEAR(GC[[#This Row],[Date]])+IF(MONTH(GC[[#This Row],[Date]])&gt;=4,1,0)</f>
        <v>2025</v>
      </c>
      <c r="D159" s="128">
        <f>YEAR(GC[[#This Row],[Date]])</f>
        <v>2024</v>
      </c>
      <c r="E159" s="125" t="s">
        <v>156</v>
      </c>
      <c r="F159" s="125" t="s">
        <v>156</v>
      </c>
      <c r="G159" s="129" t="str">
        <f>TEXT(GC[[#This Row],[Date]],"mmm-yy")</f>
        <v>Sep-24</v>
      </c>
      <c r="H159" s="129">
        <f>DAY(EOMONTH(GC[[#This Row],[Month Year]],0))</f>
        <v>30</v>
      </c>
      <c r="I159" s="132">
        <v>1</v>
      </c>
      <c r="J159" s="132" t="s">
        <v>359</v>
      </c>
      <c r="K159" s="132">
        <v>0</v>
      </c>
      <c r="L159" s="132">
        <v>0</v>
      </c>
      <c r="M159" s="132">
        <v>0</v>
      </c>
      <c r="N159" s="132">
        <v>0</v>
      </c>
      <c r="O159" s="132">
        <v>0</v>
      </c>
      <c r="P159" s="132">
        <v>0</v>
      </c>
      <c r="Q159" s="132">
        <v>0</v>
      </c>
      <c r="R159" s="132">
        <v>35</v>
      </c>
      <c r="S159" s="125"/>
      <c r="T159" s="125"/>
      <c r="U159" s="125"/>
      <c r="V159" s="125"/>
      <c r="W159" s="125"/>
      <c r="X159" s="125"/>
      <c r="Y159" s="4">
        <f>SUM(GC[[#This Row],[ICR1]:[ICR14]])</f>
        <v>35</v>
      </c>
      <c r="Z159" s="132" t="s">
        <v>359</v>
      </c>
      <c r="AA159" s="288" t="s">
        <v>389</v>
      </c>
    </row>
    <row r="160" spans="1:27">
      <c r="A160" s="132">
        <v>158</v>
      </c>
      <c r="B160" s="126">
        <f t="shared" si="2"/>
        <v>45540</v>
      </c>
      <c r="C160" s="127">
        <f>YEAR(GC[[#This Row],[Date]])+IF(MONTH(GC[[#This Row],[Date]])&gt;=4,1,0)</f>
        <v>2025</v>
      </c>
      <c r="D160" s="128">
        <f>YEAR(GC[[#This Row],[Date]])</f>
        <v>2024</v>
      </c>
      <c r="E160" s="125" t="s">
        <v>156</v>
      </c>
      <c r="F160" s="125" t="s">
        <v>156</v>
      </c>
      <c r="G160" s="129" t="str">
        <f>TEXT(GC[[#This Row],[Date]],"mmm-yy")</f>
        <v>Sep-24</v>
      </c>
      <c r="H160" s="129">
        <f>DAY(EOMONTH(GC[[#This Row],[Month Year]],0))</f>
        <v>30</v>
      </c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25"/>
      <c r="T160" s="125"/>
      <c r="U160" s="125"/>
      <c r="V160" s="125"/>
      <c r="W160" s="125"/>
      <c r="X160" s="125"/>
      <c r="Y160" s="4">
        <f>SUM(GC[[#This Row],[ICR1]:[ICR14]])</f>
        <v>0</v>
      </c>
      <c r="Z160" s="132"/>
      <c r="AA160" s="132"/>
    </row>
    <row r="161" spans="1:27">
      <c r="A161" s="132">
        <v>159</v>
      </c>
      <c r="B161" s="126">
        <f t="shared" si="2"/>
        <v>45541</v>
      </c>
      <c r="C161" s="127">
        <f>YEAR(GC[[#This Row],[Date]])+IF(MONTH(GC[[#This Row],[Date]])&gt;=4,1,0)</f>
        <v>2025</v>
      </c>
      <c r="D161" s="128">
        <f>YEAR(GC[[#This Row],[Date]])</f>
        <v>2024</v>
      </c>
      <c r="E161" s="125" t="s">
        <v>156</v>
      </c>
      <c r="F161" s="125" t="s">
        <v>156</v>
      </c>
      <c r="G161" s="129" t="str">
        <f>TEXT(GC[[#This Row],[Date]],"mmm-yy")</f>
        <v>Sep-24</v>
      </c>
      <c r="H161" s="129">
        <f>DAY(EOMONTH(GC[[#This Row],[Month Year]],0))</f>
        <v>30</v>
      </c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25"/>
      <c r="T161" s="125"/>
      <c r="U161" s="125"/>
      <c r="V161" s="125"/>
      <c r="W161" s="125"/>
      <c r="X161" s="125"/>
      <c r="Y161" s="4">
        <f>SUM(GC[[#This Row],[ICR1]:[ICR14]])</f>
        <v>0</v>
      </c>
      <c r="Z161" s="132"/>
      <c r="AA161" s="132"/>
    </row>
    <row r="162" spans="1:27">
      <c r="A162" s="132">
        <v>160</v>
      </c>
      <c r="B162" s="126">
        <f t="shared" si="2"/>
        <v>45542</v>
      </c>
      <c r="C162" s="127">
        <f>YEAR(GC[[#This Row],[Date]])+IF(MONTH(GC[[#This Row],[Date]])&gt;=4,1,0)</f>
        <v>2025</v>
      </c>
      <c r="D162" s="128">
        <f>YEAR(GC[[#This Row],[Date]])</f>
        <v>2024</v>
      </c>
      <c r="E162" s="125" t="s">
        <v>156</v>
      </c>
      <c r="F162" s="125" t="s">
        <v>156</v>
      </c>
      <c r="G162" s="129" t="str">
        <f>TEXT(GC[[#This Row],[Date]],"mmm-yy")</f>
        <v>Sep-24</v>
      </c>
      <c r="H162" s="129">
        <f>DAY(EOMONTH(GC[[#This Row],[Month Year]],0))</f>
        <v>30</v>
      </c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25"/>
      <c r="T162" s="125"/>
      <c r="U162" s="125"/>
      <c r="V162" s="125"/>
      <c r="W162" s="125"/>
      <c r="X162" s="125"/>
      <c r="Y162" s="4">
        <f>SUM(GC[[#This Row],[ICR1]:[ICR14]])</f>
        <v>0</v>
      </c>
      <c r="Z162" s="132"/>
      <c r="AA162" s="132"/>
    </row>
    <row r="163" spans="1:27">
      <c r="A163" s="132">
        <v>161</v>
      </c>
      <c r="B163" s="126">
        <f t="shared" si="2"/>
        <v>45543</v>
      </c>
      <c r="C163" s="127">
        <f>YEAR(GC[[#This Row],[Date]])+IF(MONTH(GC[[#This Row],[Date]])&gt;=4,1,0)</f>
        <v>2025</v>
      </c>
      <c r="D163" s="128">
        <f>YEAR(GC[[#This Row],[Date]])</f>
        <v>2024</v>
      </c>
      <c r="E163" s="125" t="s">
        <v>156</v>
      </c>
      <c r="F163" s="125" t="s">
        <v>156</v>
      </c>
      <c r="G163" s="129" t="str">
        <f>TEXT(GC[[#This Row],[Date]],"mmm-yy")</f>
        <v>Sep-24</v>
      </c>
      <c r="H163" s="129">
        <f>DAY(EOMONTH(GC[[#This Row],[Month Year]],0))</f>
        <v>30</v>
      </c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25"/>
      <c r="T163" s="125"/>
      <c r="U163" s="125"/>
      <c r="V163" s="125"/>
      <c r="W163" s="125"/>
      <c r="X163" s="125"/>
      <c r="Y163" s="4">
        <f>SUM(GC[[#This Row],[ICR1]:[ICR14]])</f>
        <v>0</v>
      </c>
      <c r="Z163" s="132"/>
      <c r="AA163" s="132"/>
    </row>
    <row r="164" spans="1:27">
      <c r="A164" s="132">
        <v>162</v>
      </c>
      <c r="B164" s="126">
        <f t="shared" si="2"/>
        <v>45544</v>
      </c>
      <c r="C164" s="127">
        <f>YEAR(GC[[#This Row],[Date]])+IF(MONTH(GC[[#This Row],[Date]])&gt;=4,1,0)</f>
        <v>2025</v>
      </c>
      <c r="D164" s="128">
        <f>YEAR(GC[[#This Row],[Date]])</f>
        <v>2024</v>
      </c>
      <c r="E164" s="125" t="s">
        <v>156</v>
      </c>
      <c r="F164" s="125" t="s">
        <v>156</v>
      </c>
      <c r="G164" s="129" t="str">
        <f>TEXT(GC[[#This Row],[Date]],"mmm-yy")</f>
        <v>Sep-24</v>
      </c>
      <c r="H164" s="129">
        <f>DAY(EOMONTH(GC[[#This Row],[Month Year]],0))</f>
        <v>30</v>
      </c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25"/>
      <c r="T164" s="125"/>
      <c r="U164" s="125"/>
      <c r="V164" s="125"/>
      <c r="W164" s="125"/>
      <c r="X164" s="125"/>
      <c r="Y164" s="4">
        <f>SUM(GC[[#This Row],[ICR1]:[ICR14]])</f>
        <v>0</v>
      </c>
      <c r="Z164" s="132"/>
      <c r="AA164" s="132"/>
    </row>
    <row r="165" spans="1:27">
      <c r="A165" s="132">
        <v>163</v>
      </c>
      <c r="B165" s="126">
        <f t="shared" si="2"/>
        <v>45545</v>
      </c>
      <c r="C165" s="127">
        <f>YEAR(GC[[#This Row],[Date]])+IF(MONTH(GC[[#This Row],[Date]])&gt;=4,1,0)</f>
        <v>2025</v>
      </c>
      <c r="D165" s="128">
        <f>YEAR(GC[[#This Row],[Date]])</f>
        <v>2024</v>
      </c>
      <c r="E165" s="125" t="s">
        <v>156</v>
      </c>
      <c r="F165" s="125" t="s">
        <v>156</v>
      </c>
      <c r="G165" s="129" t="str">
        <f>TEXT(GC[[#This Row],[Date]],"mmm-yy")</f>
        <v>Sep-24</v>
      </c>
      <c r="H165" s="129">
        <f>DAY(EOMONTH(GC[[#This Row],[Month Year]],0))</f>
        <v>30</v>
      </c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25"/>
      <c r="T165" s="125"/>
      <c r="U165" s="125"/>
      <c r="V165" s="125"/>
      <c r="W165" s="125"/>
      <c r="X165" s="125"/>
      <c r="Y165" s="4">
        <f>SUM(GC[[#This Row],[ICR1]:[ICR14]])</f>
        <v>0</v>
      </c>
      <c r="Z165" s="132"/>
      <c r="AA165" s="132"/>
    </row>
    <row r="166" spans="1:27">
      <c r="A166" s="132">
        <v>164</v>
      </c>
      <c r="B166" s="126">
        <f t="shared" si="2"/>
        <v>45546</v>
      </c>
      <c r="C166" s="127">
        <f>YEAR(GC[[#This Row],[Date]])+IF(MONTH(GC[[#This Row],[Date]])&gt;=4,1,0)</f>
        <v>2025</v>
      </c>
      <c r="D166" s="128">
        <f>YEAR(GC[[#This Row],[Date]])</f>
        <v>2024</v>
      </c>
      <c r="E166" s="125" t="s">
        <v>156</v>
      </c>
      <c r="F166" s="125" t="s">
        <v>156</v>
      </c>
      <c r="G166" s="129" t="str">
        <f>TEXT(GC[[#This Row],[Date]],"mmm-yy")</f>
        <v>Sep-24</v>
      </c>
      <c r="H166" s="129">
        <f>DAY(EOMONTH(GC[[#This Row],[Month Year]],0))</f>
        <v>30</v>
      </c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25"/>
      <c r="T166" s="125"/>
      <c r="U166" s="125"/>
      <c r="V166" s="125"/>
      <c r="W166" s="125"/>
      <c r="X166" s="125"/>
      <c r="Y166" s="4">
        <f>SUM(GC[[#This Row],[ICR1]:[ICR14]])</f>
        <v>0</v>
      </c>
      <c r="Z166" s="132"/>
      <c r="AA166" s="134"/>
    </row>
    <row r="167" spans="1:27">
      <c r="A167" s="132">
        <v>165</v>
      </c>
      <c r="B167" s="126">
        <f t="shared" si="2"/>
        <v>45547</v>
      </c>
      <c r="C167" s="127">
        <f>YEAR(GC[[#This Row],[Date]])+IF(MONTH(GC[[#This Row],[Date]])&gt;=4,1,0)</f>
        <v>2025</v>
      </c>
      <c r="D167" s="128">
        <f>YEAR(GC[[#This Row],[Date]])</f>
        <v>2024</v>
      </c>
      <c r="E167" s="125" t="s">
        <v>156</v>
      </c>
      <c r="F167" s="125" t="s">
        <v>156</v>
      </c>
      <c r="G167" s="129" t="str">
        <f>TEXT(GC[[#This Row],[Date]],"mmm-yy")</f>
        <v>Sep-24</v>
      </c>
      <c r="H167" s="129">
        <f>DAY(EOMONTH(GC[[#This Row],[Month Year]],0))</f>
        <v>30</v>
      </c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25"/>
      <c r="T167" s="125"/>
      <c r="U167" s="125"/>
      <c r="V167" s="125"/>
      <c r="W167" s="125"/>
      <c r="X167" s="125"/>
      <c r="Y167" s="4">
        <f>SUM(GC[[#This Row],[ICR1]:[ICR14]])</f>
        <v>0</v>
      </c>
      <c r="Z167" s="132"/>
      <c r="AA167" s="134"/>
    </row>
    <row r="168" spans="1:27">
      <c r="A168" s="132">
        <v>166</v>
      </c>
      <c r="B168" s="126">
        <f t="shared" si="2"/>
        <v>45548</v>
      </c>
      <c r="C168" s="127">
        <f>YEAR(GC[[#This Row],[Date]])+IF(MONTH(GC[[#This Row],[Date]])&gt;=4,1,0)</f>
        <v>2025</v>
      </c>
      <c r="D168" s="128">
        <f>YEAR(GC[[#This Row],[Date]])</f>
        <v>2024</v>
      </c>
      <c r="E168" s="125" t="s">
        <v>156</v>
      </c>
      <c r="F168" s="125" t="s">
        <v>156</v>
      </c>
      <c r="G168" s="129" t="str">
        <f>TEXT(GC[[#This Row],[Date]],"mmm-yy")</f>
        <v>Sep-24</v>
      </c>
      <c r="H168" s="129">
        <f>DAY(EOMONTH(GC[[#This Row],[Month Year]],0))</f>
        <v>30</v>
      </c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25"/>
      <c r="T168" s="125"/>
      <c r="U168" s="125"/>
      <c r="V168" s="125"/>
      <c r="W168" s="125"/>
      <c r="X168" s="125"/>
      <c r="Y168" s="4">
        <f>SUM(GC[[#This Row],[ICR1]:[ICR14]])</f>
        <v>0</v>
      </c>
      <c r="Z168" s="132"/>
      <c r="AA168" s="134"/>
    </row>
    <row r="169" spans="1:27">
      <c r="A169" s="132">
        <v>167</v>
      </c>
      <c r="B169" s="126">
        <f t="shared" si="2"/>
        <v>45549</v>
      </c>
      <c r="C169" s="127">
        <f>YEAR(GC[[#This Row],[Date]])+IF(MONTH(GC[[#This Row],[Date]])&gt;=4,1,0)</f>
        <v>2025</v>
      </c>
      <c r="D169" s="128">
        <f>YEAR(GC[[#This Row],[Date]])</f>
        <v>2024</v>
      </c>
      <c r="E169" s="125" t="s">
        <v>156</v>
      </c>
      <c r="F169" s="125" t="s">
        <v>156</v>
      </c>
      <c r="G169" s="129" t="str">
        <f>TEXT(GC[[#This Row],[Date]],"mmm-yy")</f>
        <v>Sep-24</v>
      </c>
      <c r="H169" s="129">
        <f>DAY(EOMONTH(GC[[#This Row],[Month Year]],0))</f>
        <v>30</v>
      </c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25"/>
      <c r="T169" s="125"/>
      <c r="U169" s="125"/>
      <c r="V169" s="125"/>
      <c r="W169" s="125"/>
      <c r="X169" s="125"/>
      <c r="Y169" s="4">
        <f>SUM(GC[[#This Row],[ICR1]:[ICR14]])</f>
        <v>0</v>
      </c>
      <c r="Z169" s="132"/>
      <c r="AA169" s="134"/>
    </row>
    <row r="170" spans="1:27">
      <c r="A170" s="132">
        <v>168</v>
      </c>
      <c r="B170" s="126">
        <f t="shared" si="2"/>
        <v>45550</v>
      </c>
      <c r="C170" s="127">
        <f>YEAR(GC[[#This Row],[Date]])+IF(MONTH(GC[[#This Row],[Date]])&gt;=4,1,0)</f>
        <v>2025</v>
      </c>
      <c r="D170" s="128">
        <f>YEAR(GC[[#This Row],[Date]])</f>
        <v>2024</v>
      </c>
      <c r="E170" s="125" t="s">
        <v>156</v>
      </c>
      <c r="F170" s="125" t="s">
        <v>156</v>
      </c>
      <c r="G170" s="129" t="str">
        <f>TEXT(GC[[#This Row],[Date]],"mmm-yy")</f>
        <v>Sep-24</v>
      </c>
      <c r="H170" s="129">
        <f>DAY(EOMONTH(GC[[#This Row],[Month Year]],0))</f>
        <v>30</v>
      </c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25"/>
      <c r="T170" s="125"/>
      <c r="U170" s="125"/>
      <c r="V170" s="125"/>
      <c r="W170" s="125"/>
      <c r="X170" s="125"/>
      <c r="Y170" s="4">
        <f>SUM(GC[[#This Row],[ICR1]:[ICR14]])</f>
        <v>0</v>
      </c>
      <c r="Z170" s="132"/>
      <c r="AA170" s="134"/>
    </row>
    <row r="171" spans="1:27">
      <c r="A171" s="132">
        <v>169</v>
      </c>
      <c r="B171" s="126">
        <f t="shared" si="2"/>
        <v>45551</v>
      </c>
      <c r="C171" s="127">
        <f>YEAR(GC[[#This Row],[Date]])+IF(MONTH(GC[[#This Row],[Date]])&gt;=4,1,0)</f>
        <v>2025</v>
      </c>
      <c r="D171" s="128">
        <f>YEAR(GC[[#This Row],[Date]])</f>
        <v>2024</v>
      </c>
      <c r="E171" s="125" t="s">
        <v>156</v>
      </c>
      <c r="F171" s="125" t="s">
        <v>156</v>
      </c>
      <c r="G171" s="129" t="str">
        <f>TEXT(GC[[#This Row],[Date]],"mmm-yy")</f>
        <v>Sep-24</v>
      </c>
      <c r="H171" s="129">
        <f>DAY(EOMONTH(GC[[#This Row],[Month Year]],0))</f>
        <v>30</v>
      </c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25"/>
      <c r="T171" s="125"/>
      <c r="U171" s="125"/>
      <c r="V171" s="125"/>
      <c r="W171" s="125"/>
      <c r="X171" s="125"/>
      <c r="Y171" s="4">
        <f>SUM(GC[[#This Row],[ICR1]:[ICR14]])</f>
        <v>0</v>
      </c>
      <c r="Z171" s="132"/>
      <c r="AA171" s="134"/>
    </row>
    <row r="172" spans="1:27">
      <c r="A172" s="132">
        <v>170</v>
      </c>
      <c r="B172" s="126">
        <f t="shared" si="2"/>
        <v>45552</v>
      </c>
      <c r="C172" s="127">
        <f>YEAR(GC[[#This Row],[Date]])+IF(MONTH(GC[[#This Row],[Date]])&gt;=4,1,0)</f>
        <v>2025</v>
      </c>
      <c r="D172" s="128">
        <f>YEAR(GC[[#This Row],[Date]])</f>
        <v>2024</v>
      </c>
      <c r="E172" s="125" t="s">
        <v>156</v>
      </c>
      <c r="F172" s="125" t="s">
        <v>156</v>
      </c>
      <c r="G172" s="129" t="str">
        <f>TEXT(GC[[#This Row],[Date]],"mmm-yy")</f>
        <v>Sep-24</v>
      </c>
      <c r="H172" s="129">
        <f>DAY(EOMONTH(GC[[#This Row],[Month Year]],0))</f>
        <v>30</v>
      </c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25"/>
      <c r="T172" s="125"/>
      <c r="U172" s="125"/>
      <c r="V172" s="125"/>
      <c r="W172" s="125"/>
      <c r="X172" s="125"/>
      <c r="Y172" s="4">
        <f>SUM(GC[[#This Row],[ICR1]:[ICR14]])</f>
        <v>0</v>
      </c>
      <c r="Z172" s="132"/>
      <c r="AA172" s="134"/>
    </row>
    <row r="173" spans="1:27">
      <c r="A173" s="132">
        <v>171</v>
      </c>
      <c r="B173" s="126">
        <f t="shared" si="2"/>
        <v>45553</v>
      </c>
      <c r="C173" s="127">
        <f>YEAR(GC[[#This Row],[Date]])+IF(MONTH(GC[[#This Row],[Date]])&gt;=4,1,0)</f>
        <v>2025</v>
      </c>
      <c r="D173" s="128">
        <f>YEAR(GC[[#This Row],[Date]])</f>
        <v>2024</v>
      </c>
      <c r="E173" s="125" t="s">
        <v>156</v>
      </c>
      <c r="F173" s="125" t="s">
        <v>156</v>
      </c>
      <c r="G173" s="129" t="str">
        <f>TEXT(GC[[#This Row],[Date]],"mmm-yy")</f>
        <v>Sep-24</v>
      </c>
      <c r="H173" s="129">
        <f>DAY(EOMONTH(GC[[#This Row],[Month Year]],0))</f>
        <v>30</v>
      </c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25"/>
      <c r="T173" s="125"/>
      <c r="U173" s="125"/>
      <c r="V173" s="125"/>
      <c r="W173" s="125"/>
      <c r="X173" s="125"/>
      <c r="Y173" s="4">
        <f>SUM(GC[[#This Row],[ICR1]:[ICR14]])</f>
        <v>0</v>
      </c>
      <c r="Z173" s="132"/>
      <c r="AA173" s="134"/>
    </row>
    <row r="174" spans="1:27">
      <c r="A174" s="132">
        <v>172</v>
      </c>
      <c r="B174" s="126">
        <f t="shared" si="2"/>
        <v>45554</v>
      </c>
      <c r="C174" s="127">
        <f>YEAR(GC[[#This Row],[Date]])+IF(MONTH(GC[[#This Row],[Date]])&gt;=4,1,0)</f>
        <v>2025</v>
      </c>
      <c r="D174" s="128">
        <f>YEAR(GC[[#This Row],[Date]])</f>
        <v>2024</v>
      </c>
      <c r="E174" s="125" t="s">
        <v>156</v>
      </c>
      <c r="F174" s="125" t="s">
        <v>156</v>
      </c>
      <c r="G174" s="129" t="str">
        <f>TEXT(GC[[#This Row],[Date]],"mmm-yy")</f>
        <v>Sep-24</v>
      </c>
      <c r="H174" s="129">
        <f>DAY(EOMONTH(GC[[#This Row],[Month Year]],0))</f>
        <v>30</v>
      </c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25"/>
      <c r="T174" s="125"/>
      <c r="U174" s="125"/>
      <c r="V174" s="125"/>
      <c r="W174" s="125"/>
      <c r="X174" s="125"/>
      <c r="Y174" s="4">
        <f>SUM(GC[[#This Row],[ICR1]:[ICR14]])</f>
        <v>0</v>
      </c>
      <c r="Z174" s="132"/>
      <c r="AA174" s="134"/>
    </row>
    <row r="175" spans="1:27">
      <c r="A175" s="132">
        <v>173</v>
      </c>
      <c r="B175" s="126">
        <f t="shared" si="2"/>
        <v>45555</v>
      </c>
      <c r="C175" s="127">
        <f>YEAR(GC[[#This Row],[Date]])+IF(MONTH(GC[[#This Row],[Date]])&gt;=4,1,0)</f>
        <v>2025</v>
      </c>
      <c r="D175" s="128">
        <f>YEAR(GC[[#This Row],[Date]])</f>
        <v>2024</v>
      </c>
      <c r="E175" s="125" t="s">
        <v>156</v>
      </c>
      <c r="F175" s="125" t="s">
        <v>156</v>
      </c>
      <c r="G175" s="129" t="str">
        <f>TEXT(GC[[#This Row],[Date]],"mmm-yy")</f>
        <v>Sep-24</v>
      </c>
      <c r="H175" s="129">
        <f>DAY(EOMONTH(GC[[#This Row],[Month Year]],0))</f>
        <v>30</v>
      </c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25"/>
      <c r="T175" s="125"/>
      <c r="U175" s="125"/>
      <c r="V175" s="125"/>
      <c r="W175" s="125"/>
      <c r="X175" s="125"/>
      <c r="Y175" s="4">
        <f>SUM(GC[[#This Row],[ICR1]:[ICR14]])</f>
        <v>0</v>
      </c>
      <c r="Z175" s="132"/>
      <c r="AA175" s="134"/>
    </row>
    <row r="176" spans="1:27">
      <c r="A176" s="132">
        <v>174</v>
      </c>
      <c r="B176" s="126">
        <f t="shared" si="2"/>
        <v>45556</v>
      </c>
      <c r="C176" s="127">
        <f>YEAR(GC[[#This Row],[Date]])+IF(MONTH(GC[[#This Row],[Date]])&gt;=4,1,0)</f>
        <v>2025</v>
      </c>
      <c r="D176" s="128">
        <f>YEAR(GC[[#This Row],[Date]])</f>
        <v>2024</v>
      </c>
      <c r="E176" s="125" t="s">
        <v>156</v>
      </c>
      <c r="F176" s="125" t="s">
        <v>156</v>
      </c>
      <c r="G176" s="129" t="str">
        <f>TEXT(GC[[#This Row],[Date]],"mmm-yy")</f>
        <v>Sep-24</v>
      </c>
      <c r="H176" s="129">
        <f>DAY(EOMONTH(GC[[#This Row],[Month Year]],0))</f>
        <v>30</v>
      </c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25"/>
      <c r="T176" s="125"/>
      <c r="U176" s="125"/>
      <c r="V176" s="125"/>
      <c r="W176" s="125"/>
      <c r="X176" s="125"/>
      <c r="Y176" s="4">
        <f>SUM(GC[[#This Row],[ICR1]:[ICR14]])</f>
        <v>0</v>
      </c>
      <c r="Z176" s="132"/>
      <c r="AA176" s="134"/>
    </row>
    <row r="177" spans="1:27">
      <c r="A177" s="132">
        <v>175</v>
      </c>
      <c r="B177" s="126">
        <f t="shared" si="2"/>
        <v>45557</v>
      </c>
      <c r="C177" s="127">
        <f>YEAR(GC[[#This Row],[Date]])+IF(MONTH(GC[[#This Row],[Date]])&gt;=4,1,0)</f>
        <v>2025</v>
      </c>
      <c r="D177" s="128">
        <f>YEAR(GC[[#This Row],[Date]])</f>
        <v>2024</v>
      </c>
      <c r="E177" s="125" t="s">
        <v>156</v>
      </c>
      <c r="F177" s="125" t="s">
        <v>156</v>
      </c>
      <c r="G177" s="129" t="str">
        <f>TEXT(GC[[#This Row],[Date]],"mmm-yy")</f>
        <v>Sep-24</v>
      </c>
      <c r="H177" s="129">
        <f>DAY(EOMONTH(GC[[#This Row],[Month Year]],0))</f>
        <v>30</v>
      </c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25"/>
      <c r="T177" s="125"/>
      <c r="U177" s="125"/>
      <c r="V177" s="125"/>
      <c r="W177" s="125"/>
      <c r="X177" s="125"/>
      <c r="Y177" s="4">
        <f>SUM(GC[[#This Row],[ICR1]:[ICR14]])</f>
        <v>0</v>
      </c>
      <c r="Z177" s="132"/>
      <c r="AA177" s="134"/>
    </row>
    <row r="178" spans="1:27">
      <c r="A178" s="132">
        <v>176</v>
      </c>
      <c r="B178" s="126">
        <f t="shared" si="2"/>
        <v>45558</v>
      </c>
      <c r="C178" s="127">
        <f>YEAR(GC[[#This Row],[Date]])+IF(MONTH(GC[[#This Row],[Date]])&gt;=4,1,0)</f>
        <v>2025</v>
      </c>
      <c r="D178" s="128">
        <f>YEAR(GC[[#This Row],[Date]])</f>
        <v>2024</v>
      </c>
      <c r="E178" s="125" t="s">
        <v>156</v>
      </c>
      <c r="F178" s="125" t="s">
        <v>156</v>
      </c>
      <c r="G178" s="129" t="str">
        <f>TEXT(GC[[#This Row],[Date]],"mmm-yy")</f>
        <v>Sep-24</v>
      </c>
      <c r="H178" s="129">
        <f>DAY(EOMONTH(GC[[#This Row],[Month Year]],0))</f>
        <v>30</v>
      </c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25"/>
      <c r="T178" s="125"/>
      <c r="U178" s="125"/>
      <c r="V178" s="125"/>
      <c r="W178" s="125"/>
      <c r="X178" s="125"/>
      <c r="Y178" s="4">
        <f>SUM(GC[[#This Row],[ICR1]:[ICR14]])</f>
        <v>0</v>
      </c>
      <c r="Z178" s="132"/>
      <c r="AA178" s="134"/>
    </row>
    <row r="179" spans="1:27">
      <c r="A179" s="132">
        <v>177</v>
      </c>
      <c r="B179" s="126">
        <f t="shared" si="2"/>
        <v>45559</v>
      </c>
      <c r="C179" s="127">
        <f>YEAR(GC[[#This Row],[Date]])+IF(MONTH(GC[[#This Row],[Date]])&gt;=4,1,0)</f>
        <v>2025</v>
      </c>
      <c r="D179" s="128">
        <f>YEAR(GC[[#This Row],[Date]])</f>
        <v>2024</v>
      </c>
      <c r="E179" s="125" t="s">
        <v>156</v>
      </c>
      <c r="F179" s="125" t="s">
        <v>156</v>
      </c>
      <c r="G179" s="129" t="str">
        <f>TEXT(GC[[#This Row],[Date]],"mmm-yy")</f>
        <v>Sep-24</v>
      </c>
      <c r="H179" s="129">
        <f>DAY(EOMONTH(GC[[#This Row],[Month Year]],0))</f>
        <v>30</v>
      </c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25"/>
      <c r="T179" s="125"/>
      <c r="U179" s="125"/>
      <c r="V179" s="125"/>
      <c r="W179" s="125"/>
      <c r="X179" s="125"/>
      <c r="Y179" s="4">
        <f>SUM(GC[[#This Row],[ICR1]:[ICR14]])</f>
        <v>0</v>
      </c>
      <c r="Z179" s="132"/>
      <c r="AA179" s="134"/>
    </row>
    <row r="180" spans="1:27">
      <c r="A180" s="132">
        <v>177</v>
      </c>
      <c r="B180" s="126">
        <f t="shared" si="2"/>
        <v>45560</v>
      </c>
      <c r="C180" s="127">
        <f>YEAR(GC[[#This Row],[Date]])+IF(MONTH(GC[[#This Row],[Date]])&gt;=4,1,0)</f>
        <v>2025</v>
      </c>
      <c r="D180" s="128">
        <f>YEAR(GC[[#This Row],[Date]])</f>
        <v>2024</v>
      </c>
      <c r="E180" s="125" t="s">
        <v>156</v>
      </c>
      <c r="F180" s="125" t="s">
        <v>156</v>
      </c>
      <c r="G180" s="129" t="str">
        <f>TEXT(GC[[#This Row],[Date]],"mmm-yy")</f>
        <v>Sep-24</v>
      </c>
      <c r="H180" s="129">
        <f>DAY(EOMONTH(GC[[#This Row],[Month Year]],0))</f>
        <v>30</v>
      </c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25"/>
      <c r="T180" s="125"/>
      <c r="U180" s="125"/>
      <c r="V180" s="125"/>
      <c r="W180" s="125"/>
      <c r="X180" s="125"/>
      <c r="Y180" s="4">
        <f>SUM(GC[[#This Row],[ICR1]:[ICR14]])</f>
        <v>0</v>
      </c>
      <c r="Z180" s="132"/>
      <c r="AA180" s="134"/>
    </row>
    <row r="181" spans="1:27">
      <c r="A181" s="132">
        <v>179</v>
      </c>
      <c r="B181" s="126">
        <f t="shared" si="2"/>
        <v>45561</v>
      </c>
      <c r="C181" s="127">
        <f>YEAR(GC[[#This Row],[Date]])+IF(MONTH(GC[[#This Row],[Date]])&gt;=4,1,0)</f>
        <v>2025</v>
      </c>
      <c r="D181" s="128">
        <f>YEAR(GC[[#This Row],[Date]])</f>
        <v>2024</v>
      </c>
      <c r="E181" s="125" t="s">
        <v>156</v>
      </c>
      <c r="F181" s="125" t="s">
        <v>156</v>
      </c>
      <c r="G181" s="129" t="str">
        <f>TEXT(GC[[#This Row],[Date]],"mmm-yy")</f>
        <v>Sep-24</v>
      </c>
      <c r="H181" s="129">
        <f>DAY(EOMONTH(GC[[#This Row],[Month Year]],0))</f>
        <v>30</v>
      </c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25"/>
      <c r="T181" s="125"/>
      <c r="U181" s="125"/>
      <c r="V181" s="125"/>
      <c r="W181" s="125"/>
      <c r="X181" s="125"/>
      <c r="Y181" s="4">
        <f>SUM(GC[[#This Row],[ICR1]:[ICR14]])</f>
        <v>0</v>
      </c>
      <c r="Z181" s="132"/>
      <c r="AA181" s="134"/>
    </row>
    <row r="182" spans="1:27">
      <c r="A182" s="132">
        <v>180</v>
      </c>
      <c r="B182" s="126">
        <f t="shared" si="2"/>
        <v>45562</v>
      </c>
      <c r="C182" s="127">
        <f>YEAR(GC[[#This Row],[Date]])+IF(MONTH(GC[[#This Row],[Date]])&gt;=4,1,0)</f>
        <v>2025</v>
      </c>
      <c r="D182" s="128">
        <f>YEAR(GC[[#This Row],[Date]])</f>
        <v>2024</v>
      </c>
      <c r="E182" s="125" t="s">
        <v>156</v>
      </c>
      <c r="F182" s="125" t="s">
        <v>156</v>
      </c>
      <c r="G182" s="129" t="str">
        <f>TEXT(GC[[#This Row],[Date]],"mmm-yy")</f>
        <v>Sep-24</v>
      </c>
      <c r="H182" s="129">
        <f>DAY(EOMONTH(GC[[#This Row],[Month Year]],0))</f>
        <v>30</v>
      </c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25"/>
      <c r="T182" s="125"/>
      <c r="U182" s="125"/>
      <c r="V182" s="125"/>
      <c r="W182" s="125"/>
      <c r="X182" s="125"/>
      <c r="Y182" s="4">
        <f>SUM(GC[[#This Row],[ICR1]:[ICR14]])</f>
        <v>0</v>
      </c>
      <c r="Z182" s="132"/>
      <c r="AA182" s="134"/>
    </row>
    <row r="183" spans="1:27">
      <c r="A183" s="132">
        <v>181</v>
      </c>
      <c r="B183" s="126">
        <f t="shared" si="2"/>
        <v>45563</v>
      </c>
      <c r="C183" s="127">
        <f>YEAR(GC[[#This Row],[Date]])+IF(MONTH(GC[[#This Row],[Date]])&gt;=4,1,0)</f>
        <v>2025</v>
      </c>
      <c r="D183" s="128">
        <f>YEAR(GC[[#This Row],[Date]])</f>
        <v>2024</v>
      </c>
      <c r="E183" s="125" t="s">
        <v>156</v>
      </c>
      <c r="F183" s="125" t="s">
        <v>156</v>
      </c>
      <c r="G183" s="129" t="str">
        <f>TEXT(GC[[#This Row],[Date]],"mmm-yy")</f>
        <v>Sep-24</v>
      </c>
      <c r="H183" s="129">
        <f>DAY(EOMONTH(GC[[#This Row],[Month Year]],0))</f>
        <v>30</v>
      </c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25"/>
      <c r="T183" s="125"/>
      <c r="U183" s="125"/>
      <c r="V183" s="125"/>
      <c r="W183" s="125"/>
      <c r="X183" s="125"/>
      <c r="Y183" s="4">
        <f>SUM(GC[[#This Row],[ICR1]:[ICR14]])</f>
        <v>0</v>
      </c>
      <c r="Z183" s="132" t="s">
        <v>390</v>
      </c>
      <c r="AA183" s="134"/>
    </row>
    <row r="184" spans="1:27">
      <c r="A184" s="132">
        <v>182</v>
      </c>
      <c r="B184" s="126">
        <f t="shared" si="2"/>
        <v>45564</v>
      </c>
      <c r="C184" s="127">
        <f>YEAR(GC[[#This Row],[Date]])+IF(MONTH(GC[[#This Row],[Date]])&gt;=4,1,0)</f>
        <v>2025</v>
      </c>
      <c r="D184" s="128">
        <f>YEAR(GC[[#This Row],[Date]])</f>
        <v>2024</v>
      </c>
      <c r="E184" s="125" t="s">
        <v>156</v>
      </c>
      <c r="F184" s="125" t="s">
        <v>156</v>
      </c>
      <c r="G184" s="129" t="str">
        <f>TEXT(GC[[#This Row],[Date]],"mmm-yy")</f>
        <v>Sep-24</v>
      </c>
      <c r="H184" s="129">
        <f>DAY(EOMONTH(GC[[#This Row],[Month Year]],0))</f>
        <v>30</v>
      </c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25"/>
      <c r="T184" s="125"/>
      <c r="U184" s="125"/>
      <c r="V184" s="125"/>
      <c r="W184" s="125"/>
      <c r="X184" s="125"/>
      <c r="Y184" s="4">
        <f>SUM(GC[[#This Row],[ICR1]:[ICR14]])</f>
        <v>0</v>
      </c>
      <c r="Z184" s="136" t="s">
        <v>391</v>
      </c>
      <c r="AA184" s="134"/>
    </row>
    <row r="185" spans="1:27">
      <c r="A185" s="132">
        <v>183</v>
      </c>
      <c r="B185" s="126">
        <f t="shared" si="2"/>
        <v>45565</v>
      </c>
      <c r="C185" s="127">
        <f>YEAR(GC[[#This Row],[Date]])+IF(MONTH(GC[[#This Row],[Date]])&gt;=4,1,0)</f>
        <v>2025</v>
      </c>
      <c r="D185" s="128">
        <f>YEAR(GC[[#This Row],[Date]])</f>
        <v>2024</v>
      </c>
      <c r="E185" s="125" t="s">
        <v>156</v>
      </c>
      <c r="F185" s="125" t="s">
        <v>156</v>
      </c>
      <c r="G185" s="129" t="str">
        <f>TEXT(GC[[#This Row],[Date]],"mmm-yy")</f>
        <v>Sep-24</v>
      </c>
      <c r="H185" s="129">
        <f>DAY(EOMONTH(GC[[#This Row],[Month Year]],0))</f>
        <v>30</v>
      </c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25"/>
      <c r="T185" s="125"/>
      <c r="U185" s="125"/>
      <c r="V185" s="125"/>
      <c r="W185" s="125"/>
      <c r="X185" s="125"/>
      <c r="Y185" s="4">
        <f>SUM(GC[[#This Row],[ICR1]:[ICR14]])</f>
        <v>0</v>
      </c>
      <c r="Z185" s="132"/>
      <c r="AA185" s="134"/>
    </row>
    <row r="186" spans="1:27">
      <c r="A186" s="132">
        <v>184</v>
      </c>
      <c r="B186" s="126">
        <f t="shared" si="2"/>
        <v>45566</v>
      </c>
      <c r="C186" s="127">
        <f>YEAR(GC[[#This Row],[Date]])+IF(MONTH(GC[[#This Row],[Date]])&gt;=4,1,0)</f>
        <v>2025</v>
      </c>
      <c r="D186" s="128">
        <f>YEAR(GC[[#This Row],[Date]])</f>
        <v>2024</v>
      </c>
      <c r="E186" s="125" t="s">
        <v>156</v>
      </c>
      <c r="F186" s="125" t="s">
        <v>156</v>
      </c>
      <c r="G186" s="129" t="str">
        <f>TEXT(GC[[#This Row],[Date]],"mmm-yy")</f>
        <v>Oct-24</v>
      </c>
      <c r="H186" s="129">
        <f>DAY(EOMONTH(GC[[#This Row],[Month Year]],0))</f>
        <v>31</v>
      </c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25"/>
      <c r="T186" s="125"/>
      <c r="U186" s="125"/>
      <c r="V186" s="125"/>
      <c r="W186" s="125"/>
      <c r="X186" s="125"/>
      <c r="Y186" s="4">
        <f>SUM(GC[[#This Row],[ICR1]:[ICR14]])</f>
        <v>0</v>
      </c>
      <c r="Z186" s="132"/>
      <c r="AA186" s="134"/>
    </row>
    <row r="187" spans="1:27">
      <c r="A187" s="132">
        <v>185</v>
      </c>
      <c r="B187" s="126">
        <f t="shared" si="2"/>
        <v>45567</v>
      </c>
      <c r="C187" s="127">
        <f>YEAR(GC[[#This Row],[Date]])+IF(MONTH(GC[[#This Row],[Date]])&gt;=4,1,0)</f>
        <v>2025</v>
      </c>
      <c r="D187" s="128">
        <f>YEAR(GC[[#This Row],[Date]])</f>
        <v>2024</v>
      </c>
      <c r="E187" s="125" t="s">
        <v>156</v>
      </c>
      <c r="F187" s="125" t="s">
        <v>156</v>
      </c>
      <c r="G187" s="129" t="str">
        <f>TEXT(GC[[#This Row],[Date]],"mmm-yy")</f>
        <v>Oct-24</v>
      </c>
      <c r="H187" s="129">
        <f>DAY(EOMONTH(GC[[#This Row],[Month Year]],0))</f>
        <v>31</v>
      </c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25"/>
      <c r="T187" s="125"/>
      <c r="U187" s="125"/>
      <c r="V187" s="125"/>
      <c r="W187" s="125"/>
      <c r="X187" s="125"/>
      <c r="Y187" s="4">
        <f>SUM(GC[[#This Row],[ICR1]:[ICR14]])</f>
        <v>0</v>
      </c>
      <c r="Z187" s="132"/>
      <c r="AA187" s="134"/>
    </row>
    <row r="188" spans="1:27">
      <c r="A188" s="132">
        <v>186</v>
      </c>
      <c r="B188" s="126">
        <f t="shared" si="2"/>
        <v>45568</v>
      </c>
      <c r="C188" s="127">
        <f>YEAR(GC[[#This Row],[Date]])+IF(MONTH(GC[[#This Row],[Date]])&gt;=4,1,0)</f>
        <v>2025</v>
      </c>
      <c r="D188" s="128">
        <f>YEAR(GC[[#This Row],[Date]])</f>
        <v>2024</v>
      </c>
      <c r="E188" s="125" t="s">
        <v>156</v>
      </c>
      <c r="F188" s="125" t="s">
        <v>156</v>
      </c>
      <c r="G188" s="129" t="str">
        <f>TEXT(GC[[#This Row],[Date]],"mmm-yy")</f>
        <v>Oct-24</v>
      </c>
      <c r="H188" s="129">
        <f>DAY(EOMONTH(GC[[#This Row],[Month Year]],0))</f>
        <v>31</v>
      </c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25"/>
      <c r="T188" s="125"/>
      <c r="U188" s="125"/>
      <c r="V188" s="125"/>
      <c r="W188" s="125"/>
      <c r="X188" s="125"/>
      <c r="Y188" s="4">
        <f>SUM(GC[[#This Row],[ICR1]:[ICR14]])</f>
        <v>0</v>
      </c>
      <c r="Z188" s="132"/>
      <c r="AA188" s="134"/>
    </row>
    <row r="189" spans="1:27">
      <c r="A189" s="132">
        <v>187</v>
      </c>
      <c r="B189" s="126">
        <f t="shared" si="2"/>
        <v>45569</v>
      </c>
      <c r="C189" s="127">
        <f>YEAR(GC[[#This Row],[Date]])+IF(MONTH(GC[[#This Row],[Date]])&gt;=4,1,0)</f>
        <v>2025</v>
      </c>
      <c r="D189" s="128">
        <f>YEAR(GC[[#This Row],[Date]])</f>
        <v>2024</v>
      </c>
      <c r="E189" s="125" t="s">
        <v>156</v>
      </c>
      <c r="F189" s="125" t="s">
        <v>156</v>
      </c>
      <c r="G189" s="129" t="str">
        <f>TEXT(GC[[#This Row],[Date]],"mmm-yy")</f>
        <v>Oct-24</v>
      </c>
      <c r="H189" s="129">
        <f>DAY(EOMONTH(GC[[#This Row],[Month Year]],0))</f>
        <v>31</v>
      </c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25"/>
      <c r="T189" s="125"/>
      <c r="U189" s="125"/>
      <c r="V189" s="125"/>
      <c r="W189" s="125"/>
      <c r="X189" s="125"/>
      <c r="Y189" s="4">
        <f>SUM(GC[[#This Row],[ICR1]:[ICR14]])</f>
        <v>0</v>
      </c>
      <c r="Z189" s="132"/>
      <c r="AA189" s="134"/>
    </row>
    <row r="190" spans="1:27">
      <c r="A190" s="132">
        <v>188</v>
      </c>
      <c r="B190" s="126">
        <f t="shared" si="2"/>
        <v>45570</v>
      </c>
      <c r="C190" s="127">
        <f>YEAR(GC[[#This Row],[Date]])+IF(MONTH(GC[[#This Row],[Date]])&gt;=4,1,0)</f>
        <v>2025</v>
      </c>
      <c r="D190" s="128">
        <f>YEAR(GC[[#This Row],[Date]])</f>
        <v>2024</v>
      </c>
      <c r="E190" s="125" t="s">
        <v>156</v>
      </c>
      <c r="F190" s="125" t="s">
        <v>156</v>
      </c>
      <c r="G190" s="129" t="str">
        <f>TEXT(GC[[#This Row],[Date]],"mmm-yy")</f>
        <v>Oct-24</v>
      </c>
      <c r="H190" s="129">
        <f>DAY(EOMONTH(GC[[#This Row],[Month Year]],0))</f>
        <v>31</v>
      </c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25"/>
      <c r="T190" s="125"/>
      <c r="U190" s="125"/>
      <c r="V190" s="125"/>
      <c r="W190" s="125"/>
      <c r="X190" s="125"/>
      <c r="Y190" s="4">
        <f>SUM(GC[[#This Row],[ICR1]:[ICR14]])</f>
        <v>0</v>
      </c>
      <c r="Z190" s="132"/>
      <c r="AA190" s="134"/>
    </row>
    <row r="191" spans="1:27">
      <c r="A191" s="132">
        <v>189</v>
      </c>
      <c r="B191" s="126">
        <f t="shared" si="2"/>
        <v>45571</v>
      </c>
      <c r="C191" s="127">
        <f>YEAR(GC[[#This Row],[Date]])+IF(MONTH(GC[[#This Row],[Date]])&gt;=4,1,0)</f>
        <v>2025</v>
      </c>
      <c r="D191" s="128">
        <f>YEAR(GC[[#This Row],[Date]])</f>
        <v>2024</v>
      </c>
      <c r="E191" s="125" t="s">
        <v>156</v>
      </c>
      <c r="F191" s="125" t="s">
        <v>156</v>
      </c>
      <c r="G191" s="129" t="str">
        <f>TEXT(GC[[#This Row],[Date]],"mmm-yy")</f>
        <v>Oct-24</v>
      </c>
      <c r="H191" s="129">
        <f>DAY(EOMONTH(GC[[#This Row],[Month Year]],0))</f>
        <v>31</v>
      </c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25"/>
      <c r="T191" s="125"/>
      <c r="U191" s="125"/>
      <c r="V191" s="125"/>
      <c r="W191" s="125"/>
      <c r="X191" s="125"/>
      <c r="Y191" s="4">
        <f>SUM(GC[[#This Row],[ICR1]:[ICR14]])</f>
        <v>0</v>
      </c>
      <c r="Z191" s="132"/>
      <c r="AA191" s="134"/>
    </row>
    <row r="192" spans="1:27">
      <c r="A192" s="132">
        <v>190</v>
      </c>
      <c r="B192" s="126">
        <f t="shared" si="2"/>
        <v>45572</v>
      </c>
      <c r="C192" s="127">
        <f>YEAR(GC[[#This Row],[Date]])+IF(MONTH(GC[[#This Row],[Date]])&gt;=4,1,0)</f>
        <v>2025</v>
      </c>
      <c r="D192" s="128">
        <f>YEAR(GC[[#This Row],[Date]])</f>
        <v>2024</v>
      </c>
      <c r="E192" s="125" t="s">
        <v>156</v>
      </c>
      <c r="F192" s="125" t="s">
        <v>156</v>
      </c>
      <c r="G192" s="129" t="str">
        <f>TEXT(GC[[#This Row],[Date]],"mmm-yy")</f>
        <v>Oct-24</v>
      </c>
      <c r="H192" s="129">
        <f>DAY(EOMONTH(GC[[#This Row],[Month Year]],0))</f>
        <v>31</v>
      </c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25"/>
      <c r="T192" s="125"/>
      <c r="U192" s="125"/>
      <c r="V192" s="125"/>
      <c r="W192" s="125"/>
      <c r="X192" s="125"/>
      <c r="Y192" s="4">
        <f>SUM(GC[[#This Row],[ICR1]:[ICR14]])</f>
        <v>0</v>
      </c>
      <c r="Z192" s="132"/>
      <c r="AA192" s="134"/>
    </row>
    <row r="193" spans="1:27">
      <c r="A193" s="132">
        <v>191</v>
      </c>
      <c r="B193" s="126">
        <f t="shared" si="2"/>
        <v>45573</v>
      </c>
      <c r="C193" s="127">
        <f>YEAR(GC[[#This Row],[Date]])+IF(MONTH(GC[[#This Row],[Date]])&gt;=4,1,0)</f>
        <v>2025</v>
      </c>
      <c r="D193" s="128">
        <f>YEAR(GC[[#This Row],[Date]])</f>
        <v>2024</v>
      </c>
      <c r="E193" s="125" t="s">
        <v>156</v>
      </c>
      <c r="F193" s="125" t="s">
        <v>156</v>
      </c>
      <c r="G193" s="129" t="str">
        <f>TEXT(GC[[#This Row],[Date]],"mmm-yy")</f>
        <v>Oct-24</v>
      </c>
      <c r="H193" s="129">
        <f>DAY(EOMONTH(GC[[#This Row],[Month Year]],0))</f>
        <v>31</v>
      </c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25"/>
      <c r="T193" s="125"/>
      <c r="U193" s="125"/>
      <c r="V193" s="125"/>
      <c r="W193" s="125"/>
      <c r="X193" s="125"/>
      <c r="Y193" s="4">
        <f>SUM(GC[[#This Row],[ICR1]:[ICR14]])</f>
        <v>0</v>
      </c>
      <c r="Z193" s="132"/>
      <c r="AA193" s="134"/>
    </row>
    <row r="194" spans="1:27">
      <c r="A194" s="132">
        <v>192</v>
      </c>
      <c r="B194" s="126">
        <f t="shared" si="2"/>
        <v>45574</v>
      </c>
      <c r="C194" s="127">
        <f>YEAR(GC[[#This Row],[Date]])+IF(MONTH(GC[[#This Row],[Date]])&gt;=4,1,0)</f>
        <v>2025</v>
      </c>
      <c r="D194" s="128">
        <f>YEAR(GC[[#This Row],[Date]])</f>
        <v>2024</v>
      </c>
      <c r="E194" s="125" t="s">
        <v>156</v>
      </c>
      <c r="F194" s="125" t="s">
        <v>156</v>
      </c>
      <c r="G194" s="129" t="str">
        <f>TEXT(GC[[#This Row],[Date]],"mmm-yy")</f>
        <v>Oct-24</v>
      </c>
      <c r="H194" s="129">
        <f>DAY(EOMONTH(GC[[#This Row],[Month Year]],0))</f>
        <v>31</v>
      </c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25"/>
      <c r="T194" s="125"/>
      <c r="U194" s="125"/>
      <c r="V194" s="125"/>
      <c r="W194" s="125"/>
      <c r="X194" s="125"/>
      <c r="Y194" s="4">
        <f>SUM(GC[[#This Row],[ICR1]:[ICR14]])</f>
        <v>0</v>
      </c>
      <c r="Z194" s="132"/>
      <c r="AA194" s="134"/>
    </row>
    <row r="195" spans="1:27">
      <c r="A195" s="132">
        <v>193</v>
      </c>
      <c r="B195" s="126">
        <f t="shared" si="2"/>
        <v>45575</v>
      </c>
      <c r="C195" s="127">
        <f>YEAR(GC[[#This Row],[Date]])+IF(MONTH(GC[[#This Row],[Date]])&gt;=4,1,0)</f>
        <v>2025</v>
      </c>
      <c r="D195" s="128">
        <f>YEAR(GC[[#This Row],[Date]])</f>
        <v>2024</v>
      </c>
      <c r="E195" s="125" t="s">
        <v>156</v>
      </c>
      <c r="F195" s="125" t="s">
        <v>156</v>
      </c>
      <c r="G195" s="129" t="str">
        <f>TEXT(GC[[#This Row],[Date]],"mmm-yy")</f>
        <v>Oct-24</v>
      </c>
      <c r="H195" s="129">
        <f>DAY(EOMONTH(GC[[#This Row],[Month Year]],0))</f>
        <v>31</v>
      </c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25"/>
      <c r="T195" s="125"/>
      <c r="U195" s="125"/>
      <c r="V195" s="125"/>
      <c r="W195" s="125"/>
      <c r="X195" s="125"/>
      <c r="Y195" s="4">
        <f>SUM(GC[[#This Row],[ICR1]:[ICR14]])</f>
        <v>0</v>
      </c>
      <c r="Z195" s="132"/>
      <c r="AA195" s="134"/>
    </row>
    <row r="196" spans="1:27">
      <c r="A196" s="132">
        <v>194</v>
      </c>
      <c r="B196" s="126">
        <f t="shared" si="2"/>
        <v>45576</v>
      </c>
      <c r="C196" s="127">
        <f>YEAR(GC[[#This Row],[Date]])+IF(MONTH(GC[[#This Row],[Date]])&gt;=4,1,0)</f>
        <v>2025</v>
      </c>
      <c r="D196" s="128">
        <f>YEAR(GC[[#This Row],[Date]])</f>
        <v>2024</v>
      </c>
      <c r="E196" s="125" t="s">
        <v>156</v>
      </c>
      <c r="F196" s="125" t="s">
        <v>156</v>
      </c>
      <c r="G196" s="129" t="str">
        <f>TEXT(GC[[#This Row],[Date]],"mmm-yy")</f>
        <v>Oct-24</v>
      </c>
      <c r="H196" s="129">
        <f>DAY(EOMONTH(GC[[#This Row],[Month Year]],0))</f>
        <v>31</v>
      </c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25"/>
      <c r="T196" s="125"/>
      <c r="U196" s="125"/>
      <c r="V196" s="125"/>
      <c r="W196" s="125"/>
      <c r="X196" s="125"/>
      <c r="Y196" s="4">
        <f>SUM(GC[[#This Row],[ICR1]:[ICR14]])</f>
        <v>0</v>
      </c>
      <c r="Z196" s="132"/>
      <c r="AA196" s="134"/>
    </row>
    <row r="197" spans="1:27">
      <c r="A197" s="132">
        <v>195</v>
      </c>
      <c r="B197" s="126">
        <f t="shared" ref="B197:B260" si="3">B196+1</f>
        <v>45577</v>
      </c>
      <c r="C197" s="127">
        <f>YEAR(GC[[#This Row],[Date]])+IF(MONTH(GC[[#This Row],[Date]])&gt;=4,1,0)</f>
        <v>2025</v>
      </c>
      <c r="D197" s="128">
        <f>YEAR(GC[[#This Row],[Date]])</f>
        <v>2024</v>
      </c>
      <c r="E197" s="125" t="s">
        <v>156</v>
      </c>
      <c r="F197" s="125" t="s">
        <v>156</v>
      </c>
      <c r="G197" s="129" t="str">
        <f>TEXT(GC[[#This Row],[Date]],"mmm-yy")</f>
        <v>Oct-24</v>
      </c>
      <c r="H197" s="129">
        <f>DAY(EOMONTH(GC[[#This Row],[Month Year]],0))</f>
        <v>31</v>
      </c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25"/>
      <c r="T197" s="125"/>
      <c r="U197" s="125"/>
      <c r="V197" s="125"/>
      <c r="W197" s="125"/>
      <c r="X197" s="125"/>
      <c r="Y197" s="4">
        <f>SUM(GC[[#This Row],[ICR1]:[ICR14]])</f>
        <v>0</v>
      </c>
      <c r="Z197" s="132"/>
      <c r="AA197" s="134"/>
    </row>
    <row r="198" spans="1:27">
      <c r="A198" s="132">
        <v>196</v>
      </c>
      <c r="B198" s="126">
        <f t="shared" si="3"/>
        <v>45578</v>
      </c>
      <c r="C198" s="127">
        <f>YEAR(GC[[#This Row],[Date]])+IF(MONTH(GC[[#This Row],[Date]])&gt;=4,1,0)</f>
        <v>2025</v>
      </c>
      <c r="D198" s="128">
        <f>YEAR(GC[[#This Row],[Date]])</f>
        <v>2024</v>
      </c>
      <c r="E198" s="125" t="s">
        <v>156</v>
      </c>
      <c r="F198" s="125" t="s">
        <v>156</v>
      </c>
      <c r="G198" s="129" t="str">
        <f>TEXT(GC[[#This Row],[Date]],"mmm-yy")</f>
        <v>Oct-24</v>
      </c>
      <c r="H198" s="129">
        <f>DAY(EOMONTH(GC[[#This Row],[Month Year]],0))</f>
        <v>31</v>
      </c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25"/>
      <c r="T198" s="125"/>
      <c r="U198" s="125"/>
      <c r="V198" s="125"/>
      <c r="W198" s="125"/>
      <c r="X198" s="125"/>
      <c r="Y198" s="4">
        <f>SUM(GC[[#This Row],[ICR1]:[ICR14]])</f>
        <v>0</v>
      </c>
      <c r="Z198" s="132"/>
      <c r="AA198" s="134"/>
    </row>
    <row r="199" spans="1:27">
      <c r="A199" s="132">
        <v>197</v>
      </c>
      <c r="B199" s="126">
        <f t="shared" si="3"/>
        <v>45579</v>
      </c>
      <c r="C199" s="127">
        <f>YEAR(GC[[#This Row],[Date]])+IF(MONTH(GC[[#This Row],[Date]])&gt;=4,1,0)</f>
        <v>2025</v>
      </c>
      <c r="D199" s="128">
        <f>YEAR(GC[[#This Row],[Date]])</f>
        <v>2024</v>
      </c>
      <c r="E199" s="125" t="s">
        <v>156</v>
      </c>
      <c r="F199" s="125" t="s">
        <v>156</v>
      </c>
      <c r="G199" s="129" t="str">
        <f>TEXT(GC[[#This Row],[Date]],"mmm-yy")</f>
        <v>Oct-24</v>
      </c>
      <c r="H199" s="129">
        <f>DAY(EOMONTH(GC[[#This Row],[Month Year]],0))</f>
        <v>31</v>
      </c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25"/>
      <c r="T199" s="125"/>
      <c r="U199" s="125"/>
      <c r="V199" s="125"/>
      <c r="W199" s="125"/>
      <c r="X199" s="125"/>
      <c r="Y199" s="4">
        <f>SUM(GC[[#This Row],[ICR1]:[ICR14]])</f>
        <v>0</v>
      </c>
      <c r="Z199" s="132"/>
      <c r="AA199" s="134"/>
    </row>
    <row r="200" spans="1:27">
      <c r="A200" s="132">
        <v>198</v>
      </c>
      <c r="B200" s="126">
        <f t="shared" si="3"/>
        <v>45580</v>
      </c>
      <c r="C200" s="127">
        <f>YEAR(GC[[#This Row],[Date]])+IF(MONTH(GC[[#This Row],[Date]])&gt;=4,1,0)</f>
        <v>2025</v>
      </c>
      <c r="D200" s="128">
        <f>YEAR(GC[[#This Row],[Date]])</f>
        <v>2024</v>
      </c>
      <c r="E200" s="125" t="s">
        <v>156</v>
      </c>
      <c r="F200" s="125" t="s">
        <v>156</v>
      </c>
      <c r="G200" s="129" t="str">
        <f>TEXT(GC[[#This Row],[Date]],"mmm-yy")</f>
        <v>Oct-24</v>
      </c>
      <c r="H200" s="129">
        <f>DAY(EOMONTH(GC[[#This Row],[Month Year]],0))</f>
        <v>31</v>
      </c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25"/>
      <c r="T200" s="125"/>
      <c r="U200" s="125"/>
      <c r="V200" s="125"/>
      <c r="W200" s="125"/>
      <c r="X200" s="125"/>
      <c r="Y200" s="4">
        <f>SUM(GC[[#This Row],[ICR1]:[ICR14]])</f>
        <v>0</v>
      </c>
      <c r="Z200" s="132"/>
      <c r="AA200" s="134"/>
    </row>
    <row r="201" spans="1:27">
      <c r="A201" s="132">
        <v>199</v>
      </c>
      <c r="B201" s="126">
        <f t="shared" si="3"/>
        <v>45581</v>
      </c>
      <c r="C201" s="127">
        <f>YEAR(GC[[#This Row],[Date]])+IF(MONTH(GC[[#This Row],[Date]])&gt;=4,1,0)</f>
        <v>2025</v>
      </c>
      <c r="D201" s="128">
        <f>YEAR(GC[[#This Row],[Date]])</f>
        <v>2024</v>
      </c>
      <c r="E201" s="125" t="s">
        <v>156</v>
      </c>
      <c r="F201" s="125" t="s">
        <v>156</v>
      </c>
      <c r="G201" s="129" t="str">
        <f>TEXT(GC[[#This Row],[Date]],"mmm-yy")</f>
        <v>Oct-24</v>
      </c>
      <c r="H201" s="129">
        <f>DAY(EOMONTH(GC[[#This Row],[Month Year]],0))</f>
        <v>31</v>
      </c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25"/>
      <c r="T201" s="125"/>
      <c r="U201" s="125"/>
      <c r="V201" s="125"/>
      <c r="W201" s="125"/>
      <c r="X201" s="125"/>
      <c r="Y201" s="4">
        <f>SUM(GC[[#This Row],[ICR1]:[ICR14]])</f>
        <v>0</v>
      </c>
      <c r="Z201" s="132"/>
      <c r="AA201" s="134"/>
    </row>
    <row r="202" spans="1:27">
      <c r="A202" s="132">
        <v>200</v>
      </c>
      <c r="B202" s="126">
        <f t="shared" si="3"/>
        <v>45582</v>
      </c>
      <c r="C202" s="127">
        <f>YEAR(GC[[#This Row],[Date]])+IF(MONTH(GC[[#This Row],[Date]])&gt;=4,1,0)</f>
        <v>2025</v>
      </c>
      <c r="D202" s="128">
        <f>YEAR(GC[[#This Row],[Date]])</f>
        <v>2024</v>
      </c>
      <c r="E202" s="125" t="s">
        <v>156</v>
      </c>
      <c r="F202" s="125" t="s">
        <v>156</v>
      </c>
      <c r="G202" s="129" t="str">
        <f>TEXT(GC[[#This Row],[Date]],"mmm-yy")</f>
        <v>Oct-24</v>
      </c>
      <c r="H202" s="129">
        <f>DAY(EOMONTH(GC[[#This Row],[Month Year]],0))</f>
        <v>31</v>
      </c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25"/>
      <c r="T202" s="125"/>
      <c r="U202" s="125"/>
      <c r="V202" s="125"/>
      <c r="W202" s="125"/>
      <c r="X202" s="125"/>
      <c r="Y202" s="4">
        <f>SUM(GC[[#This Row],[ICR1]:[ICR14]])</f>
        <v>0</v>
      </c>
      <c r="Z202" s="132"/>
      <c r="AA202" s="134"/>
    </row>
    <row r="203" spans="1:27">
      <c r="A203" s="132">
        <v>201</v>
      </c>
      <c r="B203" s="126">
        <f t="shared" si="3"/>
        <v>45583</v>
      </c>
      <c r="C203" s="127">
        <f>YEAR(GC[[#This Row],[Date]])+IF(MONTH(GC[[#This Row],[Date]])&gt;=4,1,0)</f>
        <v>2025</v>
      </c>
      <c r="D203" s="128">
        <f>YEAR(GC[[#This Row],[Date]])</f>
        <v>2024</v>
      </c>
      <c r="E203" s="125" t="s">
        <v>156</v>
      </c>
      <c r="F203" s="125" t="s">
        <v>156</v>
      </c>
      <c r="G203" s="129" t="str">
        <f>TEXT(GC[[#This Row],[Date]],"mmm-yy")</f>
        <v>Oct-24</v>
      </c>
      <c r="H203" s="129">
        <f>DAY(EOMONTH(GC[[#This Row],[Month Year]],0))</f>
        <v>31</v>
      </c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25"/>
      <c r="T203" s="125"/>
      <c r="U203" s="125"/>
      <c r="V203" s="125"/>
      <c r="W203" s="125"/>
      <c r="X203" s="125"/>
      <c r="Y203" s="4">
        <f>SUM(GC[[#This Row],[ICR1]:[ICR14]])</f>
        <v>0</v>
      </c>
      <c r="Z203" s="132"/>
      <c r="AA203" s="134"/>
    </row>
    <row r="204" spans="1:27">
      <c r="A204" s="132">
        <v>202</v>
      </c>
      <c r="B204" s="126">
        <f t="shared" si="3"/>
        <v>45584</v>
      </c>
      <c r="C204" s="127">
        <f>YEAR(GC[[#This Row],[Date]])+IF(MONTH(GC[[#This Row],[Date]])&gt;=4,1,0)</f>
        <v>2025</v>
      </c>
      <c r="D204" s="128">
        <f>YEAR(GC[[#This Row],[Date]])</f>
        <v>2024</v>
      </c>
      <c r="E204" s="125" t="s">
        <v>156</v>
      </c>
      <c r="F204" s="125" t="s">
        <v>156</v>
      </c>
      <c r="G204" s="129" t="str">
        <f>TEXT(GC[[#This Row],[Date]],"mmm-yy")</f>
        <v>Oct-24</v>
      </c>
      <c r="H204" s="129">
        <f>DAY(EOMONTH(GC[[#This Row],[Month Year]],0))</f>
        <v>31</v>
      </c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25"/>
      <c r="T204" s="125"/>
      <c r="U204" s="125"/>
      <c r="V204" s="125"/>
      <c r="W204" s="125"/>
      <c r="X204" s="125"/>
      <c r="Y204" s="4">
        <f>SUM(GC[[#This Row],[ICR1]:[ICR14]])</f>
        <v>0</v>
      </c>
      <c r="Z204" s="132"/>
      <c r="AA204" s="134"/>
    </row>
    <row r="205" spans="1:27">
      <c r="A205" s="132">
        <v>203</v>
      </c>
      <c r="B205" s="126">
        <f t="shared" si="3"/>
        <v>45585</v>
      </c>
      <c r="C205" s="127">
        <f>YEAR(GC[[#This Row],[Date]])+IF(MONTH(GC[[#This Row],[Date]])&gt;=4,1,0)</f>
        <v>2025</v>
      </c>
      <c r="D205" s="128">
        <f>YEAR(GC[[#This Row],[Date]])</f>
        <v>2024</v>
      </c>
      <c r="E205" s="125" t="s">
        <v>156</v>
      </c>
      <c r="F205" s="125" t="s">
        <v>156</v>
      </c>
      <c r="G205" s="129" t="str">
        <f>TEXT(GC[[#This Row],[Date]],"mmm-yy")</f>
        <v>Oct-24</v>
      </c>
      <c r="H205" s="129">
        <f>DAY(EOMONTH(GC[[#This Row],[Month Year]],0))</f>
        <v>31</v>
      </c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25"/>
      <c r="T205" s="125"/>
      <c r="U205" s="125"/>
      <c r="V205" s="125"/>
      <c r="W205" s="125"/>
      <c r="X205" s="125"/>
      <c r="Y205" s="4">
        <f>SUM(GC[[#This Row],[ICR1]:[ICR14]])</f>
        <v>0</v>
      </c>
      <c r="Z205" s="132"/>
      <c r="AA205" s="134"/>
    </row>
    <row r="206" spans="1:27">
      <c r="A206" s="132">
        <v>204</v>
      </c>
      <c r="B206" s="126">
        <f t="shared" si="3"/>
        <v>45586</v>
      </c>
      <c r="C206" s="127">
        <f>YEAR(GC[[#This Row],[Date]])+IF(MONTH(GC[[#This Row],[Date]])&gt;=4,1,0)</f>
        <v>2025</v>
      </c>
      <c r="D206" s="128">
        <f>YEAR(GC[[#This Row],[Date]])</f>
        <v>2024</v>
      </c>
      <c r="E206" s="125" t="s">
        <v>156</v>
      </c>
      <c r="F206" s="125" t="s">
        <v>156</v>
      </c>
      <c r="G206" s="129" t="str">
        <f>TEXT(GC[[#This Row],[Date]],"mmm-yy")</f>
        <v>Oct-24</v>
      </c>
      <c r="H206" s="129">
        <f>DAY(EOMONTH(GC[[#This Row],[Month Year]],0))</f>
        <v>31</v>
      </c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25"/>
      <c r="T206" s="125"/>
      <c r="U206" s="125"/>
      <c r="V206" s="125"/>
      <c r="W206" s="125"/>
      <c r="X206" s="125"/>
      <c r="Y206" s="4">
        <f>SUM(GC[[#This Row],[ICR1]:[ICR14]])</f>
        <v>0</v>
      </c>
      <c r="Z206" s="132"/>
      <c r="AA206" s="134"/>
    </row>
    <row r="207" spans="1:27">
      <c r="A207" s="132">
        <v>205</v>
      </c>
      <c r="B207" s="126">
        <f t="shared" si="3"/>
        <v>45587</v>
      </c>
      <c r="C207" s="127">
        <f>YEAR(GC[[#This Row],[Date]])+IF(MONTH(GC[[#This Row],[Date]])&gt;=4,1,0)</f>
        <v>2025</v>
      </c>
      <c r="D207" s="128">
        <f>YEAR(GC[[#This Row],[Date]])</f>
        <v>2024</v>
      </c>
      <c r="E207" s="125" t="s">
        <v>156</v>
      </c>
      <c r="F207" s="125" t="s">
        <v>156</v>
      </c>
      <c r="G207" s="129" t="str">
        <f>TEXT(GC[[#This Row],[Date]],"mmm-yy")</f>
        <v>Oct-24</v>
      </c>
      <c r="H207" s="129">
        <f>DAY(EOMONTH(GC[[#This Row],[Month Year]],0))</f>
        <v>31</v>
      </c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25"/>
      <c r="T207" s="125"/>
      <c r="U207" s="125"/>
      <c r="V207" s="125"/>
      <c r="W207" s="125"/>
      <c r="X207" s="125"/>
      <c r="Y207" s="4">
        <f>SUM(GC[[#This Row],[ICR1]:[ICR14]])</f>
        <v>0</v>
      </c>
      <c r="Z207" s="132"/>
      <c r="AA207" s="134"/>
    </row>
    <row r="208" spans="1:27">
      <c r="A208" s="132">
        <v>206</v>
      </c>
      <c r="B208" s="126">
        <f t="shared" si="3"/>
        <v>45588</v>
      </c>
      <c r="C208" s="127">
        <f>YEAR(GC[[#This Row],[Date]])+IF(MONTH(GC[[#This Row],[Date]])&gt;=4,1,0)</f>
        <v>2025</v>
      </c>
      <c r="D208" s="128">
        <f>YEAR(GC[[#This Row],[Date]])</f>
        <v>2024</v>
      </c>
      <c r="E208" s="125" t="s">
        <v>156</v>
      </c>
      <c r="F208" s="125" t="s">
        <v>156</v>
      </c>
      <c r="G208" s="129" t="str">
        <f>TEXT(GC[[#This Row],[Date]],"mmm-yy")</f>
        <v>Oct-24</v>
      </c>
      <c r="H208" s="129">
        <f>DAY(EOMONTH(GC[[#This Row],[Month Year]],0))</f>
        <v>31</v>
      </c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25"/>
      <c r="T208" s="125"/>
      <c r="U208" s="125"/>
      <c r="V208" s="125"/>
      <c r="W208" s="125"/>
      <c r="X208" s="125"/>
      <c r="Y208" s="4">
        <f>SUM(GC[[#This Row],[ICR1]:[ICR14]])</f>
        <v>0</v>
      </c>
      <c r="Z208" s="132"/>
      <c r="AA208" s="134"/>
    </row>
    <row r="209" spans="1:27">
      <c r="A209" s="132">
        <v>207</v>
      </c>
      <c r="B209" s="126">
        <f t="shared" si="3"/>
        <v>45589</v>
      </c>
      <c r="C209" s="127">
        <f>YEAR(GC[[#This Row],[Date]])+IF(MONTH(GC[[#This Row],[Date]])&gt;=4,1,0)</f>
        <v>2025</v>
      </c>
      <c r="D209" s="128">
        <f>YEAR(GC[[#This Row],[Date]])</f>
        <v>2024</v>
      </c>
      <c r="E209" s="125" t="s">
        <v>156</v>
      </c>
      <c r="F209" s="125" t="s">
        <v>156</v>
      </c>
      <c r="G209" s="129" t="str">
        <f>TEXT(GC[[#This Row],[Date]],"mmm-yy")</f>
        <v>Oct-24</v>
      </c>
      <c r="H209" s="129">
        <f>DAY(EOMONTH(GC[[#This Row],[Month Year]],0))</f>
        <v>31</v>
      </c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25"/>
      <c r="T209" s="125"/>
      <c r="U209" s="125"/>
      <c r="V209" s="125"/>
      <c r="W209" s="125"/>
      <c r="X209" s="125"/>
      <c r="Y209" s="4">
        <f>SUM(GC[[#This Row],[ICR1]:[ICR14]])</f>
        <v>0</v>
      </c>
      <c r="Z209" s="132"/>
      <c r="AA209" s="134"/>
    </row>
    <row r="210" spans="1:27">
      <c r="A210" s="132">
        <v>208</v>
      </c>
      <c r="B210" s="126">
        <f t="shared" si="3"/>
        <v>45590</v>
      </c>
      <c r="C210" s="127">
        <f>YEAR(GC[[#This Row],[Date]])+IF(MONTH(GC[[#This Row],[Date]])&gt;=4,1,0)</f>
        <v>2025</v>
      </c>
      <c r="D210" s="128">
        <f>YEAR(GC[[#This Row],[Date]])</f>
        <v>2024</v>
      </c>
      <c r="E210" s="125" t="s">
        <v>156</v>
      </c>
      <c r="F210" s="125" t="s">
        <v>156</v>
      </c>
      <c r="G210" s="129" t="str">
        <f>TEXT(GC[[#This Row],[Date]],"mmm-yy")</f>
        <v>Oct-24</v>
      </c>
      <c r="H210" s="129">
        <f>DAY(EOMONTH(GC[[#This Row],[Month Year]],0))</f>
        <v>31</v>
      </c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25"/>
      <c r="T210" s="125"/>
      <c r="U210" s="125"/>
      <c r="V210" s="125"/>
      <c r="W210" s="125"/>
      <c r="X210" s="125"/>
      <c r="Y210" s="4">
        <f>SUM(GC[[#This Row],[ICR1]:[ICR14]])</f>
        <v>0</v>
      </c>
      <c r="Z210" s="132"/>
      <c r="AA210" s="134"/>
    </row>
    <row r="211" spans="1:27">
      <c r="A211" s="132">
        <v>209</v>
      </c>
      <c r="B211" s="126">
        <f t="shared" si="3"/>
        <v>45591</v>
      </c>
      <c r="C211" s="127">
        <f>YEAR(GC[[#This Row],[Date]])+IF(MONTH(GC[[#This Row],[Date]])&gt;=4,1,0)</f>
        <v>2025</v>
      </c>
      <c r="D211" s="128">
        <f>YEAR(GC[[#This Row],[Date]])</f>
        <v>2024</v>
      </c>
      <c r="E211" s="125" t="s">
        <v>156</v>
      </c>
      <c r="F211" s="125" t="s">
        <v>156</v>
      </c>
      <c r="G211" s="129" t="str">
        <f>TEXT(GC[[#This Row],[Date]],"mmm-yy")</f>
        <v>Oct-24</v>
      </c>
      <c r="H211" s="129">
        <f>DAY(EOMONTH(GC[[#This Row],[Month Year]],0))</f>
        <v>31</v>
      </c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25"/>
      <c r="T211" s="125"/>
      <c r="U211" s="125"/>
      <c r="V211" s="125"/>
      <c r="W211" s="125"/>
      <c r="X211" s="125"/>
      <c r="Y211" s="4">
        <f>SUM(GC[[#This Row],[ICR1]:[ICR14]])</f>
        <v>0</v>
      </c>
      <c r="Z211" s="132"/>
      <c r="AA211" s="134"/>
    </row>
    <row r="212" spans="1:27">
      <c r="A212" s="132">
        <v>210</v>
      </c>
      <c r="B212" s="126">
        <f t="shared" si="3"/>
        <v>45592</v>
      </c>
      <c r="C212" s="127">
        <f>YEAR(GC[[#This Row],[Date]])+IF(MONTH(GC[[#This Row],[Date]])&gt;=4,1,0)</f>
        <v>2025</v>
      </c>
      <c r="D212" s="128">
        <f>YEAR(GC[[#This Row],[Date]])</f>
        <v>2024</v>
      </c>
      <c r="E212" s="125" t="s">
        <v>156</v>
      </c>
      <c r="F212" s="125" t="s">
        <v>156</v>
      </c>
      <c r="G212" s="129" t="str">
        <f>TEXT(GC[[#This Row],[Date]],"mmm-yy")</f>
        <v>Oct-24</v>
      </c>
      <c r="H212" s="129">
        <f>DAY(EOMONTH(GC[[#This Row],[Month Year]],0))</f>
        <v>31</v>
      </c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25"/>
      <c r="T212" s="125"/>
      <c r="U212" s="125"/>
      <c r="V212" s="125"/>
      <c r="W212" s="125"/>
      <c r="X212" s="125"/>
      <c r="Y212" s="4">
        <f>SUM(GC[[#This Row],[ICR1]:[ICR14]])</f>
        <v>0</v>
      </c>
      <c r="Z212" s="132"/>
      <c r="AA212" s="134"/>
    </row>
    <row r="213" spans="1:27">
      <c r="A213" s="132">
        <v>211</v>
      </c>
      <c r="B213" s="126">
        <f t="shared" si="3"/>
        <v>45593</v>
      </c>
      <c r="C213" s="127">
        <f>YEAR(GC[[#This Row],[Date]])+IF(MONTH(GC[[#This Row],[Date]])&gt;=4,1,0)</f>
        <v>2025</v>
      </c>
      <c r="D213" s="128">
        <f>YEAR(GC[[#This Row],[Date]])</f>
        <v>2024</v>
      </c>
      <c r="E213" s="125" t="s">
        <v>156</v>
      </c>
      <c r="F213" s="125" t="s">
        <v>156</v>
      </c>
      <c r="G213" s="129" t="str">
        <f>TEXT(GC[[#This Row],[Date]],"mmm-yy")</f>
        <v>Oct-24</v>
      </c>
      <c r="H213" s="129">
        <f>DAY(EOMONTH(GC[[#This Row],[Month Year]],0))</f>
        <v>31</v>
      </c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25"/>
      <c r="T213" s="125"/>
      <c r="U213" s="125"/>
      <c r="V213" s="125"/>
      <c r="W213" s="125"/>
      <c r="X213" s="125"/>
      <c r="Y213" s="4">
        <f>SUM(GC[[#This Row],[ICR1]:[ICR14]])</f>
        <v>0</v>
      </c>
      <c r="Z213" s="132"/>
      <c r="AA213" s="134"/>
    </row>
    <row r="214" spans="1:27">
      <c r="A214" s="132">
        <v>212</v>
      </c>
      <c r="B214" s="126">
        <f t="shared" si="3"/>
        <v>45594</v>
      </c>
      <c r="C214" s="127">
        <f>YEAR(GC[[#This Row],[Date]])+IF(MONTH(GC[[#This Row],[Date]])&gt;=4,1,0)</f>
        <v>2025</v>
      </c>
      <c r="D214" s="128">
        <f>YEAR(GC[[#This Row],[Date]])</f>
        <v>2024</v>
      </c>
      <c r="E214" s="125" t="s">
        <v>156</v>
      </c>
      <c r="F214" s="125" t="s">
        <v>156</v>
      </c>
      <c r="G214" s="129" t="str">
        <f>TEXT(GC[[#This Row],[Date]],"mmm-yy")</f>
        <v>Oct-24</v>
      </c>
      <c r="H214" s="129">
        <f>DAY(EOMONTH(GC[[#This Row],[Month Year]],0))</f>
        <v>31</v>
      </c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25"/>
      <c r="T214" s="125"/>
      <c r="U214" s="125"/>
      <c r="V214" s="125"/>
      <c r="W214" s="125"/>
      <c r="X214" s="125"/>
      <c r="Y214" s="4">
        <f>SUM(GC[[#This Row],[ICR1]:[ICR14]])</f>
        <v>0</v>
      </c>
      <c r="Z214" s="132"/>
      <c r="AA214" s="134"/>
    </row>
    <row r="215" spans="1:27">
      <c r="A215" s="132">
        <v>213</v>
      </c>
      <c r="B215" s="126">
        <f t="shared" si="3"/>
        <v>45595</v>
      </c>
      <c r="C215" s="127">
        <f>YEAR(GC[[#This Row],[Date]])+IF(MONTH(GC[[#This Row],[Date]])&gt;=4,1,0)</f>
        <v>2025</v>
      </c>
      <c r="D215" s="128">
        <f>YEAR(GC[[#This Row],[Date]])</f>
        <v>2024</v>
      </c>
      <c r="E215" s="125" t="s">
        <v>156</v>
      </c>
      <c r="F215" s="125" t="s">
        <v>156</v>
      </c>
      <c r="G215" s="129" t="str">
        <f>TEXT(GC[[#This Row],[Date]],"mmm-yy")</f>
        <v>Oct-24</v>
      </c>
      <c r="H215" s="129">
        <f>DAY(EOMONTH(GC[[#This Row],[Month Year]],0))</f>
        <v>31</v>
      </c>
      <c r="I215" s="132">
        <v>2</v>
      </c>
      <c r="J215" s="132" t="s">
        <v>390</v>
      </c>
      <c r="K215" s="132">
        <v>0</v>
      </c>
      <c r="L215" s="132">
        <v>38</v>
      </c>
      <c r="M215" s="132">
        <v>17</v>
      </c>
      <c r="N215" s="132">
        <v>0</v>
      </c>
      <c r="O215" s="132">
        <v>0</v>
      </c>
      <c r="P215" s="132">
        <v>0</v>
      </c>
      <c r="Q215" s="132">
        <v>0</v>
      </c>
      <c r="R215" s="132">
        <v>0</v>
      </c>
      <c r="S215" s="125"/>
      <c r="T215" s="125"/>
      <c r="U215" s="125"/>
      <c r="V215" s="125"/>
      <c r="W215" s="125"/>
      <c r="X215" s="125"/>
      <c r="Y215" s="4">
        <f>SUM(GC[[#This Row],[ICR1]:[ICR14]])</f>
        <v>55</v>
      </c>
      <c r="Z215" s="132" t="s">
        <v>390</v>
      </c>
      <c r="AA215" s="132" t="s">
        <v>392</v>
      </c>
    </row>
    <row r="216" spans="1:27">
      <c r="A216" s="132">
        <v>214</v>
      </c>
      <c r="B216" s="126">
        <f t="shared" si="3"/>
        <v>45596</v>
      </c>
      <c r="C216" s="127">
        <f>YEAR(GC[[#This Row],[Date]])+IF(MONTH(GC[[#This Row],[Date]])&gt;=4,1,0)</f>
        <v>2025</v>
      </c>
      <c r="D216" s="128">
        <f>YEAR(GC[[#This Row],[Date]])</f>
        <v>2024</v>
      </c>
      <c r="E216" s="125" t="s">
        <v>156</v>
      </c>
      <c r="F216" s="125" t="s">
        <v>156</v>
      </c>
      <c r="G216" s="129" t="str">
        <f>TEXT(GC[[#This Row],[Date]],"mmm-yy")</f>
        <v>Oct-24</v>
      </c>
      <c r="H216" s="129">
        <f>DAY(EOMONTH(GC[[#This Row],[Month Year]],0))</f>
        <v>31</v>
      </c>
      <c r="I216" s="132">
        <v>2</v>
      </c>
      <c r="J216" s="132" t="s">
        <v>390</v>
      </c>
      <c r="K216" s="132">
        <v>0</v>
      </c>
      <c r="L216" s="132">
        <v>16</v>
      </c>
      <c r="M216" s="132">
        <v>32</v>
      </c>
      <c r="N216" s="132">
        <v>0</v>
      </c>
      <c r="O216" s="132">
        <v>0</v>
      </c>
      <c r="P216" s="132">
        <v>0</v>
      </c>
      <c r="Q216" s="132">
        <v>0</v>
      </c>
      <c r="R216" s="132">
        <v>0</v>
      </c>
      <c r="S216" s="125"/>
      <c r="T216" s="125"/>
      <c r="U216" s="125"/>
      <c r="V216" s="125"/>
      <c r="W216" s="125"/>
      <c r="X216" s="125"/>
      <c r="Y216" s="4">
        <f>SUM(GC[[#This Row],[ICR1]:[ICR14]])</f>
        <v>48</v>
      </c>
      <c r="Z216" s="132" t="s">
        <v>390</v>
      </c>
      <c r="AA216" s="132" t="s">
        <v>393</v>
      </c>
    </row>
    <row r="217" spans="1:27">
      <c r="A217" s="132">
        <v>215</v>
      </c>
      <c r="B217" s="126">
        <f t="shared" si="3"/>
        <v>45597</v>
      </c>
      <c r="C217" s="127">
        <f>YEAR(GC[[#This Row],[Date]])+IF(MONTH(GC[[#This Row],[Date]])&gt;=4,1,0)</f>
        <v>2025</v>
      </c>
      <c r="D217" s="128">
        <f>YEAR(GC[[#This Row],[Date]])</f>
        <v>2024</v>
      </c>
      <c r="E217" s="125" t="s">
        <v>156</v>
      </c>
      <c r="F217" s="125" t="s">
        <v>156</v>
      </c>
      <c r="G217" s="129" t="str">
        <f>TEXT(GC[[#This Row],[Date]],"mmm-yy")</f>
        <v>Nov-24</v>
      </c>
      <c r="H217" s="129">
        <f>DAY(EOMONTH(GC[[#This Row],[Month Year]],0))</f>
        <v>30</v>
      </c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25"/>
      <c r="T217" s="125"/>
      <c r="U217" s="125"/>
      <c r="V217" s="125"/>
      <c r="W217" s="125"/>
      <c r="X217" s="125"/>
      <c r="Y217" s="4">
        <f>SUM(GC[[#This Row],[ICR1]:[ICR14]])</f>
        <v>0</v>
      </c>
      <c r="Z217" s="132"/>
      <c r="AA217" s="134"/>
    </row>
    <row r="218" spans="1:27">
      <c r="A218" s="132">
        <v>216</v>
      </c>
      <c r="B218" s="126">
        <f t="shared" si="3"/>
        <v>45598</v>
      </c>
      <c r="C218" s="127">
        <f>YEAR(GC[[#This Row],[Date]])+IF(MONTH(GC[[#This Row],[Date]])&gt;=4,1,0)</f>
        <v>2025</v>
      </c>
      <c r="D218" s="128">
        <f>YEAR(GC[[#This Row],[Date]])</f>
        <v>2024</v>
      </c>
      <c r="E218" s="125" t="s">
        <v>156</v>
      </c>
      <c r="F218" s="125" t="s">
        <v>156</v>
      </c>
      <c r="G218" s="129" t="str">
        <f>TEXT(GC[[#This Row],[Date]],"mmm-yy")</f>
        <v>Nov-24</v>
      </c>
      <c r="H218" s="129">
        <f>DAY(EOMONTH(GC[[#This Row],[Month Year]],0))</f>
        <v>30</v>
      </c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25"/>
      <c r="T218" s="125"/>
      <c r="U218" s="125"/>
      <c r="V218" s="125"/>
      <c r="W218" s="125"/>
      <c r="X218" s="125"/>
      <c r="Y218" s="4">
        <f>SUM(GC[[#This Row],[ICR1]:[ICR14]])</f>
        <v>0</v>
      </c>
      <c r="Z218" s="132"/>
      <c r="AA218" s="134"/>
    </row>
    <row r="219" spans="1:27">
      <c r="A219" s="132">
        <v>217</v>
      </c>
      <c r="B219" s="126">
        <f t="shared" si="3"/>
        <v>45599</v>
      </c>
      <c r="C219" s="127">
        <f>YEAR(GC[[#This Row],[Date]])+IF(MONTH(GC[[#This Row],[Date]])&gt;=4,1,0)</f>
        <v>2025</v>
      </c>
      <c r="D219" s="128">
        <f>YEAR(GC[[#This Row],[Date]])</f>
        <v>2024</v>
      </c>
      <c r="E219" s="125" t="s">
        <v>156</v>
      </c>
      <c r="F219" s="125" t="s">
        <v>156</v>
      </c>
      <c r="G219" s="129" t="str">
        <f>TEXT(GC[[#This Row],[Date]],"mmm-yy")</f>
        <v>Nov-24</v>
      </c>
      <c r="H219" s="129">
        <f>DAY(EOMONTH(GC[[#This Row],[Month Year]],0))</f>
        <v>30</v>
      </c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25"/>
      <c r="T219" s="125"/>
      <c r="U219" s="125"/>
      <c r="V219" s="125"/>
      <c r="W219" s="125"/>
      <c r="X219" s="125"/>
      <c r="Y219" s="4">
        <f>SUM(GC[[#This Row],[ICR1]:[ICR14]])</f>
        <v>0</v>
      </c>
      <c r="Z219" s="132"/>
      <c r="AA219" s="134"/>
    </row>
    <row r="220" spans="1:27">
      <c r="A220" s="132">
        <v>218</v>
      </c>
      <c r="B220" s="126">
        <f t="shared" si="3"/>
        <v>45600</v>
      </c>
      <c r="C220" s="127">
        <f>YEAR(GC[[#This Row],[Date]])+IF(MONTH(GC[[#This Row],[Date]])&gt;=4,1,0)</f>
        <v>2025</v>
      </c>
      <c r="D220" s="128">
        <f>YEAR(GC[[#This Row],[Date]])</f>
        <v>2024</v>
      </c>
      <c r="E220" s="125" t="s">
        <v>156</v>
      </c>
      <c r="F220" s="125" t="s">
        <v>156</v>
      </c>
      <c r="G220" s="129" t="str">
        <f>TEXT(GC[[#This Row],[Date]],"mmm-yy")</f>
        <v>Nov-24</v>
      </c>
      <c r="H220" s="129">
        <f>DAY(EOMONTH(GC[[#This Row],[Month Year]],0))</f>
        <v>30</v>
      </c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25"/>
      <c r="T220" s="125"/>
      <c r="U220" s="125"/>
      <c r="V220" s="125"/>
      <c r="W220" s="125"/>
      <c r="X220" s="125"/>
      <c r="Y220" s="4">
        <f>SUM(GC[[#This Row],[ICR1]:[ICR14]])</f>
        <v>0</v>
      </c>
      <c r="Z220" s="132"/>
      <c r="AA220" s="134"/>
    </row>
    <row r="221" spans="1:27">
      <c r="A221" s="132">
        <v>219</v>
      </c>
      <c r="B221" s="126">
        <f t="shared" si="3"/>
        <v>45601</v>
      </c>
      <c r="C221" s="127">
        <f>YEAR(GC[[#This Row],[Date]])+IF(MONTH(GC[[#This Row],[Date]])&gt;=4,1,0)</f>
        <v>2025</v>
      </c>
      <c r="D221" s="128">
        <f>YEAR(GC[[#This Row],[Date]])</f>
        <v>2024</v>
      </c>
      <c r="E221" s="125" t="s">
        <v>156</v>
      </c>
      <c r="F221" s="125" t="s">
        <v>156</v>
      </c>
      <c r="G221" s="129" t="str">
        <f>TEXT(GC[[#This Row],[Date]],"mmm-yy")</f>
        <v>Nov-24</v>
      </c>
      <c r="H221" s="129">
        <f>DAY(EOMONTH(GC[[#This Row],[Month Year]],0))</f>
        <v>30</v>
      </c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25"/>
      <c r="T221" s="125"/>
      <c r="U221" s="125"/>
      <c r="V221" s="125"/>
      <c r="W221" s="125"/>
      <c r="X221" s="125"/>
      <c r="Y221" s="4">
        <f>SUM(GC[[#This Row],[ICR1]:[ICR14]])</f>
        <v>0</v>
      </c>
      <c r="Z221" s="132"/>
      <c r="AA221" s="134"/>
    </row>
    <row r="222" spans="1:27">
      <c r="A222" s="132">
        <v>220</v>
      </c>
      <c r="B222" s="126">
        <f t="shared" si="3"/>
        <v>45602</v>
      </c>
      <c r="C222" s="127">
        <f>YEAR(GC[[#This Row],[Date]])+IF(MONTH(GC[[#This Row],[Date]])&gt;=4,1,0)</f>
        <v>2025</v>
      </c>
      <c r="D222" s="128">
        <f>YEAR(GC[[#This Row],[Date]])</f>
        <v>2024</v>
      </c>
      <c r="E222" s="125" t="s">
        <v>156</v>
      </c>
      <c r="F222" s="125" t="s">
        <v>156</v>
      </c>
      <c r="G222" s="129" t="str">
        <f>TEXT(GC[[#This Row],[Date]],"mmm-yy")</f>
        <v>Nov-24</v>
      </c>
      <c r="H222" s="129">
        <f>DAY(EOMONTH(GC[[#This Row],[Month Year]],0))</f>
        <v>30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25"/>
      <c r="T222" s="125"/>
      <c r="U222" s="125"/>
      <c r="V222" s="125"/>
      <c r="W222" s="125"/>
      <c r="X222" s="125"/>
      <c r="Y222" s="4">
        <f>SUM(GC[[#This Row],[ICR1]:[ICR14]])</f>
        <v>0</v>
      </c>
      <c r="Z222" s="132"/>
      <c r="AA222" s="134"/>
    </row>
    <row r="223" spans="1:27">
      <c r="A223" s="132">
        <v>221</v>
      </c>
      <c r="B223" s="126">
        <f t="shared" si="3"/>
        <v>45603</v>
      </c>
      <c r="C223" s="127">
        <f>YEAR(GC[[#This Row],[Date]])+IF(MONTH(GC[[#This Row],[Date]])&gt;=4,1,0)</f>
        <v>2025</v>
      </c>
      <c r="D223" s="128">
        <f>YEAR(GC[[#This Row],[Date]])</f>
        <v>2024</v>
      </c>
      <c r="E223" s="125" t="s">
        <v>156</v>
      </c>
      <c r="F223" s="125" t="s">
        <v>156</v>
      </c>
      <c r="G223" s="129" t="str">
        <f>TEXT(GC[[#This Row],[Date]],"mmm-yy")</f>
        <v>Nov-24</v>
      </c>
      <c r="H223" s="129">
        <f>DAY(EOMONTH(GC[[#This Row],[Month Year]],0))</f>
        <v>30</v>
      </c>
      <c r="I223" s="132">
        <v>2</v>
      </c>
      <c r="J223" s="132" t="s">
        <v>390</v>
      </c>
      <c r="K223" s="132">
        <v>0</v>
      </c>
      <c r="L223" s="132">
        <v>0</v>
      </c>
      <c r="M223" s="132">
        <v>61</v>
      </c>
      <c r="N223" s="132">
        <v>0</v>
      </c>
      <c r="O223" s="132">
        <v>0</v>
      </c>
      <c r="P223" s="132">
        <v>0</v>
      </c>
      <c r="Q223" s="132">
        <v>0</v>
      </c>
      <c r="R223" s="132">
        <v>0</v>
      </c>
      <c r="S223" s="125"/>
      <c r="T223" s="125"/>
      <c r="U223" s="125"/>
      <c r="V223" s="125"/>
      <c r="W223" s="125"/>
      <c r="X223" s="125"/>
      <c r="Y223" s="4">
        <f>SUM(GC[[#This Row],[ICR1]:[ICR14]])</f>
        <v>61</v>
      </c>
      <c r="Z223" s="132" t="s">
        <v>390</v>
      </c>
      <c r="AA223" s="132" t="s">
        <v>394</v>
      </c>
    </row>
    <row r="224" spans="1:27">
      <c r="A224" s="132">
        <v>222</v>
      </c>
      <c r="B224" s="126">
        <f t="shared" si="3"/>
        <v>45604</v>
      </c>
      <c r="C224" s="127">
        <f>YEAR(GC[[#This Row],[Date]])+IF(MONTH(GC[[#This Row],[Date]])&gt;=4,1,0)</f>
        <v>2025</v>
      </c>
      <c r="D224" s="128">
        <f>YEAR(GC[[#This Row],[Date]])</f>
        <v>2024</v>
      </c>
      <c r="E224" s="125" t="s">
        <v>156</v>
      </c>
      <c r="F224" s="125" t="s">
        <v>156</v>
      </c>
      <c r="G224" s="129" t="str">
        <f>TEXT(GC[[#This Row],[Date]],"mmm-yy")</f>
        <v>Nov-24</v>
      </c>
      <c r="H224" s="129">
        <f>DAY(EOMONTH(GC[[#This Row],[Month Year]],0))</f>
        <v>30</v>
      </c>
      <c r="I224" s="132">
        <v>2</v>
      </c>
      <c r="J224" s="132" t="s">
        <v>390</v>
      </c>
      <c r="K224" s="132">
        <v>24</v>
      </c>
      <c r="L224" s="132">
        <v>0</v>
      </c>
      <c r="M224" s="132">
        <v>35</v>
      </c>
      <c r="N224" s="132">
        <v>0</v>
      </c>
      <c r="O224" s="132">
        <v>0</v>
      </c>
      <c r="P224" s="132">
        <v>0</v>
      </c>
      <c r="Q224" s="132">
        <v>0</v>
      </c>
      <c r="R224" s="132">
        <v>0</v>
      </c>
      <c r="S224" s="125"/>
      <c r="T224" s="125"/>
      <c r="U224" s="125"/>
      <c r="V224" s="125"/>
      <c r="W224" s="125"/>
      <c r="X224" s="125"/>
      <c r="Y224" s="4">
        <f>SUM(GC[[#This Row],[ICR1]:[ICR14]])</f>
        <v>59</v>
      </c>
      <c r="Z224" s="132" t="s">
        <v>390</v>
      </c>
      <c r="AA224" s="132" t="s">
        <v>395</v>
      </c>
    </row>
    <row r="225" spans="1:27">
      <c r="A225" s="132">
        <v>223</v>
      </c>
      <c r="B225" s="126">
        <f t="shared" si="3"/>
        <v>45605</v>
      </c>
      <c r="C225" s="127">
        <f>YEAR(GC[[#This Row],[Date]])+IF(MONTH(GC[[#This Row],[Date]])&gt;=4,1,0)</f>
        <v>2025</v>
      </c>
      <c r="D225" s="128">
        <f>YEAR(GC[[#This Row],[Date]])</f>
        <v>2024</v>
      </c>
      <c r="E225" s="125" t="s">
        <v>156</v>
      </c>
      <c r="F225" s="125" t="s">
        <v>156</v>
      </c>
      <c r="G225" s="129" t="str">
        <f>TEXT(GC[[#This Row],[Date]],"mmm-yy")</f>
        <v>Nov-24</v>
      </c>
      <c r="H225" s="129">
        <f>DAY(EOMONTH(GC[[#This Row],[Month Year]],0))</f>
        <v>30</v>
      </c>
      <c r="I225" s="132">
        <v>2</v>
      </c>
      <c r="J225" s="132" t="s">
        <v>390</v>
      </c>
      <c r="K225" s="132">
        <v>0</v>
      </c>
      <c r="L225" s="132">
        <v>35</v>
      </c>
      <c r="M225" s="132">
        <v>10</v>
      </c>
      <c r="N225" s="132">
        <v>6</v>
      </c>
      <c r="O225" s="132">
        <v>0</v>
      </c>
      <c r="P225" s="132">
        <v>0</v>
      </c>
      <c r="Q225" s="132">
        <v>0</v>
      </c>
      <c r="R225" s="132">
        <v>0</v>
      </c>
      <c r="S225" s="125"/>
      <c r="T225" s="125"/>
      <c r="U225" s="125"/>
      <c r="V225" s="125"/>
      <c r="W225" s="125"/>
      <c r="X225" s="125"/>
      <c r="Y225" s="4">
        <f>SUM(GC[[#This Row],[ICR1]:[ICR14]])</f>
        <v>51</v>
      </c>
      <c r="Z225" s="132" t="s">
        <v>390</v>
      </c>
      <c r="AA225" s="132" t="s">
        <v>396</v>
      </c>
    </row>
    <row r="226" spans="1:27">
      <c r="A226" s="132">
        <v>224</v>
      </c>
      <c r="B226" s="126">
        <f t="shared" si="3"/>
        <v>45606</v>
      </c>
      <c r="C226" s="127">
        <f>YEAR(GC[[#This Row],[Date]])+IF(MONTH(GC[[#This Row],[Date]])&gt;=4,1,0)</f>
        <v>2025</v>
      </c>
      <c r="D226" s="128">
        <f>YEAR(GC[[#This Row],[Date]])</f>
        <v>2024</v>
      </c>
      <c r="E226" s="125" t="s">
        <v>156</v>
      </c>
      <c r="F226" s="125" t="s">
        <v>156</v>
      </c>
      <c r="G226" s="129" t="str">
        <f>TEXT(GC[[#This Row],[Date]],"mmm-yy")</f>
        <v>Nov-24</v>
      </c>
      <c r="H226" s="129">
        <f>DAY(EOMONTH(GC[[#This Row],[Month Year]],0))</f>
        <v>30</v>
      </c>
      <c r="I226" s="132">
        <v>2</v>
      </c>
      <c r="J226" s="132" t="s">
        <v>390</v>
      </c>
      <c r="K226" s="132">
        <v>0</v>
      </c>
      <c r="L226" s="132">
        <v>30</v>
      </c>
      <c r="M226" s="132">
        <v>6</v>
      </c>
      <c r="N226" s="132">
        <v>17</v>
      </c>
      <c r="O226" s="132">
        <v>0</v>
      </c>
      <c r="P226" s="132">
        <v>0</v>
      </c>
      <c r="Q226" s="132">
        <v>0</v>
      </c>
      <c r="R226" s="132">
        <v>0</v>
      </c>
      <c r="S226" s="125"/>
      <c r="T226" s="125"/>
      <c r="U226" s="125"/>
      <c r="V226" s="125"/>
      <c r="W226" s="125"/>
      <c r="X226" s="125"/>
      <c r="Y226" s="4">
        <f>SUM(GC[[#This Row],[ICR1]:[ICR14]])</f>
        <v>53</v>
      </c>
      <c r="Z226" s="132" t="s">
        <v>390</v>
      </c>
      <c r="AA226" s="132" t="s">
        <v>397</v>
      </c>
    </row>
    <row r="227" spans="1:27">
      <c r="A227" s="132">
        <v>225</v>
      </c>
      <c r="B227" s="126">
        <f t="shared" si="3"/>
        <v>45607</v>
      </c>
      <c r="C227" s="127">
        <f>YEAR(GC[[#This Row],[Date]])+IF(MONTH(GC[[#This Row],[Date]])&gt;=4,1,0)</f>
        <v>2025</v>
      </c>
      <c r="D227" s="128">
        <f>YEAR(GC[[#This Row],[Date]])</f>
        <v>2024</v>
      </c>
      <c r="E227" s="125" t="s">
        <v>156</v>
      </c>
      <c r="F227" s="125" t="s">
        <v>156</v>
      </c>
      <c r="G227" s="129" t="str">
        <f>TEXT(GC[[#This Row],[Date]],"mmm-yy")</f>
        <v>Nov-24</v>
      </c>
      <c r="H227" s="129">
        <f>DAY(EOMONTH(GC[[#This Row],[Month Year]],0))</f>
        <v>30</v>
      </c>
      <c r="I227" s="132">
        <v>2</v>
      </c>
      <c r="J227" s="132" t="s">
        <v>390</v>
      </c>
      <c r="K227" s="132">
        <v>0</v>
      </c>
      <c r="L227" s="132">
        <v>18</v>
      </c>
      <c r="M227" s="132">
        <v>0</v>
      </c>
      <c r="N227" s="132">
        <v>35</v>
      </c>
      <c r="O227" s="132">
        <v>0</v>
      </c>
      <c r="P227" s="132">
        <v>0</v>
      </c>
      <c r="Q227" s="132">
        <v>0</v>
      </c>
      <c r="R227" s="132">
        <v>0</v>
      </c>
      <c r="S227" s="125"/>
      <c r="T227" s="125"/>
      <c r="U227" s="125"/>
      <c r="V227" s="125"/>
      <c r="W227" s="125"/>
      <c r="X227" s="125"/>
      <c r="Y227" s="4">
        <f>SUM(GC[[#This Row],[ICR1]:[ICR14]])</f>
        <v>53</v>
      </c>
      <c r="Z227" s="132" t="s">
        <v>390</v>
      </c>
      <c r="AA227" s="132" t="s">
        <v>397</v>
      </c>
    </row>
    <row r="228" spans="1:27">
      <c r="A228" s="132">
        <v>226</v>
      </c>
      <c r="B228" s="126">
        <f t="shared" si="3"/>
        <v>45608</v>
      </c>
      <c r="C228" s="127">
        <f>YEAR(GC[[#This Row],[Date]])+IF(MONTH(GC[[#This Row],[Date]])&gt;=4,1,0)</f>
        <v>2025</v>
      </c>
      <c r="D228" s="128">
        <f>YEAR(GC[[#This Row],[Date]])</f>
        <v>2024</v>
      </c>
      <c r="E228" s="125" t="s">
        <v>156</v>
      </c>
      <c r="F228" s="125" t="s">
        <v>156</v>
      </c>
      <c r="G228" s="129" t="str">
        <f>TEXT(GC[[#This Row],[Date]],"mmm-yy")</f>
        <v>Nov-24</v>
      </c>
      <c r="H228" s="129">
        <f>DAY(EOMONTH(GC[[#This Row],[Month Year]],0))</f>
        <v>30</v>
      </c>
      <c r="I228" s="132">
        <v>2</v>
      </c>
      <c r="J228" s="132" t="s">
        <v>390</v>
      </c>
      <c r="K228" s="132">
        <v>0</v>
      </c>
      <c r="L228" s="132">
        <v>14</v>
      </c>
      <c r="M228" s="132">
        <v>0</v>
      </c>
      <c r="N228" s="132">
        <v>34</v>
      </c>
      <c r="O228" s="132">
        <v>0</v>
      </c>
      <c r="P228" s="132">
        <v>0</v>
      </c>
      <c r="Q228" s="132">
        <v>0</v>
      </c>
      <c r="R228" s="132">
        <v>0</v>
      </c>
      <c r="S228" s="125"/>
      <c r="T228" s="125"/>
      <c r="U228" s="125"/>
      <c r="V228" s="125"/>
      <c r="W228" s="125"/>
      <c r="X228" s="125"/>
      <c r="Y228" s="4">
        <f>SUM(GC[[#This Row],[ICR1]:[ICR14]])</f>
        <v>48</v>
      </c>
      <c r="Z228" s="132" t="s">
        <v>390</v>
      </c>
      <c r="AA228" s="132" t="s">
        <v>393</v>
      </c>
    </row>
    <row r="229" spans="1:27">
      <c r="A229" s="132">
        <v>227</v>
      </c>
      <c r="B229" s="126">
        <f t="shared" si="3"/>
        <v>45609</v>
      </c>
      <c r="C229" s="127">
        <f>YEAR(GC[[#This Row],[Date]])+IF(MONTH(GC[[#This Row],[Date]])&gt;=4,1,0)</f>
        <v>2025</v>
      </c>
      <c r="D229" s="128">
        <f>YEAR(GC[[#This Row],[Date]])</f>
        <v>2024</v>
      </c>
      <c r="E229" s="125" t="s">
        <v>156</v>
      </c>
      <c r="F229" s="125" t="s">
        <v>156</v>
      </c>
      <c r="G229" s="129" t="str">
        <f>TEXT(GC[[#This Row],[Date]],"mmm-yy")</f>
        <v>Nov-24</v>
      </c>
      <c r="H229" s="129">
        <f>DAY(EOMONTH(GC[[#This Row],[Month Year]],0))</f>
        <v>30</v>
      </c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25"/>
      <c r="T229" s="125"/>
      <c r="U229" s="125"/>
      <c r="V229" s="125"/>
      <c r="W229" s="125"/>
      <c r="X229" s="125"/>
      <c r="Y229" s="4">
        <f>SUM(GC[[#This Row],[ICR1]:[ICR14]])</f>
        <v>0</v>
      </c>
      <c r="Z229" s="132"/>
      <c r="AA229" s="132"/>
    </row>
    <row r="230" spans="1:27">
      <c r="A230" s="132">
        <v>228</v>
      </c>
      <c r="B230" s="126">
        <f t="shared" si="3"/>
        <v>45610</v>
      </c>
      <c r="C230" s="127">
        <f>YEAR(GC[[#This Row],[Date]])+IF(MONTH(GC[[#This Row],[Date]])&gt;=4,1,0)</f>
        <v>2025</v>
      </c>
      <c r="D230" s="128">
        <f>YEAR(GC[[#This Row],[Date]])</f>
        <v>2024</v>
      </c>
      <c r="E230" s="125" t="s">
        <v>156</v>
      </c>
      <c r="F230" s="125" t="s">
        <v>156</v>
      </c>
      <c r="G230" s="129" t="str">
        <f>TEXT(GC[[#This Row],[Date]],"mmm-yy")</f>
        <v>Nov-24</v>
      </c>
      <c r="H230" s="129">
        <f>DAY(EOMONTH(GC[[#This Row],[Month Year]],0))</f>
        <v>30</v>
      </c>
      <c r="I230" s="132">
        <v>2</v>
      </c>
      <c r="J230" s="132" t="s">
        <v>390</v>
      </c>
      <c r="K230" s="132">
        <v>32</v>
      </c>
      <c r="L230" s="132">
        <v>0</v>
      </c>
      <c r="M230" s="132">
        <v>0</v>
      </c>
      <c r="N230" s="132">
        <v>0</v>
      </c>
      <c r="O230" s="132">
        <v>0</v>
      </c>
      <c r="P230" s="132">
        <v>0</v>
      </c>
      <c r="Q230" s="132">
        <v>0</v>
      </c>
      <c r="R230" s="132">
        <v>0</v>
      </c>
      <c r="S230" s="125"/>
      <c r="T230" s="125"/>
      <c r="U230" s="125"/>
      <c r="V230" s="125"/>
      <c r="W230" s="125"/>
      <c r="X230" s="125"/>
      <c r="Y230" s="4">
        <f>SUM(GC[[#This Row],[ICR1]:[ICR14]])</f>
        <v>32</v>
      </c>
      <c r="Z230" s="132" t="s">
        <v>390</v>
      </c>
      <c r="AA230" s="132" t="s">
        <v>398</v>
      </c>
    </row>
    <row r="231" spans="1:27">
      <c r="A231" s="132">
        <v>229</v>
      </c>
      <c r="B231" s="126">
        <f t="shared" si="3"/>
        <v>45611</v>
      </c>
      <c r="C231" s="127">
        <f>YEAR(GC[[#This Row],[Date]])+IF(MONTH(GC[[#This Row],[Date]])&gt;=4,1,0)</f>
        <v>2025</v>
      </c>
      <c r="D231" s="128">
        <f>YEAR(GC[[#This Row],[Date]])</f>
        <v>2024</v>
      </c>
      <c r="E231" s="125" t="s">
        <v>156</v>
      </c>
      <c r="F231" s="125" t="s">
        <v>156</v>
      </c>
      <c r="G231" s="129" t="str">
        <f>TEXT(GC[[#This Row],[Date]],"mmm-yy")</f>
        <v>Nov-24</v>
      </c>
      <c r="H231" s="129">
        <f>DAY(EOMONTH(GC[[#This Row],[Month Year]],0))</f>
        <v>30</v>
      </c>
      <c r="I231" s="132">
        <v>2</v>
      </c>
      <c r="J231" s="132" t="s">
        <v>390</v>
      </c>
      <c r="K231" s="132">
        <v>30</v>
      </c>
      <c r="L231" s="132">
        <v>15</v>
      </c>
      <c r="M231" s="132">
        <v>0</v>
      </c>
      <c r="N231" s="132">
        <v>15</v>
      </c>
      <c r="O231" s="132">
        <v>0</v>
      </c>
      <c r="P231" s="132">
        <v>0</v>
      </c>
      <c r="Q231" s="132">
        <v>0</v>
      </c>
      <c r="R231" s="132">
        <v>0</v>
      </c>
      <c r="S231" s="125"/>
      <c r="T231" s="125"/>
      <c r="U231" s="125"/>
      <c r="V231" s="125"/>
      <c r="W231" s="125"/>
      <c r="X231" s="125"/>
      <c r="Y231" s="4">
        <f>SUM(GC[[#This Row],[ICR1]:[ICR14]])</f>
        <v>60</v>
      </c>
      <c r="Z231" s="132" t="s">
        <v>390</v>
      </c>
      <c r="AA231" s="132" t="s">
        <v>399</v>
      </c>
    </row>
    <row r="232" spans="1:27">
      <c r="A232" s="132">
        <v>230</v>
      </c>
      <c r="B232" s="126">
        <f t="shared" si="3"/>
        <v>45612</v>
      </c>
      <c r="C232" s="127">
        <f>YEAR(GC[[#This Row],[Date]])+IF(MONTH(GC[[#This Row],[Date]])&gt;=4,1,0)</f>
        <v>2025</v>
      </c>
      <c r="D232" s="128">
        <f>YEAR(GC[[#This Row],[Date]])</f>
        <v>2024</v>
      </c>
      <c r="E232" s="125" t="s">
        <v>156</v>
      </c>
      <c r="F232" s="125" t="s">
        <v>156</v>
      </c>
      <c r="G232" s="129" t="str">
        <f>TEXT(GC[[#This Row],[Date]],"mmm-yy")</f>
        <v>Nov-24</v>
      </c>
      <c r="H232" s="129">
        <f>DAY(EOMONTH(GC[[#This Row],[Month Year]],0))</f>
        <v>30</v>
      </c>
      <c r="I232" s="132">
        <v>2</v>
      </c>
      <c r="J232" s="132" t="s">
        <v>390</v>
      </c>
      <c r="K232" s="132">
        <v>34</v>
      </c>
      <c r="L232" s="132">
        <v>18</v>
      </c>
      <c r="M232" s="132">
        <v>0</v>
      </c>
      <c r="N232" s="132">
        <v>14</v>
      </c>
      <c r="O232" s="132">
        <v>0</v>
      </c>
      <c r="P232" s="132">
        <v>0</v>
      </c>
      <c r="Q232" s="132">
        <v>0</v>
      </c>
      <c r="R232" s="132">
        <v>0</v>
      </c>
      <c r="S232" s="125"/>
      <c r="T232" s="125"/>
      <c r="U232" s="125"/>
      <c r="V232" s="125"/>
      <c r="W232" s="125"/>
      <c r="X232" s="125"/>
      <c r="Y232" s="4">
        <f>SUM(GC[[#This Row],[ICR1]:[ICR14]])</f>
        <v>66</v>
      </c>
      <c r="Z232" s="132" t="s">
        <v>390</v>
      </c>
      <c r="AA232" s="132" t="s">
        <v>400</v>
      </c>
    </row>
    <row r="233" spans="1:27">
      <c r="A233" s="132">
        <v>231</v>
      </c>
      <c r="B233" s="126">
        <f t="shared" si="3"/>
        <v>45613</v>
      </c>
      <c r="C233" s="127">
        <f>YEAR(GC[[#This Row],[Date]])+IF(MONTH(GC[[#This Row],[Date]])&gt;=4,1,0)</f>
        <v>2025</v>
      </c>
      <c r="D233" s="128">
        <f>YEAR(GC[[#This Row],[Date]])</f>
        <v>2024</v>
      </c>
      <c r="E233" s="125" t="s">
        <v>156</v>
      </c>
      <c r="F233" s="125" t="s">
        <v>156</v>
      </c>
      <c r="G233" s="129" t="str">
        <f>TEXT(GC[[#This Row],[Date]],"mmm-yy")</f>
        <v>Nov-24</v>
      </c>
      <c r="H233" s="129">
        <f>DAY(EOMONTH(GC[[#This Row],[Month Year]],0))</f>
        <v>30</v>
      </c>
      <c r="I233" s="132">
        <v>2</v>
      </c>
      <c r="J233" s="132" t="s">
        <v>390</v>
      </c>
      <c r="K233" s="132">
        <v>0</v>
      </c>
      <c r="L233" s="132">
        <v>22</v>
      </c>
      <c r="M233" s="132">
        <v>0</v>
      </c>
      <c r="N233" s="132">
        <v>35</v>
      </c>
      <c r="O233" s="132">
        <v>11</v>
      </c>
      <c r="P233" s="132">
        <v>0</v>
      </c>
      <c r="Q233" s="132">
        <v>0</v>
      </c>
      <c r="R233" s="132">
        <v>0</v>
      </c>
      <c r="S233" s="125"/>
      <c r="T233" s="125"/>
      <c r="U233" s="125"/>
      <c r="V233" s="125"/>
      <c r="W233" s="125"/>
      <c r="X233" s="125"/>
      <c r="Y233" s="4">
        <f>SUM(GC[[#This Row],[ICR1]:[ICR14]])</f>
        <v>68</v>
      </c>
      <c r="Z233" s="132" t="s">
        <v>390</v>
      </c>
      <c r="AA233" s="132" t="s">
        <v>401</v>
      </c>
    </row>
    <row r="234" spans="1:27">
      <c r="A234" s="132">
        <v>232</v>
      </c>
      <c r="B234" s="126">
        <f t="shared" si="3"/>
        <v>45614</v>
      </c>
      <c r="C234" s="127">
        <f>YEAR(GC[[#This Row],[Date]])+IF(MONTH(GC[[#This Row],[Date]])&gt;=4,1,0)</f>
        <v>2025</v>
      </c>
      <c r="D234" s="128">
        <f>YEAR(GC[[#This Row],[Date]])</f>
        <v>2024</v>
      </c>
      <c r="E234" s="125" t="s">
        <v>156</v>
      </c>
      <c r="F234" s="125" t="s">
        <v>156</v>
      </c>
      <c r="G234" s="129" t="str">
        <f>TEXT(GC[[#This Row],[Date]],"mmm-yy")</f>
        <v>Nov-24</v>
      </c>
      <c r="H234" s="129">
        <f>DAY(EOMONTH(GC[[#This Row],[Month Year]],0))</f>
        <v>30</v>
      </c>
      <c r="I234" s="132">
        <v>2</v>
      </c>
      <c r="J234" s="132" t="s">
        <v>390</v>
      </c>
      <c r="K234" s="132">
        <v>0</v>
      </c>
      <c r="L234" s="132">
        <v>0</v>
      </c>
      <c r="M234" s="132">
        <v>0</v>
      </c>
      <c r="N234" s="132">
        <v>45</v>
      </c>
      <c r="O234" s="132">
        <v>35</v>
      </c>
      <c r="P234" s="132">
        <v>0</v>
      </c>
      <c r="Q234" s="132">
        <v>0</v>
      </c>
      <c r="R234" s="132">
        <v>0</v>
      </c>
      <c r="S234" s="125"/>
      <c r="T234" s="125"/>
      <c r="U234" s="125"/>
      <c r="V234" s="125"/>
      <c r="W234" s="125"/>
      <c r="X234" s="125"/>
      <c r="Y234" s="4">
        <f>SUM(GC[[#This Row],[ICR1]:[ICR14]])</f>
        <v>80</v>
      </c>
      <c r="Z234" s="132" t="s">
        <v>390</v>
      </c>
      <c r="AA234" s="132" t="s">
        <v>402</v>
      </c>
    </row>
    <row r="235" spans="1:27">
      <c r="A235" s="132">
        <v>233</v>
      </c>
      <c r="B235" s="126">
        <f t="shared" si="3"/>
        <v>45615</v>
      </c>
      <c r="C235" s="127">
        <f>YEAR(GC[[#This Row],[Date]])+IF(MONTH(GC[[#This Row],[Date]])&gt;=4,1,0)</f>
        <v>2025</v>
      </c>
      <c r="D235" s="128">
        <f>YEAR(GC[[#This Row],[Date]])</f>
        <v>2024</v>
      </c>
      <c r="E235" s="125" t="s">
        <v>156</v>
      </c>
      <c r="F235" s="125" t="s">
        <v>156</v>
      </c>
      <c r="G235" s="129" t="str">
        <f>TEXT(GC[[#This Row],[Date]],"mmm-yy")</f>
        <v>Nov-24</v>
      </c>
      <c r="H235" s="129">
        <f>DAY(EOMONTH(GC[[#This Row],[Month Year]],0))</f>
        <v>30</v>
      </c>
      <c r="I235" s="132">
        <v>2</v>
      </c>
      <c r="J235" s="132" t="s">
        <v>390</v>
      </c>
      <c r="K235" s="132">
        <v>0</v>
      </c>
      <c r="L235" s="132">
        <v>0</v>
      </c>
      <c r="M235" s="132">
        <v>0</v>
      </c>
      <c r="N235" s="132">
        <v>0</v>
      </c>
      <c r="O235" s="132">
        <v>71</v>
      </c>
      <c r="P235" s="132">
        <v>0</v>
      </c>
      <c r="Q235" s="132">
        <v>0</v>
      </c>
      <c r="R235" s="132">
        <v>0</v>
      </c>
      <c r="S235" s="125"/>
      <c r="T235" s="125"/>
      <c r="U235" s="125"/>
      <c r="V235" s="125"/>
      <c r="W235" s="125"/>
      <c r="X235" s="125"/>
      <c r="Y235" s="4">
        <f>SUM(GC[[#This Row],[ICR1]:[ICR14]])</f>
        <v>71</v>
      </c>
      <c r="Z235" s="132" t="s">
        <v>390</v>
      </c>
      <c r="AA235" s="132" t="s">
        <v>403</v>
      </c>
    </row>
    <row r="236" spans="1:27">
      <c r="A236" s="132">
        <v>234</v>
      </c>
      <c r="B236" s="126">
        <f t="shared" si="3"/>
        <v>45616</v>
      </c>
      <c r="C236" s="127">
        <f>YEAR(GC[[#This Row],[Date]])+IF(MONTH(GC[[#This Row],[Date]])&gt;=4,1,0)</f>
        <v>2025</v>
      </c>
      <c r="D236" s="128">
        <f>YEAR(GC[[#This Row],[Date]])</f>
        <v>2024</v>
      </c>
      <c r="E236" s="125" t="s">
        <v>156</v>
      </c>
      <c r="F236" s="125" t="s">
        <v>156</v>
      </c>
      <c r="G236" s="129" t="str">
        <f>TEXT(GC[[#This Row],[Date]],"mmm-yy")</f>
        <v>Nov-24</v>
      </c>
      <c r="H236" s="129">
        <f>DAY(EOMONTH(GC[[#This Row],[Month Year]],0))</f>
        <v>30</v>
      </c>
      <c r="I236" s="132">
        <v>2</v>
      </c>
      <c r="J236" s="132" t="s">
        <v>390</v>
      </c>
      <c r="K236" s="132">
        <v>0</v>
      </c>
      <c r="L236" s="132">
        <v>0</v>
      </c>
      <c r="M236" s="132">
        <v>0</v>
      </c>
      <c r="N236" s="132">
        <v>0</v>
      </c>
      <c r="O236" s="132">
        <v>61</v>
      </c>
      <c r="P236" s="132">
        <v>19</v>
      </c>
      <c r="Q236" s="132">
        <v>0</v>
      </c>
      <c r="R236" s="132">
        <v>0</v>
      </c>
      <c r="S236" s="125"/>
      <c r="T236" s="125"/>
      <c r="U236" s="125"/>
      <c r="V236" s="125"/>
      <c r="W236" s="125"/>
      <c r="X236" s="125"/>
      <c r="Y236" s="4">
        <f>SUM(GC[[#This Row],[ICR1]:[ICR14]])</f>
        <v>80</v>
      </c>
      <c r="Z236" s="132" t="s">
        <v>390</v>
      </c>
      <c r="AA236" s="132" t="s">
        <v>402</v>
      </c>
    </row>
    <row r="237" spans="1:27">
      <c r="A237" s="132">
        <v>235</v>
      </c>
      <c r="B237" s="126">
        <f t="shared" si="3"/>
        <v>45617</v>
      </c>
      <c r="C237" s="127">
        <f>YEAR(GC[[#This Row],[Date]])+IF(MONTH(GC[[#This Row],[Date]])&gt;=4,1,0)</f>
        <v>2025</v>
      </c>
      <c r="D237" s="128">
        <f>YEAR(GC[[#This Row],[Date]])</f>
        <v>2024</v>
      </c>
      <c r="E237" s="125" t="s">
        <v>156</v>
      </c>
      <c r="F237" s="125" t="s">
        <v>156</v>
      </c>
      <c r="G237" s="129" t="str">
        <f>TEXT(GC[[#This Row],[Date]],"mmm-yy")</f>
        <v>Nov-24</v>
      </c>
      <c r="H237" s="129">
        <f>DAY(EOMONTH(GC[[#This Row],[Month Year]],0))</f>
        <v>30</v>
      </c>
      <c r="I237" s="132">
        <v>2</v>
      </c>
      <c r="J237" s="132" t="s">
        <v>390</v>
      </c>
      <c r="K237" s="132">
        <v>0</v>
      </c>
      <c r="L237" s="132">
        <v>0</v>
      </c>
      <c r="M237" s="132">
        <v>0</v>
      </c>
      <c r="N237" s="132">
        <v>0</v>
      </c>
      <c r="O237" s="132">
        <v>0</v>
      </c>
      <c r="P237" s="132">
        <v>21</v>
      </c>
      <c r="Q237" s="132">
        <v>0</v>
      </c>
      <c r="R237" s="132">
        <v>0</v>
      </c>
      <c r="S237" s="125"/>
      <c r="T237" s="125"/>
      <c r="U237" s="125"/>
      <c r="V237" s="125"/>
      <c r="W237" s="125"/>
      <c r="X237" s="125"/>
      <c r="Y237" s="4">
        <f>SUM(GC[[#This Row],[ICR1]:[ICR14]])</f>
        <v>21</v>
      </c>
      <c r="Z237" s="132" t="s">
        <v>390</v>
      </c>
      <c r="AA237" s="132" t="s">
        <v>404</v>
      </c>
    </row>
    <row r="238" spans="1:27">
      <c r="A238" s="132">
        <v>236</v>
      </c>
      <c r="B238" s="126">
        <f t="shared" si="3"/>
        <v>45618</v>
      </c>
      <c r="C238" s="127">
        <f>YEAR(GC[[#This Row],[Date]])+IF(MONTH(GC[[#This Row],[Date]])&gt;=4,1,0)</f>
        <v>2025</v>
      </c>
      <c r="D238" s="128">
        <f>YEAR(GC[[#This Row],[Date]])</f>
        <v>2024</v>
      </c>
      <c r="E238" s="125" t="s">
        <v>156</v>
      </c>
      <c r="F238" s="125" t="s">
        <v>156</v>
      </c>
      <c r="G238" s="129" t="str">
        <f>TEXT(GC[[#This Row],[Date]],"mmm-yy")</f>
        <v>Nov-24</v>
      </c>
      <c r="H238" s="129">
        <f>DAY(EOMONTH(GC[[#This Row],[Month Year]],0))</f>
        <v>30</v>
      </c>
      <c r="I238" s="132">
        <v>2</v>
      </c>
      <c r="J238" s="132" t="s">
        <v>390</v>
      </c>
      <c r="K238" s="132">
        <v>0</v>
      </c>
      <c r="L238" s="132">
        <v>0</v>
      </c>
      <c r="M238" s="132">
        <v>0</v>
      </c>
      <c r="N238" s="132">
        <v>0</v>
      </c>
      <c r="O238" s="132">
        <v>0</v>
      </c>
      <c r="P238" s="132">
        <v>34</v>
      </c>
      <c r="Q238" s="132">
        <v>0</v>
      </c>
      <c r="R238" s="132">
        <v>0</v>
      </c>
      <c r="S238" s="125"/>
      <c r="T238" s="125"/>
      <c r="U238" s="125"/>
      <c r="V238" s="125"/>
      <c r="W238" s="125"/>
      <c r="X238" s="125"/>
      <c r="Y238" s="4">
        <f>SUM(GC[[#This Row],[ICR1]:[ICR14]])</f>
        <v>34</v>
      </c>
      <c r="Z238" s="132" t="s">
        <v>390</v>
      </c>
      <c r="AA238" s="132" t="s">
        <v>405</v>
      </c>
    </row>
    <row r="239" spans="1:27">
      <c r="A239" s="132">
        <v>237</v>
      </c>
      <c r="B239" s="126">
        <f t="shared" si="3"/>
        <v>45619</v>
      </c>
      <c r="C239" s="127">
        <f>YEAR(GC[[#This Row],[Date]])+IF(MONTH(GC[[#This Row],[Date]])&gt;=4,1,0)</f>
        <v>2025</v>
      </c>
      <c r="D239" s="128">
        <f>YEAR(GC[[#This Row],[Date]])</f>
        <v>2024</v>
      </c>
      <c r="E239" s="125" t="s">
        <v>156</v>
      </c>
      <c r="F239" s="125" t="s">
        <v>156</v>
      </c>
      <c r="G239" s="129" t="str">
        <f>TEXT(GC[[#This Row],[Date]],"mmm-yy")</f>
        <v>Nov-24</v>
      </c>
      <c r="H239" s="129">
        <f>DAY(EOMONTH(GC[[#This Row],[Month Year]],0))</f>
        <v>30</v>
      </c>
      <c r="I239" s="132">
        <v>2</v>
      </c>
      <c r="J239" s="132" t="s">
        <v>390</v>
      </c>
      <c r="K239" s="132">
        <v>0</v>
      </c>
      <c r="L239" s="132">
        <v>0</v>
      </c>
      <c r="M239" s="132">
        <v>0</v>
      </c>
      <c r="N239" s="132">
        <v>0</v>
      </c>
      <c r="O239" s="132">
        <v>9</v>
      </c>
      <c r="P239" s="132">
        <v>27</v>
      </c>
      <c r="Q239" s="132">
        <v>0</v>
      </c>
      <c r="R239" s="132">
        <v>0</v>
      </c>
      <c r="S239" s="125"/>
      <c r="T239" s="125"/>
      <c r="U239" s="125"/>
      <c r="V239" s="125"/>
      <c r="W239" s="125"/>
      <c r="X239" s="125"/>
      <c r="Y239" s="4">
        <f>SUM(GC[[#This Row],[ICR1]:[ICR14]])</f>
        <v>36</v>
      </c>
      <c r="Z239" s="132" t="s">
        <v>390</v>
      </c>
      <c r="AA239" s="132" t="s">
        <v>406</v>
      </c>
    </row>
    <row r="240" spans="1:27">
      <c r="A240" s="132">
        <v>238</v>
      </c>
      <c r="B240" s="126">
        <f t="shared" si="3"/>
        <v>45620</v>
      </c>
      <c r="C240" s="127">
        <f>YEAR(GC[[#This Row],[Date]])+IF(MONTH(GC[[#This Row],[Date]])&gt;=4,1,0)</f>
        <v>2025</v>
      </c>
      <c r="D240" s="128">
        <f>YEAR(GC[[#This Row],[Date]])</f>
        <v>2024</v>
      </c>
      <c r="E240" s="125" t="s">
        <v>156</v>
      </c>
      <c r="F240" s="125" t="s">
        <v>156</v>
      </c>
      <c r="G240" s="129" t="str">
        <f>TEXT(GC[[#This Row],[Date]],"mmm-yy")</f>
        <v>Nov-24</v>
      </c>
      <c r="H240" s="129">
        <f>DAY(EOMONTH(GC[[#This Row],[Month Year]],0))</f>
        <v>30</v>
      </c>
      <c r="I240" s="132">
        <v>2</v>
      </c>
      <c r="J240" s="132" t="s">
        <v>390</v>
      </c>
      <c r="K240" s="132">
        <v>0</v>
      </c>
      <c r="L240" s="132">
        <v>0</v>
      </c>
      <c r="M240" s="132">
        <v>0</v>
      </c>
      <c r="N240" s="132">
        <v>0</v>
      </c>
      <c r="O240" s="132">
        <v>17</v>
      </c>
      <c r="P240" s="132">
        <v>29</v>
      </c>
      <c r="Q240" s="132">
        <v>0</v>
      </c>
      <c r="R240" s="132">
        <v>0</v>
      </c>
      <c r="S240" s="125"/>
      <c r="T240" s="125"/>
      <c r="U240" s="125"/>
      <c r="V240" s="125"/>
      <c r="W240" s="125"/>
      <c r="X240" s="125"/>
      <c r="Y240" s="4">
        <f>SUM(GC[[#This Row],[ICR1]:[ICR14]])</f>
        <v>46</v>
      </c>
      <c r="Z240" s="132" t="s">
        <v>390</v>
      </c>
      <c r="AA240" s="132" t="s">
        <v>407</v>
      </c>
    </row>
    <row r="241" spans="1:27">
      <c r="A241" s="132">
        <v>239</v>
      </c>
      <c r="B241" s="126">
        <f t="shared" si="3"/>
        <v>45621</v>
      </c>
      <c r="C241" s="127">
        <f>YEAR(GC[[#This Row],[Date]])+IF(MONTH(GC[[#This Row],[Date]])&gt;=4,1,0)</f>
        <v>2025</v>
      </c>
      <c r="D241" s="128">
        <f>YEAR(GC[[#This Row],[Date]])</f>
        <v>2024</v>
      </c>
      <c r="E241" s="125" t="s">
        <v>156</v>
      </c>
      <c r="F241" s="125" t="s">
        <v>156</v>
      </c>
      <c r="G241" s="129" t="str">
        <f>TEXT(GC[[#This Row],[Date]],"mmm-yy")</f>
        <v>Nov-24</v>
      </c>
      <c r="H241" s="129">
        <f>DAY(EOMONTH(GC[[#This Row],[Month Year]],0))</f>
        <v>30</v>
      </c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25"/>
      <c r="T241" s="125"/>
      <c r="U241" s="125"/>
      <c r="V241" s="125"/>
      <c r="W241" s="125"/>
      <c r="X241" s="125"/>
      <c r="Y241" s="4">
        <f>SUM(GC[[#This Row],[ICR1]:[ICR14]])</f>
        <v>0</v>
      </c>
      <c r="Z241" s="132"/>
      <c r="AA241" s="132"/>
    </row>
    <row r="242" spans="1:27">
      <c r="A242" s="132">
        <v>240</v>
      </c>
      <c r="B242" s="126">
        <f t="shared" si="3"/>
        <v>45622</v>
      </c>
      <c r="C242" s="127">
        <f>YEAR(GC[[#This Row],[Date]])+IF(MONTH(GC[[#This Row],[Date]])&gt;=4,1,0)</f>
        <v>2025</v>
      </c>
      <c r="D242" s="128">
        <f>YEAR(GC[[#This Row],[Date]])</f>
        <v>2024</v>
      </c>
      <c r="E242" s="125" t="s">
        <v>156</v>
      </c>
      <c r="F242" s="125" t="s">
        <v>156</v>
      </c>
      <c r="G242" s="129" t="str">
        <f>TEXT(GC[[#This Row],[Date]],"mmm-yy")</f>
        <v>Nov-24</v>
      </c>
      <c r="H242" s="129">
        <f>DAY(EOMONTH(GC[[#This Row],[Month Year]],0))</f>
        <v>30</v>
      </c>
      <c r="I242" s="132">
        <v>2</v>
      </c>
      <c r="J242" s="132" t="s">
        <v>390</v>
      </c>
      <c r="K242" s="132">
        <v>0</v>
      </c>
      <c r="L242" s="132">
        <v>0</v>
      </c>
      <c r="M242" s="132">
        <v>0</v>
      </c>
      <c r="N242" s="132">
        <v>0</v>
      </c>
      <c r="O242" s="132">
        <v>0</v>
      </c>
      <c r="P242" s="132">
        <v>42</v>
      </c>
      <c r="Q242" s="132">
        <v>0</v>
      </c>
      <c r="R242" s="132">
        <v>0</v>
      </c>
      <c r="S242" s="125"/>
      <c r="T242" s="125"/>
      <c r="U242" s="125"/>
      <c r="V242" s="125"/>
      <c r="W242" s="125"/>
      <c r="X242" s="125"/>
      <c r="Y242" s="4">
        <f>SUM(GC[[#This Row],[ICR1]:[ICR14]])</f>
        <v>42</v>
      </c>
      <c r="Z242" s="132" t="s">
        <v>390</v>
      </c>
      <c r="AA242" s="132" t="s">
        <v>408</v>
      </c>
    </row>
    <row r="243" spans="1:27">
      <c r="A243" s="132">
        <v>241</v>
      </c>
      <c r="B243" s="126">
        <f t="shared" si="3"/>
        <v>45623</v>
      </c>
      <c r="C243" s="127">
        <f>YEAR(GC[[#This Row],[Date]])+IF(MONTH(GC[[#This Row],[Date]])&gt;=4,1,0)</f>
        <v>2025</v>
      </c>
      <c r="D243" s="128">
        <f>YEAR(GC[[#This Row],[Date]])</f>
        <v>2024</v>
      </c>
      <c r="E243" s="125" t="s">
        <v>156</v>
      </c>
      <c r="F243" s="125" t="s">
        <v>156</v>
      </c>
      <c r="G243" s="129" t="str">
        <f>TEXT(GC[[#This Row],[Date]],"mmm-yy")</f>
        <v>Nov-24</v>
      </c>
      <c r="H243" s="129">
        <f>DAY(EOMONTH(GC[[#This Row],[Month Year]],0))</f>
        <v>30</v>
      </c>
      <c r="I243" s="132">
        <v>2</v>
      </c>
      <c r="J243" s="132" t="s">
        <v>390</v>
      </c>
      <c r="K243" s="132">
        <v>0</v>
      </c>
      <c r="L243" s="132">
        <v>0</v>
      </c>
      <c r="M243" s="132">
        <v>0</v>
      </c>
      <c r="N243" s="132">
        <v>0</v>
      </c>
      <c r="O243" s="132">
        <v>0</v>
      </c>
      <c r="P243" s="132">
        <v>12</v>
      </c>
      <c r="Q243" s="132">
        <v>31</v>
      </c>
      <c r="R243" s="132">
        <v>0</v>
      </c>
      <c r="S243" s="125"/>
      <c r="T243" s="125"/>
      <c r="U243" s="125"/>
      <c r="V243" s="125"/>
      <c r="W243" s="125"/>
      <c r="X243" s="125"/>
      <c r="Y243" s="4">
        <f>SUM(GC[[#This Row],[ICR1]:[ICR14]])</f>
        <v>43</v>
      </c>
      <c r="Z243" s="132" t="s">
        <v>390</v>
      </c>
      <c r="AA243" s="132" t="s">
        <v>409</v>
      </c>
    </row>
    <row r="244" spans="1:27">
      <c r="A244" s="132">
        <v>242</v>
      </c>
      <c r="B244" s="126">
        <f t="shared" si="3"/>
        <v>45624</v>
      </c>
      <c r="C244" s="127">
        <f>YEAR(GC[[#This Row],[Date]])+IF(MONTH(GC[[#This Row],[Date]])&gt;=4,1,0)</f>
        <v>2025</v>
      </c>
      <c r="D244" s="128">
        <f>YEAR(GC[[#This Row],[Date]])</f>
        <v>2024</v>
      </c>
      <c r="E244" s="125" t="s">
        <v>156</v>
      </c>
      <c r="F244" s="125" t="s">
        <v>156</v>
      </c>
      <c r="G244" s="129" t="str">
        <f>TEXT(GC[[#This Row],[Date]],"mmm-yy")</f>
        <v>Nov-24</v>
      </c>
      <c r="H244" s="129">
        <f>DAY(EOMONTH(GC[[#This Row],[Month Year]],0))</f>
        <v>30</v>
      </c>
      <c r="I244" s="132">
        <v>2</v>
      </c>
      <c r="J244" s="132" t="s">
        <v>390</v>
      </c>
      <c r="K244" s="132">
        <v>0</v>
      </c>
      <c r="L244" s="132">
        <v>0</v>
      </c>
      <c r="M244" s="132">
        <v>0</v>
      </c>
      <c r="N244" s="132">
        <v>0</v>
      </c>
      <c r="O244" s="132">
        <v>0</v>
      </c>
      <c r="P244" s="132">
        <v>0</v>
      </c>
      <c r="Q244" s="132">
        <v>64</v>
      </c>
      <c r="R244" s="132">
        <v>0</v>
      </c>
      <c r="S244" s="125"/>
      <c r="T244" s="125"/>
      <c r="U244" s="125"/>
      <c r="V244" s="125"/>
      <c r="W244" s="125"/>
      <c r="X244" s="125"/>
      <c r="Y244" s="4">
        <f>SUM(GC[[#This Row],[ICR1]:[ICR14]])</f>
        <v>64</v>
      </c>
      <c r="Z244" s="132" t="s">
        <v>390</v>
      </c>
      <c r="AA244" s="132" t="s">
        <v>410</v>
      </c>
    </row>
    <row r="245" spans="1:27">
      <c r="A245" s="132">
        <v>243</v>
      </c>
      <c r="B245" s="126">
        <f t="shared" si="3"/>
        <v>45625</v>
      </c>
      <c r="C245" s="127">
        <f>YEAR(GC[[#This Row],[Date]])+IF(MONTH(GC[[#This Row],[Date]])&gt;=4,1,0)</f>
        <v>2025</v>
      </c>
      <c r="D245" s="128">
        <f>YEAR(GC[[#This Row],[Date]])</f>
        <v>2024</v>
      </c>
      <c r="E245" s="125" t="s">
        <v>156</v>
      </c>
      <c r="F245" s="125" t="s">
        <v>156</v>
      </c>
      <c r="G245" s="129" t="str">
        <f>TEXT(GC[[#This Row],[Date]],"mmm-yy")</f>
        <v>Nov-24</v>
      </c>
      <c r="H245" s="129">
        <f>DAY(EOMONTH(GC[[#This Row],[Month Year]],0))</f>
        <v>30</v>
      </c>
      <c r="I245" s="132">
        <v>2</v>
      </c>
      <c r="J245" s="132" t="s">
        <v>390</v>
      </c>
      <c r="K245" s="132">
        <v>0</v>
      </c>
      <c r="L245" s="132">
        <v>0</v>
      </c>
      <c r="M245" s="132">
        <v>0</v>
      </c>
      <c r="N245" s="132">
        <v>0</v>
      </c>
      <c r="O245" s="132">
        <v>0</v>
      </c>
      <c r="P245" s="132">
        <v>0</v>
      </c>
      <c r="Q245" s="132">
        <v>40</v>
      </c>
      <c r="R245" s="132">
        <v>0</v>
      </c>
      <c r="S245" s="125"/>
      <c r="T245" s="125"/>
      <c r="U245" s="125"/>
      <c r="V245" s="125"/>
      <c r="W245" s="125"/>
      <c r="X245" s="125"/>
      <c r="Y245" s="4">
        <f>SUM(GC[[#This Row],[ICR1]:[ICR14]])</f>
        <v>40</v>
      </c>
      <c r="Z245" s="132" t="s">
        <v>390</v>
      </c>
      <c r="AA245" s="132" t="s">
        <v>411</v>
      </c>
    </row>
    <row r="246" spans="1:27">
      <c r="A246" s="132">
        <v>244</v>
      </c>
      <c r="B246" s="126">
        <f t="shared" si="3"/>
        <v>45626</v>
      </c>
      <c r="C246" s="127">
        <f>YEAR(GC[[#This Row],[Date]])+IF(MONTH(GC[[#This Row],[Date]])&gt;=4,1,0)</f>
        <v>2025</v>
      </c>
      <c r="D246" s="128">
        <f>YEAR(GC[[#This Row],[Date]])</f>
        <v>2024</v>
      </c>
      <c r="E246" s="125" t="s">
        <v>156</v>
      </c>
      <c r="F246" s="125" t="s">
        <v>156</v>
      </c>
      <c r="G246" s="129" t="str">
        <f>TEXT(GC[[#This Row],[Date]],"mmm-yy")</f>
        <v>Nov-24</v>
      </c>
      <c r="H246" s="129">
        <f>DAY(EOMONTH(GC[[#This Row],[Month Year]],0))</f>
        <v>30</v>
      </c>
      <c r="I246" s="132">
        <v>2</v>
      </c>
      <c r="J246" s="132" t="s">
        <v>390</v>
      </c>
      <c r="K246" s="132">
        <v>0</v>
      </c>
      <c r="L246" s="132">
        <v>0</v>
      </c>
      <c r="M246" s="132">
        <v>20</v>
      </c>
      <c r="N246" s="132">
        <v>0</v>
      </c>
      <c r="O246" s="132">
        <v>0</v>
      </c>
      <c r="P246" s="132">
        <v>0</v>
      </c>
      <c r="Q246" s="132">
        <v>0</v>
      </c>
      <c r="R246" s="132">
        <v>0</v>
      </c>
      <c r="S246" s="125"/>
      <c r="T246" s="125"/>
      <c r="U246" s="125"/>
      <c r="V246" s="125"/>
      <c r="W246" s="125"/>
      <c r="X246" s="125"/>
      <c r="Y246" s="4">
        <f>SUM(GC[[#This Row],[ICR1]:[ICR14]])</f>
        <v>20</v>
      </c>
      <c r="Z246" s="132" t="s">
        <v>390</v>
      </c>
      <c r="AA246" s="132" t="s">
        <v>412</v>
      </c>
    </row>
    <row r="247" spans="1:27">
      <c r="A247" s="132">
        <v>245</v>
      </c>
      <c r="B247" s="126">
        <f t="shared" si="3"/>
        <v>45627</v>
      </c>
      <c r="C247" s="127">
        <f>YEAR(GC[[#This Row],[Date]])+IF(MONTH(GC[[#This Row],[Date]])&gt;=4,1,0)</f>
        <v>2025</v>
      </c>
      <c r="D247" s="128">
        <f>YEAR(GC[[#This Row],[Date]])</f>
        <v>2024</v>
      </c>
      <c r="E247" s="125" t="s">
        <v>156</v>
      </c>
      <c r="F247" s="125" t="s">
        <v>156</v>
      </c>
      <c r="G247" s="129" t="str">
        <f>TEXT(GC[[#This Row],[Date]],"mmm-yy")</f>
        <v>Dec-24</v>
      </c>
      <c r="H247" s="129">
        <f>DAY(EOMONTH(GC[[#This Row],[Month Year]],0))</f>
        <v>31</v>
      </c>
      <c r="I247" s="132">
        <v>2</v>
      </c>
      <c r="J247" s="132" t="s">
        <v>390</v>
      </c>
      <c r="K247" s="132">
        <v>0</v>
      </c>
      <c r="L247" s="132">
        <v>0</v>
      </c>
      <c r="M247" s="132">
        <v>10</v>
      </c>
      <c r="N247" s="132">
        <v>0</v>
      </c>
      <c r="O247" s="132">
        <v>0</v>
      </c>
      <c r="P247" s="132">
        <v>0</v>
      </c>
      <c r="Q247" s="132">
        <v>0</v>
      </c>
      <c r="R247" s="132">
        <v>0</v>
      </c>
      <c r="S247" s="125"/>
      <c r="T247" s="125"/>
      <c r="U247" s="125"/>
      <c r="V247" s="125"/>
      <c r="W247" s="125"/>
      <c r="X247" s="125"/>
      <c r="Y247" s="4">
        <f>SUM(GC[[#This Row],[ICR1]:[ICR14]])</f>
        <v>10</v>
      </c>
      <c r="Z247" s="132" t="s">
        <v>390</v>
      </c>
      <c r="AA247" s="132" t="s">
        <v>413</v>
      </c>
    </row>
    <row r="248" spans="1:27">
      <c r="A248" s="132">
        <v>246</v>
      </c>
      <c r="B248" s="126">
        <f t="shared" si="3"/>
        <v>45628</v>
      </c>
      <c r="C248" s="127">
        <f>YEAR(GC[[#This Row],[Date]])+IF(MONTH(GC[[#This Row],[Date]])&gt;=4,1,0)</f>
        <v>2025</v>
      </c>
      <c r="D248" s="128">
        <f>YEAR(GC[[#This Row],[Date]])</f>
        <v>2024</v>
      </c>
      <c r="E248" s="125" t="s">
        <v>156</v>
      </c>
      <c r="F248" s="125" t="s">
        <v>156</v>
      </c>
      <c r="G248" s="129" t="str">
        <f>TEXT(GC[[#This Row],[Date]],"mmm-yy")</f>
        <v>Dec-24</v>
      </c>
      <c r="H248" s="129">
        <f>DAY(EOMONTH(GC[[#This Row],[Month Year]],0))</f>
        <v>31</v>
      </c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25"/>
      <c r="T248" s="125"/>
      <c r="U248" s="125"/>
      <c r="V248" s="125"/>
      <c r="W248" s="125"/>
      <c r="X248" s="125"/>
      <c r="Y248" s="4">
        <f>SUM(GC[[#This Row],[ICR1]:[ICR14]])</f>
        <v>0</v>
      </c>
      <c r="Z248" s="132"/>
      <c r="AA248" s="132"/>
    </row>
    <row r="249" spans="1:27">
      <c r="A249" s="132">
        <v>247</v>
      </c>
      <c r="B249" s="126">
        <f t="shared" si="3"/>
        <v>45629</v>
      </c>
      <c r="C249" s="127">
        <f>YEAR(GC[[#This Row],[Date]])+IF(MONTH(GC[[#This Row],[Date]])&gt;=4,1,0)</f>
        <v>2025</v>
      </c>
      <c r="D249" s="128">
        <f>YEAR(GC[[#This Row],[Date]])</f>
        <v>2024</v>
      </c>
      <c r="E249" s="125" t="s">
        <v>156</v>
      </c>
      <c r="F249" s="125" t="s">
        <v>156</v>
      </c>
      <c r="G249" s="129" t="str">
        <f>TEXT(GC[[#This Row],[Date]],"mmm-yy")</f>
        <v>Dec-24</v>
      </c>
      <c r="H249" s="129">
        <f>DAY(EOMONTH(GC[[#This Row],[Month Year]],0))</f>
        <v>31</v>
      </c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25"/>
      <c r="T249" s="125"/>
      <c r="U249" s="125"/>
      <c r="V249" s="125"/>
      <c r="W249" s="125"/>
      <c r="X249" s="125"/>
      <c r="Y249" s="4">
        <f>SUM(GC[[#This Row],[ICR1]:[ICR14]])</f>
        <v>0</v>
      </c>
      <c r="Z249" s="132"/>
      <c r="AA249" s="132"/>
    </row>
    <row r="250" spans="1:27">
      <c r="A250" s="132">
        <v>248</v>
      </c>
      <c r="B250" s="126">
        <f t="shared" si="3"/>
        <v>45630</v>
      </c>
      <c r="C250" s="127">
        <f>YEAR(GC[[#This Row],[Date]])+IF(MONTH(GC[[#This Row],[Date]])&gt;=4,1,0)</f>
        <v>2025</v>
      </c>
      <c r="D250" s="128">
        <f>YEAR(GC[[#This Row],[Date]])</f>
        <v>2024</v>
      </c>
      <c r="E250" s="125" t="s">
        <v>156</v>
      </c>
      <c r="F250" s="125" t="s">
        <v>156</v>
      </c>
      <c r="G250" s="129" t="str">
        <f>TEXT(GC[[#This Row],[Date]],"mmm-yy")</f>
        <v>Dec-24</v>
      </c>
      <c r="H250" s="129">
        <f>DAY(EOMONTH(GC[[#This Row],[Month Year]],0))</f>
        <v>31</v>
      </c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25"/>
      <c r="T250" s="125"/>
      <c r="U250" s="125"/>
      <c r="V250" s="125"/>
      <c r="W250" s="125"/>
      <c r="X250" s="125"/>
      <c r="Y250" s="4">
        <f>SUM(GC[[#This Row],[ICR1]:[ICR14]])</f>
        <v>0</v>
      </c>
      <c r="Z250" s="132"/>
      <c r="AA250" s="132"/>
    </row>
    <row r="251" spans="1:27">
      <c r="A251" s="132">
        <v>249</v>
      </c>
      <c r="B251" s="126">
        <f t="shared" si="3"/>
        <v>45631</v>
      </c>
      <c r="C251" s="127">
        <f>YEAR(GC[[#This Row],[Date]])+IF(MONTH(GC[[#This Row],[Date]])&gt;=4,1,0)</f>
        <v>2025</v>
      </c>
      <c r="D251" s="128">
        <f>YEAR(GC[[#This Row],[Date]])</f>
        <v>2024</v>
      </c>
      <c r="E251" s="125" t="s">
        <v>156</v>
      </c>
      <c r="F251" s="125" t="s">
        <v>156</v>
      </c>
      <c r="G251" s="129" t="str">
        <f>TEXT(GC[[#This Row],[Date]],"mmm-yy")</f>
        <v>Dec-24</v>
      </c>
      <c r="H251" s="129">
        <f>DAY(EOMONTH(GC[[#This Row],[Month Year]],0))</f>
        <v>31</v>
      </c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25"/>
      <c r="T251" s="125"/>
      <c r="U251" s="125"/>
      <c r="V251" s="125"/>
      <c r="W251" s="125"/>
      <c r="X251" s="125"/>
      <c r="Y251" s="4">
        <f>SUM(GC[[#This Row],[ICR1]:[ICR14]])</f>
        <v>0</v>
      </c>
      <c r="Z251" s="132"/>
      <c r="AA251" s="132"/>
    </row>
    <row r="252" spans="1:27">
      <c r="A252" s="132">
        <v>250</v>
      </c>
      <c r="B252" s="126">
        <f t="shared" si="3"/>
        <v>45632</v>
      </c>
      <c r="C252" s="127">
        <f>YEAR(GC[[#This Row],[Date]])+IF(MONTH(GC[[#This Row],[Date]])&gt;=4,1,0)</f>
        <v>2025</v>
      </c>
      <c r="D252" s="128">
        <f>YEAR(GC[[#This Row],[Date]])</f>
        <v>2024</v>
      </c>
      <c r="E252" s="125" t="s">
        <v>156</v>
      </c>
      <c r="F252" s="125" t="s">
        <v>156</v>
      </c>
      <c r="G252" s="129" t="str">
        <f>TEXT(GC[[#This Row],[Date]],"mmm-yy")</f>
        <v>Dec-24</v>
      </c>
      <c r="H252" s="129">
        <f>DAY(EOMONTH(GC[[#This Row],[Month Year]],0))</f>
        <v>31</v>
      </c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25"/>
      <c r="T252" s="125"/>
      <c r="U252" s="125"/>
      <c r="V252" s="125"/>
      <c r="W252" s="125"/>
      <c r="X252" s="125"/>
      <c r="Y252" s="4">
        <f>SUM(GC[[#This Row],[ICR1]:[ICR14]])</f>
        <v>0</v>
      </c>
      <c r="Z252" s="132"/>
      <c r="AA252" s="132"/>
    </row>
    <row r="253" spans="1:27">
      <c r="A253" s="132">
        <v>251</v>
      </c>
      <c r="B253" s="126">
        <f t="shared" si="3"/>
        <v>45633</v>
      </c>
      <c r="C253" s="127">
        <f>YEAR(GC[[#This Row],[Date]])+IF(MONTH(GC[[#This Row],[Date]])&gt;=4,1,0)</f>
        <v>2025</v>
      </c>
      <c r="D253" s="128">
        <f>YEAR(GC[[#This Row],[Date]])</f>
        <v>2024</v>
      </c>
      <c r="E253" s="125" t="s">
        <v>156</v>
      </c>
      <c r="F253" s="125" t="s">
        <v>156</v>
      </c>
      <c r="G253" s="129" t="str">
        <f>TEXT(GC[[#This Row],[Date]],"mmm-yy")</f>
        <v>Dec-24</v>
      </c>
      <c r="H253" s="129">
        <f>DAY(EOMONTH(GC[[#This Row],[Month Year]],0))</f>
        <v>31</v>
      </c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25"/>
      <c r="T253" s="125"/>
      <c r="U253" s="125"/>
      <c r="V253" s="125"/>
      <c r="W253" s="125"/>
      <c r="X253" s="125"/>
      <c r="Y253" s="4">
        <f>SUM(GC[[#This Row],[ICR1]:[ICR14]])</f>
        <v>0</v>
      </c>
      <c r="Z253" s="132"/>
      <c r="AA253" s="132"/>
    </row>
    <row r="254" spans="1:27">
      <c r="A254" s="132">
        <v>252</v>
      </c>
      <c r="B254" s="126">
        <f t="shared" si="3"/>
        <v>45634</v>
      </c>
      <c r="C254" s="127">
        <f>YEAR(GC[[#This Row],[Date]])+IF(MONTH(GC[[#This Row],[Date]])&gt;=4,1,0)</f>
        <v>2025</v>
      </c>
      <c r="D254" s="128">
        <f>YEAR(GC[[#This Row],[Date]])</f>
        <v>2024</v>
      </c>
      <c r="E254" s="125" t="s">
        <v>156</v>
      </c>
      <c r="F254" s="125" t="s">
        <v>156</v>
      </c>
      <c r="G254" s="129" t="str">
        <f>TEXT(GC[[#This Row],[Date]],"mmm-yy")</f>
        <v>Dec-24</v>
      </c>
      <c r="H254" s="129">
        <f>DAY(EOMONTH(GC[[#This Row],[Month Year]],0))</f>
        <v>31</v>
      </c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25"/>
      <c r="T254" s="125"/>
      <c r="U254" s="125"/>
      <c r="V254" s="125"/>
      <c r="W254" s="125"/>
      <c r="X254" s="125"/>
      <c r="Y254" s="4">
        <f>SUM(GC[[#This Row],[ICR1]:[ICR14]])</f>
        <v>0</v>
      </c>
      <c r="Z254" s="132"/>
      <c r="AA254" s="132"/>
    </row>
    <row r="255" spans="1:27">
      <c r="A255" s="132">
        <v>253</v>
      </c>
      <c r="B255" s="126">
        <f t="shared" si="3"/>
        <v>45635</v>
      </c>
      <c r="C255" s="127">
        <f>YEAR(GC[[#This Row],[Date]])+IF(MONTH(GC[[#This Row],[Date]])&gt;=4,1,0)</f>
        <v>2025</v>
      </c>
      <c r="D255" s="128">
        <f>YEAR(GC[[#This Row],[Date]])</f>
        <v>2024</v>
      </c>
      <c r="E255" s="125" t="s">
        <v>156</v>
      </c>
      <c r="F255" s="125" t="s">
        <v>156</v>
      </c>
      <c r="G255" s="129" t="str">
        <f>TEXT(GC[[#This Row],[Date]],"mmm-yy")</f>
        <v>Dec-24</v>
      </c>
      <c r="H255" s="129">
        <f>DAY(EOMONTH(GC[[#This Row],[Month Year]],0))</f>
        <v>31</v>
      </c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25"/>
      <c r="T255" s="125"/>
      <c r="U255" s="125"/>
      <c r="V255" s="125"/>
      <c r="W255" s="125"/>
      <c r="X255" s="125"/>
      <c r="Y255" s="4">
        <f>SUM(GC[[#This Row],[ICR1]:[ICR14]])</f>
        <v>0</v>
      </c>
      <c r="Z255" s="132"/>
      <c r="AA255" s="132"/>
    </row>
    <row r="256" spans="1:27">
      <c r="A256" s="132">
        <v>254</v>
      </c>
      <c r="B256" s="126">
        <f t="shared" si="3"/>
        <v>45636</v>
      </c>
      <c r="C256" s="127">
        <f>YEAR(GC[[#This Row],[Date]])+IF(MONTH(GC[[#This Row],[Date]])&gt;=4,1,0)</f>
        <v>2025</v>
      </c>
      <c r="D256" s="128">
        <f>YEAR(GC[[#This Row],[Date]])</f>
        <v>2024</v>
      </c>
      <c r="E256" s="125" t="s">
        <v>156</v>
      </c>
      <c r="F256" s="125" t="s">
        <v>156</v>
      </c>
      <c r="G256" s="129" t="str">
        <f>TEXT(GC[[#This Row],[Date]],"mmm-yy")</f>
        <v>Dec-24</v>
      </c>
      <c r="H256" s="129">
        <f>DAY(EOMONTH(GC[[#This Row],[Month Year]],0))</f>
        <v>31</v>
      </c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25"/>
      <c r="T256" s="125"/>
      <c r="U256" s="125"/>
      <c r="V256" s="125"/>
      <c r="W256" s="125"/>
      <c r="X256" s="125"/>
      <c r="Y256" s="4">
        <f>SUM(GC[[#This Row],[ICR1]:[ICR14]])</f>
        <v>0</v>
      </c>
      <c r="Z256" s="132"/>
      <c r="AA256" s="132"/>
    </row>
    <row r="257" spans="1:27">
      <c r="A257" s="132">
        <v>255</v>
      </c>
      <c r="B257" s="126">
        <f t="shared" si="3"/>
        <v>45637</v>
      </c>
      <c r="C257" s="127">
        <f>YEAR(GC[[#This Row],[Date]])+IF(MONTH(GC[[#This Row],[Date]])&gt;=4,1,0)</f>
        <v>2025</v>
      </c>
      <c r="D257" s="128">
        <f>YEAR(GC[[#This Row],[Date]])</f>
        <v>2024</v>
      </c>
      <c r="E257" s="125" t="s">
        <v>156</v>
      </c>
      <c r="F257" s="125" t="s">
        <v>156</v>
      </c>
      <c r="G257" s="129" t="str">
        <f>TEXT(GC[[#This Row],[Date]],"mmm-yy")</f>
        <v>Dec-24</v>
      </c>
      <c r="H257" s="129">
        <f>DAY(EOMONTH(GC[[#This Row],[Month Year]],0))</f>
        <v>31</v>
      </c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25"/>
      <c r="T257" s="125"/>
      <c r="U257" s="125"/>
      <c r="V257" s="125"/>
      <c r="W257" s="125"/>
      <c r="X257" s="125"/>
      <c r="Y257" s="4">
        <f>SUM(GC[[#This Row],[ICR1]:[ICR14]])</f>
        <v>0</v>
      </c>
      <c r="Z257" s="132"/>
      <c r="AA257" s="132"/>
    </row>
    <row r="258" spans="1:27">
      <c r="A258" s="132">
        <v>256</v>
      </c>
      <c r="B258" s="126">
        <f t="shared" si="3"/>
        <v>45638</v>
      </c>
      <c r="C258" s="127">
        <f>YEAR(GC[[#This Row],[Date]])+IF(MONTH(GC[[#This Row],[Date]])&gt;=4,1,0)</f>
        <v>2025</v>
      </c>
      <c r="D258" s="128">
        <f>YEAR(GC[[#This Row],[Date]])</f>
        <v>2024</v>
      </c>
      <c r="E258" s="125" t="s">
        <v>156</v>
      </c>
      <c r="F258" s="125" t="s">
        <v>156</v>
      </c>
      <c r="G258" s="129" t="str">
        <f>TEXT(GC[[#This Row],[Date]],"mmm-yy")</f>
        <v>Dec-24</v>
      </c>
      <c r="H258" s="129">
        <f>DAY(EOMONTH(GC[[#This Row],[Month Year]],0))</f>
        <v>31</v>
      </c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25"/>
      <c r="T258" s="125"/>
      <c r="U258" s="125"/>
      <c r="V258" s="125"/>
      <c r="W258" s="125"/>
      <c r="X258" s="125"/>
      <c r="Y258" s="4">
        <f>SUM(GC[[#This Row],[ICR1]:[ICR14]])</f>
        <v>0</v>
      </c>
      <c r="Z258" s="132"/>
      <c r="AA258" s="132"/>
    </row>
    <row r="259" spans="1:27">
      <c r="A259" s="132">
        <v>257</v>
      </c>
      <c r="B259" s="126">
        <f t="shared" si="3"/>
        <v>45639</v>
      </c>
      <c r="C259" s="127">
        <f>YEAR(GC[[#This Row],[Date]])+IF(MONTH(GC[[#This Row],[Date]])&gt;=4,1,0)</f>
        <v>2025</v>
      </c>
      <c r="D259" s="128">
        <f>YEAR(GC[[#This Row],[Date]])</f>
        <v>2024</v>
      </c>
      <c r="E259" s="125" t="s">
        <v>156</v>
      </c>
      <c r="F259" s="125" t="s">
        <v>156</v>
      </c>
      <c r="G259" s="129" t="str">
        <f>TEXT(GC[[#This Row],[Date]],"mmm-yy")</f>
        <v>Dec-24</v>
      </c>
      <c r="H259" s="129">
        <f>DAY(EOMONTH(GC[[#This Row],[Month Year]],0))</f>
        <v>31</v>
      </c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25"/>
      <c r="T259" s="125"/>
      <c r="U259" s="125"/>
      <c r="V259" s="125"/>
      <c r="W259" s="125"/>
      <c r="X259" s="125"/>
      <c r="Y259" s="4">
        <f>SUM(GC[[#This Row],[ICR1]:[ICR14]])</f>
        <v>0</v>
      </c>
      <c r="Z259" s="132"/>
      <c r="AA259" s="132"/>
    </row>
    <row r="260" spans="1:27">
      <c r="A260" s="132">
        <v>258</v>
      </c>
      <c r="B260" s="126">
        <f t="shared" si="3"/>
        <v>45640</v>
      </c>
      <c r="C260" s="127">
        <f>YEAR(GC[[#This Row],[Date]])+IF(MONTH(GC[[#This Row],[Date]])&gt;=4,1,0)</f>
        <v>2025</v>
      </c>
      <c r="D260" s="128">
        <f>YEAR(GC[[#This Row],[Date]])</f>
        <v>2024</v>
      </c>
      <c r="E260" s="125" t="s">
        <v>156</v>
      </c>
      <c r="F260" s="125" t="s">
        <v>156</v>
      </c>
      <c r="G260" s="129" t="str">
        <f>TEXT(GC[[#This Row],[Date]],"mmm-yy")</f>
        <v>Dec-24</v>
      </c>
      <c r="H260" s="129">
        <f>DAY(EOMONTH(GC[[#This Row],[Month Year]],0))</f>
        <v>31</v>
      </c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25"/>
      <c r="T260" s="125"/>
      <c r="U260" s="125"/>
      <c r="V260" s="125"/>
      <c r="W260" s="125"/>
      <c r="X260" s="125"/>
      <c r="Y260" s="4">
        <f>SUM(GC[[#This Row],[ICR1]:[ICR14]])</f>
        <v>0</v>
      </c>
      <c r="Z260" s="132"/>
      <c r="AA260" s="132"/>
    </row>
    <row r="261" spans="1:27">
      <c r="A261" s="132">
        <v>259</v>
      </c>
      <c r="B261" s="126">
        <f t="shared" ref="B261:B321" si="4">B260+1</f>
        <v>45641</v>
      </c>
      <c r="C261" s="127">
        <f>YEAR(GC[[#This Row],[Date]])+IF(MONTH(GC[[#This Row],[Date]])&gt;=4,1,0)</f>
        <v>2025</v>
      </c>
      <c r="D261" s="128">
        <f>YEAR(GC[[#This Row],[Date]])</f>
        <v>2024</v>
      </c>
      <c r="E261" s="125" t="s">
        <v>156</v>
      </c>
      <c r="F261" s="125" t="s">
        <v>156</v>
      </c>
      <c r="G261" s="129" t="str">
        <f>TEXT(GC[[#This Row],[Date]],"mmm-yy")</f>
        <v>Dec-24</v>
      </c>
      <c r="H261" s="129">
        <f>DAY(EOMONTH(GC[[#This Row],[Month Year]],0))</f>
        <v>31</v>
      </c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25"/>
      <c r="T261" s="125"/>
      <c r="U261" s="125"/>
      <c r="V261" s="125"/>
      <c r="W261" s="125"/>
      <c r="X261" s="125"/>
      <c r="Y261" s="4">
        <f>SUM(GC[[#This Row],[ICR1]:[ICR14]])</f>
        <v>0</v>
      </c>
      <c r="Z261" s="132"/>
      <c r="AA261" s="132"/>
    </row>
    <row r="262" spans="1:27">
      <c r="A262" s="132">
        <v>260</v>
      </c>
      <c r="B262" s="126">
        <f t="shared" si="4"/>
        <v>45642</v>
      </c>
      <c r="C262" s="127">
        <f>YEAR(GC[[#This Row],[Date]])+IF(MONTH(GC[[#This Row],[Date]])&gt;=4,1,0)</f>
        <v>2025</v>
      </c>
      <c r="D262" s="128">
        <f>YEAR(GC[[#This Row],[Date]])</f>
        <v>2024</v>
      </c>
      <c r="E262" s="125" t="s">
        <v>156</v>
      </c>
      <c r="F262" s="125" t="s">
        <v>156</v>
      </c>
      <c r="G262" s="129" t="str">
        <f>TEXT(GC[[#This Row],[Date]],"mmm-yy")</f>
        <v>Dec-24</v>
      </c>
      <c r="H262" s="129">
        <f>DAY(EOMONTH(GC[[#This Row],[Month Year]],0))</f>
        <v>31</v>
      </c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25"/>
      <c r="T262" s="125"/>
      <c r="U262" s="125"/>
      <c r="V262" s="125"/>
      <c r="W262" s="125"/>
      <c r="X262" s="125"/>
      <c r="Y262" s="4">
        <f>SUM(GC[[#This Row],[ICR1]:[ICR14]])</f>
        <v>0</v>
      </c>
      <c r="Z262" s="132"/>
      <c r="AA262" s="132"/>
    </row>
    <row r="263" spans="1:27">
      <c r="A263" s="132">
        <v>261</v>
      </c>
      <c r="B263" s="126">
        <f t="shared" si="4"/>
        <v>45643</v>
      </c>
      <c r="C263" s="127">
        <f>YEAR(GC[[#This Row],[Date]])+IF(MONTH(GC[[#This Row],[Date]])&gt;=4,1,0)</f>
        <v>2025</v>
      </c>
      <c r="D263" s="128">
        <f>YEAR(GC[[#This Row],[Date]])</f>
        <v>2024</v>
      </c>
      <c r="E263" s="125" t="s">
        <v>156</v>
      </c>
      <c r="F263" s="125" t="s">
        <v>156</v>
      </c>
      <c r="G263" s="129" t="str">
        <f>TEXT(GC[[#This Row],[Date]],"mmm-yy")</f>
        <v>Dec-24</v>
      </c>
      <c r="H263" s="129">
        <f>DAY(EOMONTH(GC[[#This Row],[Month Year]],0))</f>
        <v>31</v>
      </c>
      <c r="I263" s="132">
        <v>2</v>
      </c>
      <c r="J263" s="132" t="s">
        <v>390</v>
      </c>
      <c r="K263" s="132">
        <v>0</v>
      </c>
      <c r="L263" s="132">
        <v>12</v>
      </c>
      <c r="M263" s="132">
        <v>0</v>
      </c>
      <c r="N263" s="132">
        <v>4</v>
      </c>
      <c r="O263" s="132">
        <v>0</v>
      </c>
      <c r="P263" s="132">
        <v>0</v>
      </c>
      <c r="Q263" s="132">
        <v>0</v>
      </c>
      <c r="R263" s="132">
        <v>0</v>
      </c>
      <c r="S263" s="125"/>
      <c r="T263" s="125"/>
      <c r="U263" s="125"/>
      <c r="V263" s="125"/>
      <c r="W263" s="125"/>
      <c r="X263" s="125"/>
      <c r="Y263" s="4">
        <f>SUM(GC[[#This Row],[ICR1]:[ICR14]])</f>
        <v>16</v>
      </c>
      <c r="Z263" s="132" t="s">
        <v>390</v>
      </c>
      <c r="AA263" s="132" t="s">
        <v>414</v>
      </c>
    </row>
    <row r="264" spans="1:27">
      <c r="A264" s="132">
        <v>262</v>
      </c>
      <c r="B264" s="126">
        <f t="shared" si="4"/>
        <v>45644</v>
      </c>
      <c r="C264" s="127">
        <f>YEAR(GC[[#This Row],[Date]])+IF(MONTH(GC[[#This Row],[Date]])&gt;=4,1,0)</f>
        <v>2025</v>
      </c>
      <c r="D264" s="128">
        <f>YEAR(GC[[#This Row],[Date]])</f>
        <v>2024</v>
      </c>
      <c r="E264" s="125" t="s">
        <v>156</v>
      </c>
      <c r="F264" s="125" t="s">
        <v>156</v>
      </c>
      <c r="G264" s="129" t="str">
        <f>TEXT(GC[[#This Row],[Date]],"mmm-yy")</f>
        <v>Dec-24</v>
      </c>
      <c r="H264" s="129">
        <f>DAY(EOMONTH(GC[[#This Row],[Month Year]],0))</f>
        <v>31</v>
      </c>
      <c r="I264" s="132">
        <v>2</v>
      </c>
      <c r="J264" s="132" t="s">
        <v>390</v>
      </c>
      <c r="K264" s="132">
        <v>0</v>
      </c>
      <c r="L264" s="132">
        <v>10</v>
      </c>
      <c r="M264" s="132">
        <v>0</v>
      </c>
      <c r="N264" s="132">
        <v>0</v>
      </c>
      <c r="O264" s="132">
        <v>0</v>
      </c>
      <c r="P264" s="132">
        <v>0</v>
      </c>
      <c r="Q264" s="132">
        <v>0</v>
      </c>
      <c r="R264" s="132">
        <v>37</v>
      </c>
      <c r="S264" s="125"/>
      <c r="T264" s="125"/>
      <c r="U264" s="125"/>
      <c r="V264" s="125"/>
      <c r="W264" s="125"/>
      <c r="X264" s="125"/>
      <c r="Y264" s="4">
        <f>SUM(GC[[#This Row],[ICR1]:[ICR14]])</f>
        <v>47</v>
      </c>
      <c r="Z264" s="132" t="s">
        <v>390</v>
      </c>
      <c r="AA264" s="132" t="s">
        <v>415</v>
      </c>
    </row>
    <row r="265" spans="1:27">
      <c r="A265" s="132">
        <v>263</v>
      </c>
      <c r="B265" s="126">
        <f t="shared" si="4"/>
        <v>45645</v>
      </c>
      <c r="C265" s="127">
        <f>YEAR(GC[[#This Row],[Date]])+IF(MONTH(GC[[#This Row],[Date]])&gt;=4,1,0)</f>
        <v>2025</v>
      </c>
      <c r="D265" s="128">
        <f>YEAR(GC[[#This Row],[Date]])</f>
        <v>2024</v>
      </c>
      <c r="E265" s="125" t="s">
        <v>156</v>
      </c>
      <c r="F265" s="125" t="s">
        <v>156</v>
      </c>
      <c r="G265" s="129" t="str">
        <f>TEXT(GC[[#This Row],[Date]],"mmm-yy")</f>
        <v>Dec-24</v>
      </c>
      <c r="H265" s="129">
        <f>DAY(EOMONTH(GC[[#This Row],[Month Year]],0))</f>
        <v>31</v>
      </c>
      <c r="I265" s="132">
        <v>2</v>
      </c>
      <c r="J265" s="132" t="s">
        <v>390</v>
      </c>
      <c r="K265" s="132">
        <v>0</v>
      </c>
      <c r="L265" s="132">
        <v>0</v>
      </c>
      <c r="M265" s="132">
        <v>0</v>
      </c>
      <c r="N265" s="132">
        <v>0</v>
      </c>
      <c r="O265" s="132">
        <v>0</v>
      </c>
      <c r="P265" s="132">
        <v>0</v>
      </c>
      <c r="Q265" s="132">
        <v>0</v>
      </c>
      <c r="R265" s="132">
        <v>28</v>
      </c>
      <c r="S265" s="125"/>
      <c r="T265" s="125"/>
      <c r="U265" s="125"/>
      <c r="V265" s="125"/>
      <c r="W265" s="125"/>
      <c r="X265" s="125"/>
      <c r="Y265" s="4">
        <f>SUM(GC[[#This Row],[ICR1]:[ICR14]])</f>
        <v>28</v>
      </c>
      <c r="Z265" s="132" t="s">
        <v>390</v>
      </c>
      <c r="AA265" s="132" t="s">
        <v>416</v>
      </c>
    </row>
    <row r="266" spans="1:27">
      <c r="A266" s="132">
        <v>264</v>
      </c>
      <c r="B266" s="126">
        <f t="shared" si="4"/>
        <v>45646</v>
      </c>
      <c r="C266" s="127">
        <f>YEAR(GC[[#This Row],[Date]])+IF(MONTH(GC[[#This Row],[Date]])&gt;=4,1,0)</f>
        <v>2025</v>
      </c>
      <c r="D266" s="128">
        <f>YEAR(GC[[#This Row],[Date]])</f>
        <v>2024</v>
      </c>
      <c r="E266" s="125" t="s">
        <v>156</v>
      </c>
      <c r="F266" s="125" t="s">
        <v>156</v>
      </c>
      <c r="G266" s="129" t="str">
        <f>TEXT(GC[[#This Row],[Date]],"mmm-yy")</f>
        <v>Dec-24</v>
      </c>
      <c r="H266" s="129">
        <f>DAY(EOMONTH(GC[[#This Row],[Month Year]],0))</f>
        <v>31</v>
      </c>
      <c r="I266" s="132">
        <v>2</v>
      </c>
      <c r="J266" s="132" t="s">
        <v>390</v>
      </c>
      <c r="K266" s="132">
        <v>0</v>
      </c>
      <c r="L266" s="132">
        <v>0</v>
      </c>
      <c r="M266" s="132">
        <v>0</v>
      </c>
      <c r="N266" s="132">
        <v>0</v>
      </c>
      <c r="O266" s="132">
        <v>0</v>
      </c>
      <c r="P266" s="132">
        <v>0</v>
      </c>
      <c r="Q266" s="132">
        <v>0</v>
      </c>
      <c r="R266" s="132">
        <v>85</v>
      </c>
      <c r="S266" s="125"/>
      <c r="T266" s="125"/>
      <c r="U266" s="125"/>
      <c r="V266" s="125"/>
      <c r="W266" s="125"/>
      <c r="X266" s="125"/>
      <c r="Y266" s="4">
        <f>SUM(GC[[#This Row],[ICR1]:[ICR14]])</f>
        <v>85</v>
      </c>
      <c r="Z266" s="132" t="s">
        <v>390</v>
      </c>
      <c r="AA266" s="132" t="s">
        <v>417</v>
      </c>
    </row>
    <row r="267" spans="1:27">
      <c r="A267" s="132">
        <v>265</v>
      </c>
      <c r="B267" s="126">
        <f t="shared" si="4"/>
        <v>45647</v>
      </c>
      <c r="C267" s="127">
        <f>YEAR(GC[[#This Row],[Date]])+IF(MONTH(GC[[#This Row],[Date]])&gt;=4,1,0)</f>
        <v>2025</v>
      </c>
      <c r="D267" s="128">
        <f>YEAR(GC[[#This Row],[Date]])</f>
        <v>2024</v>
      </c>
      <c r="E267" s="125" t="s">
        <v>156</v>
      </c>
      <c r="F267" s="125" t="s">
        <v>156</v>
      </c>
      <c r="G267" s="129" t="str">
        <f>TEXT(GC[[#This Row],[Date]],"mmm-yy")</f>
        <v>Dec-24</v>
      </c>
      <c r="H267" s="129">
        <f>DAY(EOMONTH(GC[[#This Row],[Month Year]],0))</f>
        <v>31</v>
      </c>
      <c r="I267" s="132">
        <v>2</v>
      </c>
      <c r="J267" s="132" t="s">
        <v>390</v>
      </c>
      <c r="K267" s="132">
        <v>0</v>
      </c>
      <c r="L267" s="132">
        <v>0</v>
      </c>
      <c r="M267" s="132">
        <v>0</v>
      </c>
      <c r="N267" s="132">
        <v>0</v>
      </c>
      <c r="O267" s="132">
        <v>0</v>
      </c>
      <c r="P267" s="132">
        <v>0</v>
      </c>
      <c r="Q267" s="132">
        <v>0</v>
      </c>
      <c r="R267" s="132">
        <v>103</v>
      </c>
      <c r="S267" s="125"/>
      <c r="T267" s="125"/>
      <c r="U267" s="125"/>
      <c r="V267" s="125"/>
      <c r="W267" s="125"/>
      <c r="X267" s="125"/>
      <c r="Y267" s="4">
        <f>SUM(GC[[#This Row],[ICR1]:[ICR14]])</f>
        <v>103</v>
      </c>
      <c r="Z267" s="132" t="s">
        <v>390</v>
      </c>
      <c r="AA267" s="132" t="s">
        <v>417</v>
      </c>
    </row>
    <row r="268" spans="1:27">
      <c r="A268" s="132">
        <v>266</v>
      </c>
      <c r="B268" s="126">
        <f t="shared" si="4"/>
        <v>45648</v>
      </c>
      <c r="C268" s="127">
        <f>YEAR(GC[[#This Row],[Date]])+IF(MONTH(GC[[#This Row],[Date]])&gt;=4,1,0)</f>
        <v>2025</v>
      </c>
      <c r="D268" s="128">
        <f>YEAR(GC[[#This Row],[Date]])</f>
        <v>2024</v>
      </c>
      <c r="E268" s="125" t="s">
        <v>156</v>
      </c>
      <c r="F268" s="125" t="s">
        <v>156</v>
      </c>
      <c r="G268" s="129" t="str">
        <f>TEXT(GC[[#This Row],[Date]],"mmm-yy")</f>
        <v>Dec-24</v>
      </c>
      <c r="H268" s="129">
        <f>DAY(EOMONTH(GC[[#This Row],[Month Year]],0))</f>
        <v>31</v>
      </c>
      <c r="I268" s="132">
        <v>2</v>
      </c>
      <c r="J268" s="132" t="s">
        <v>390</v>
      </c>
      <c r="K268" s="132">
        <v>0</v>
      </c>
      <c r="L268" s="132">
        <v>0</v>
      </c>
      <c r="M268" s="132">
        <v>27</v>
      </c>
      <c r="N268" s="132">
        <v>0</v>
      </c>
      <c r="O268" s="132">
        <v>0</v>
      </c>
      <c r="P268" s="132">
        <v>0</v>
      </c>
      <c r="Q268" s="132">
        <v>0</v>
      </c>
      <c r="R268" s="132">
        <v>85</v>
      </c>
      <c r="S268" s="125"/>
      <c r="T268" s="125"/>
      <c r="U268" s="125"/>
      <c r="V268" s="125"/>
      <c r="W268" s="125"/>
      <c r="X268" s="125"/>
      <c r="Y268" s="4">
        <f>SUM(GC[[#This Row],[ICR1]:[ICR14]])</f>
        <v>112</v>
      </c>
      <c r="Z268" s="132" t="s">
        <v>390</v>
      </c>
      <c r="AA268" s="132" t="s">
        <v>418</v>
      </c>
    </row>
    <row r="269" spans="1:27">
      <c r="A269" s="132">
        <v>267</v>
      </c>
      <c r="B269" s="126">
        <f t="shared" si="4"/>
        <v>45649</v>
      </c>
      <c r="C269" s="127">
        <f>YEAR(GC[[#This Row],[Date]])+IF(MONTH(GC[[#This Row],[Date]])&gt;=4,1,0)</f>
        <v>2025</v>
      </c>
      <c r="D269" s="128">
        <f>YEAR(GC[[#This Row],[Date]])</f>
        <v>2024</v>
      </c>
      <c r="E269" s="125" t="s">
        <v>156</v>
      </c>
      <c r="F269" s="125" t="s">
        <v>156</v>
      </c>
      <c r="G269" s="129" t="str">
        <f>TEXT(GC[[#This Row],[Date]],"mmm-yy")</f>
        <v>Dec-24</v>
      </c>
      <c r="H269" s="129">
        <f>DAY(EOMONTH(GC[[#This Row],[Month Year]],0))</f>
        <v>31</v>
      </c>
      <c r="I269" s="132">
        <v>2</v>
      </c>
      <c r="J269" s="132" t="s">
        <v>390</v>
      </c>
      <c r="K269" s="132">
        <v>0</v>
      </c>
      <c r="L269" s="132">
        <v>0</v>
      </c>
      <c r="M269" s="132">
        <v>0</v>
      </c>
      <c r="N269" s="132">
        <v>0</v>
      </c>
      <c r="O269" s="132">
        <v>0</v>
      </c>
      <c r="P269" s="132">
        <v>0</v>
      </c>
      <c r="Q269" s="132">
        <v>0</v>
      </c>
      <c r="R269" s="132">
        <v>115</v>
      </c>
      <c r="S269" s="125"/>
      <c r="T269" s="125"/>
      <c r="U269" s="125"/>
      <c r="V269" s="125"/>
      <c r="W269" s="125"/>
      <c r="X269" s="125"/>
      <c r="Y269" s="4">
        <f>SUM(GC[[#This Row],[ICR1]:[ICR14]])</f>
        <v>115</v>
      </c>
      <c r="Z269" s="132" t="s">
        <v>390</v>
      </c>
      <c r="AA269" s="132" t="s">
        <v>419</v>
      </c>
    </row>
    <row r="270" spans="1:27">
      <c r="A270" s="132">
        <v>268</v>
      </c>
      <c r="B270" s="126">
        <f t="shared" si="4"/>
        <v>45650</v>
      </c>
      <c r="C270" s="127">
        <f>YEAR(GC[[#This Row],[Date]])+IF(MONTH(GC[[#This Row],[Date]])&gt;=4,1,0)</f>
        <v>2025</v>
      </c>
      <c r="D270" s="128">
        <f>YEAR(GC[[#This Row],[Date]])</f>
        <v>2024</v>
      </c>
      <c r="E270" s="125" t="s">
        <v>156</v>
      </c>
      <c r="F270" s="125" t="s">
        <v>156</v>
      </c>
      <c r="G270" s="129" t="str">
        <f>TEXT(GC[[#This Row],[Date]],"mmm-yy")</f>
        <v>Dec-24</v>
      </c>
      <c r="H270" s="129">
        <f>DAY(EOMONTH(GC[[#This Row],[Month Year]],0))</f>
        <v>31</v>
      </c>
      <c r="I270" s="132">
        <v>2</v>
      </c>
      <c r="J270" s="132" t="s">
        <v>390</v>
      </c>
      <c r="K270" s="132">
        <v>13</v>
      </c>
      <c r="L270" s="132">
        <v>0</v>
      </c>
      <c r="M270" s="132">
        <v>31</v>
      </c>
      <c r="N270" s="132">
        <v>15</v>
      </c>
      <c r="O270" s="132">
        <v>7</v>
      </c>
      <c r="P270" s="132">
        <v>0</v>
      </c>
      <c r="Q270" s="132">
        <v>0</v>
      </c>
      <c r="R270" s="132">
        <v>42</v>
      </c>
      <c r="S270" s="125"/>
      <c r="T270" s="125"/>
      <c r="U270" s="125"/>
      <c r="V270" s="125"/>
      <c r="W270" s="125"/>
      <c r="X270" s="125"/>
      <c r="Y270" s="4">
        <f>SUM(GC[[#This Row],[ICR1]:[ICR14]])</f>
        <v>108</v>
      </c>
      <c r="Z270" s="132" t="s">
        <v>390</v>
      </c>
      <c r="AA270" s="132" t="s">
        <v>419</v>
      </c>
    </row>
    <row r="271" spans="1:27">
      <c r="A271" s="132">
        <v>269</v>
      </c>
      <c r="B271" s="126">
        <f t="shared" si="4"/>
        <v>45651</v>
      </c>
      <c r="C271" s="127">
        <f>YEAR(GC[[#This Row],[Date]])+IF(MONTH(GC[[#This Row],[Date]])&gt;=4,1,0)</f>
        <v>2025</v>
      </c>
      <c r="D271" s="128">
        <f>YEAR(GC[[#This Row],[Date]])</f>
        <v>2024</v>
      </c>
      <c r="E271" s="125" t="s">
        <v>156</v>
      </c>
      <c r="F271" s="125" t="s">
        <v>156</v>
      </c>
      <c r="G271" s="129" t="str">
        <f>TEXT(GC[[#This Row],[Date]],"mmm-yy")</f>
        <v>Dec-24</v>
      </c>
      <c r="H271" s="129">
        <f>DAY(EOMONTH(GC[[#This Row],[Month Year]],0))</f>
        <v>31</v>
      </c>
      <c r="I271" s="132">
        <v>2</v>
      </c>
      <c r="J271" s="132" t="s">
        <v>390</v>
      </c>
      <c r="K271" s="132">
        <v>0</v>
      </c>
      <c r="L271" s="132">
        <v>0</v>
      </c>
      <c r="M271" s="132">
        <v>0</v>
      </c>
      <c r="N271" s="132">
        <v>0</v>
      </c>
      <c r="O271" s="132">
        <v>5</v>
      </c>
      <c r="P271" s="132">
        <v>0</v>
      </c>
      <c r="Q271" s="132">
        <v>0</v>
      </c>
      <c r="R271" s="132">
        <v>6</v>
      </c>
      <c r="S271" s="125"/>
      <c r="T271" s="125"/>
      <c r="U271" s="125"/>
      <c r="V271" s="125"/>
      <c r="W271" s="125"/>
      <c r="X271" s="125"/>
      <c r="Y271" s="4">
        <f>SUM(GC[[#This Row],[ICR1]:[ICR14]])</f>
        <v>11</v>
      </c>
      <c r="Z271" s="132" t="s">
        <v>390</v>
      </c>
      <c r="AA271" s="132" t="s">
        <v>420</v>
      </c>
    </row>
    <row r="272" spans="1:27">
      <c r="A272" s="132">
        <v>270</v>
      </c>
      <c r="B272" s="126">
        <f t="shared" si="4"/>
        <v>45652</v>
      </c>
      <c r="C272" s="127">
        <f>YEAR(GC[[#This Row],[Date]])+IF(MONTH(GC[[#This Row],[Date]])&gt;=4,1,0)</f>
        <v>2025</v>
      </c>
      <c r="D272" s="128">
        <f>YEAR(GC[[#This Row],[Date]])</f>
        <v>2024</v>
      </c>
      <c r="E272" s="125" t="s">
        <v>156</v>
      </c>
      <c r="F272" s="125" t="s">
        <v>156</v>
      </c>
      <c r="G272" s="129" t="str">
        <f>TEXT(GC[[#This Row],[Date]],"mmm-yy")</f>
        <v>Dec-24</v>
      </c>
      <c r="H272" s="129">
        <f>DAY(EOMONTH(GC[[#This Row],[Month Year]],0))</f>
        <v>31</v>
      </c>
      <c r="I272" s="132">
        <v>2</v>
      </c>
      <c r="J272" s="132" t="s">
        <v>390</v>
      </c>
      <c r="K272" s="132">
        <v>0</v>
      </c>
      <c r="L272" s="132">
        <v>0</v>
      </c>
      <c r="M272" s="132">
        <v>0</v>
      </c>
      <c r="N272" s="132">
        <v>0</v>
      </c>
      <c r="O272" s="132">
        <v>0</v>
      </c>
      <c r="P272" s="132">
        <v>0</v>
      </c>
      <c r="Q272" s="132">
        <v>0</v>
      </c>
      <c r="R272" s="132">
        <v>17</v>
      </c>
      <c r="S272" s="125"/>
      <c r="T272" s="125"/>
      <c r="U272" s="125"/>
      <c r="V272" s="125"/>
      <c r="W272" s="125"/>
      <c r="X272" s="125"/>
      <c r="Y272" s="4">
        <f>SUM(GC[[#This Row],[ICR1]:[ICR14]])</f>
        <v>17</v>
      </c>
      <c r="Z272" s="132" t="s">
        <v>390</v>
      </c>
      <c r="AA272" s="132" t="s">
        <v>421</v>
      </c>
    </row>
    <row r="273" spans="1:27">
      <c r="A273" s="132">
        <v>271</v>
      </c>
      <c r="B273" s="126">
        <f t="shared" si="4"/>
        <v>45653</v>
      </c>
      <c r="C273" s="127">
        <f>YEAR(GC[[#This Row],[Date]])+IF(MONTH(GC[[#This Row],[Date]])&gt;=4,1,0)</f>
        <v>2025</v>
      </c>
      <c r="D273" s="128">
        <f>YEAR(GC[[#This Row],[Date]])</f>
        <v>2024</v>
      </c>
      <c r="E273" s="125" t="s">
        <v>156</v>
      </c>
      <c r="F273" s="125" t="s">
        <v>156</v>
      </c>
      <c r="G273" s="129" t="str">
        <f>TEXT(GC[[#This Row],[Date]],"mmm-yy")</f>
        <v>Dec-24</v>
      </c>
      <c r="H273" s="129">
        <f>DAY(EOMONTH(GC[[#This Row],[Month Year]],0))</f>
        <v>31</v>
      </c>
      <c r="I273" s="132">
        <v>2</v>
      </c>
      <c r="J273" s="132" t="s">
        <v>390</v>
      </c>
      <c r="K273" s="132">
        <v>0</v>
      </c>
      <c r="L273" s="132">
        <v>0</v>
      </c>
      <c r="M273" s="132">
        <v>0</v>
      </c>
      <c r="N273" s="132">
        <v>18</v>
      </c>
      <c r="O273" s="132">
        <v>0</v>
      </c>
      <c r="P273" s="132">
        <v>0</v>
      </c>
      <c r="Q273" s="132">
        <v>0</v>
      </c>
      <c r="R273" s="132">
        <v>13</v>
      </c>
      <c r="S273" s="125"/>
      <c r="T273" s="125"/>
      <c r="U273" s="125"/>
      <c r="V273" s="125"/>
      <c r="W273" s="125"/>
      <c r="X273" s="125"/>
      <c r="Y273" s="4">
        <f>SUM(GC[[#This Row],[ICR1]:[ICR14]])</f>
        <v>31</v>
      </c>
      <c r="Z273" s="132" t="s">
        <v>390</v>
      </c>
      <c r="AA273" s="132" t="s">
        <v>422</v>
      </c>
    </row>
    <row r="274" spans="1:27">
      <c r="A274" s="132">
        <v>272</v>
      </c>
      <c r="B274" s="126">
        <f t="shared" si="4"/>
        <v>45654</v>
      </c>
      <c r="C274" s="127">
        <f>YEAR(GC[[#This Row],[Date]])+IF(MONTH(GC[[#This Row],[Date]])&gt;=4,1,0)</f>
        <v>2025</v>
      </c>
      <c r="D274" s="128">
        <f>YEAR(GC[[#This Row],[Date]])</f>
        <v>2024</v>
      </c>
      <c r="E274" s="125" t="s">
        <v>156</v>
      </c>
      <c r="F274" s="125" t="s">
        <v>156</v>
      </c>
      <c r="G274" s="129" t="str">
        <f>TEXT(GC[[#This Row],[Date]],"mmm-yy")</f>
        <v>Dec-24</v>
      </c>
      <c r="H274" s="129">
        <f>DAY(EOMONTH(GC[[#This Row],[Month Year]],0))</f>
        <v>31</v>
      </c>
      <c r="I274" s="132">
        <v>2</v>
      </c>
      <c r="J274" s="132" t="s">
        <v>390</v>
      </c>
      <c r="K274" s="132">
        <v>0</v>
      </c>
      <c r="L274" s="132">
        <v>34</v>
      </c>
      <c r="M274" s="132">
        <v>14</v>
      </c>
      <c r="N274" s="132">
        <v>15</v>
      </c>
      <c r="O274" s="132">
        <v>0</v>
      </c>
      <c r="P274" s="132">
        <v>0</v>
      </c>
      <c r="Q274" s="132">
        <v>0</v>
      </c>
      <c r="R274" s="132">
        <v>0</v>
      </c>
      <c r="S274" s="125"/>
      <c r="T274" s="125"/>
      <c r="U274" s="125"/>
      <c r="V274" s="125"/>
      <c r="W274" s="125"/>
      <c r="X274" s="125"/>
      <c r="Y274" s="4">
        <f>SUM(GC[[#This Row],[ICR1]:[ICR14]])</f>
        <v>63</v>
      </c>
      <c r="Z274" s="132" t="s">
        <v>390</v>
      </c>
      <c r="AA274" s="132" t="s">
        <v>423</v>
      </c>
    </row>
    <row r="275" spans="1:27">
      <c r="A275" s="132">
        <v>273</v>
      </c>
      <c r="B275" s="126">
        <f t="shared" si="4"/>
        <v>45655</v>
      </c>
      <c r="C275" s="127">
        <f>YEAR(GC[[#This Row],[Date]])+IF(MONTH(GC[[#This Row],[Date]])&gt;=4,1,0)</f>
        <v>2025</v>
      </c>
      <c r="D275" s="128">
        <f>YEAR(GC[[#This Row],[Date]])</f>
        <v>2024</v>
      </c>
      <c r="E275" s="125" t="s">
        <v>156</v>
      </c>
      <c r="F275" s="125" t="s">
        <v>156</v>
      </c>
      <c r="G275" s="129" t="str">
        <f>TEXT(GC[[#This Row],[Date]],"mmm-yy")</f>
        <v>Dec-24</v>
      </c>
      <c r="H275" s="129">
        <f>DAY(EOMONTH(GC[[#This Row],[Month Year]],0))</f>
        <v>31</v>
      </c>
      <c r="I275" s="132">
        <v>2</v>
      </c>
      <c r="J275" s="132" t="s">
        <v>390</v>
      </c>
      <c r="K275" s="132">
        <v>0</v>
      </c>
      <c r="L275" s="132">
        <v>0</v>
      </c>
      <c r="M275" s="132">
        <v>0</v>
      </c>
      <c r="N275" s="132">
        <v>28</v>
      </c>
      <c r="O275" s="132">
        <v>0</v>
      </c>
      <c r="P275" s="132">
        <v>0</v>
      </c>
      <c r="Q275" s="132">
        <v>0</v>
      </c>
      <c r="R275" s="132">
        <v>0</v>
      </c>
      <c r="S275" s="125"/>
      <c r="T275" s="125"/>
      <c r="U275" s="125"/>
      <c r="V275" s="125"/>
      <c r="W275" s="125"/>
      <c r="X275" s="125"/>
      <c r="Y275" s="4">
        <f>SUM(GC[[#This Row],[ICR1]:[ICR14]])</f>
        <v>28</v>
      </c>
      <c r="Z275" s="132" t="s">
        <v>390</v>
      </c>
      <c r="AA275" s="132" t="s">
        <v>416</v>
      </c>
    </row>
    <row r="276" spans="1:27">
      <c r="A276" s="132">
        <v>274</v>
      </c>
      <c r="B276" s="126">
        <f t="shared" si="4"/>
        <v>45656</v>
      </c>
      <c r="C276" s="127">
        <f>YEAR(GC[[#This Row],[Date]])+IF(MONTH(GC[[#This Row],[Date]])&gt;=4,1,0)</f>
        <v>2025</v>
      </c>
      <c r="D276" s="128">
        <f>YEAR(GC[[#This Row],[Date]])</f>
        <v>2024</v>
      </c>
      <c r="E276" s="125" t="s">
        <v>156</v>
      </c>
      <c r="F276" s="125" t="s">
        <v>156</v>
      </c>
      <c r="G276" s="129" t="str">
        <f>TEXT(GC[[#This Row],[Date]],"mmm-yy")</f>
        <v>Dec-24</v>
      </c>
      <c r="H276" s="129">
        <f>DAY(EOMONTH(GC[[#This Row],[Month Year]],0))</f>
        <v>31</v>
      </c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25"/>
      <c r="T276" s="125"/>
      <c r="U276" s="125"/>
      <c r="V276" s="125"/>
      <c r="W276" s="125"/>
      <c r="X276" s="125"/>
      <c r="Y276" s="4">
        <f>SUM(GC[[#This Row],[ICR1]:[ICR14]])</f>
        <v>0</v>
      </c>
      <c r="Z276" s="132"/>
      <c r="AA276" s="132"/>
    </row>
    <row r="277" spans="1:27">
      <c r="A277" s="132">
        <v>275</v>
      </c>
      <c r="B277" s="126">
        <f t="shared" si="4"/>
        <v>45657</v>
      </c>
      <c r="C277" s="127">
        <f>YEAR(GC[[#This Row],[Date]])+IF(MONTH(GC[[#This Row],[Date]])&gt;=4,1,0)</f>
        <v>2025</v>
      </c>
      <c r="D277" s="128">
        <f>YEAR(GC[[#This Row],[Date]])</f>
        <v>2024</v>
      </c>
      <c r="E277" s="125" t="s">
        <v>156</v>
      </c>
      <c r="F277" s="125" t="s">
        <v>156</v>
      </c>
      <c r="G277" s="129" t="str">
        <f>TEXT(GC[[#This Row],[Date]],"mmm-yy")</f>
        <v>Dec-24</v>
      </c>
      <c r="H277" s="129">
        <f>DAY(EOMONTH(GC[[#This Row],[Month Year]],0))</f>
        <v>31</v>
      </c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25"/>
      <c r="T277" s="125"/>
      <c r="U277" s="125"/>
      <c r="V277" s="125"/>
      <c r="W277" s="125"/>
      <c r="X277" s="125"/>
      <c r="Y277" s="4">
        <f>SUM(GC[[#This Row],[ICR1]:[ICR14]])</f>
        <v>0</v>
      </c>
      <c r="Z277" s="132"/>
      <c r="AA277" s="132"/>
    </row>
    <row r="278" spans="1:27">
      <c r="A278" s="132">
        <v>276</v>
      </c>
      <c r="B278" s="126">
        <f t="shared" si="4"/>
        <v>45658</v>
      </c>
      <c r="C278" s="127">
        <f>YEAR(GC[[#This Row],[Date]])+IF(MONTH(GC[[#This Row],[Date]])&gt;=4,1,0)</f>
        <v>2025</v>
      </c>
      <c r="D278" s="128">
        <f>YEAR(GC[[#This Row],[Date]])</f>
        <v>2025</v>
      </c>
      <c r="E278" s="125" t="s">
        <v>156</v>
      </c>
      <c r="F278" s="125" t="s">
        <v>156</v>
      </c>
      <c r="G278" s="129" t="str">
        <f>TEXT(GC[[#This Row],[Date]],"mmm-yy")</f>
        <v>Jan-25</v>
      </c>
      <c r="H278" s="129">
        <f>DAY(EOMONTH(GC[[#This Row],[Month Year]],0))</f>
        <v>31</v>
      </c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25"/>
      <c r="T278" s="125"/>
      <c r="U278" s="125"/>
      <c r="V278" s="125"/>
      <c r="W278" s="125"/>
      <c r="X278" s="125"/>
      <c r="Y278" s="4">
        <f>SUM(GC[[#This Row],[ICR1]:[ICR14]])</f>
        <v>0</v>
      </c>
      <c r="Z278" s="132"/>
      <c r="AA278" s="132"/>
    </row>
    <row r="279" spans="1:27">
      <c r="A279" s="132">
        <v>277</v>
      </c>
      <c r="B279" s="126">
        <f t="shared" si="4"/>
        <v>45659</v>
      </c>
      <c r="C279" s="127">
        <f>YEAR(GC[[#This Row],[Date]])+IF(MONTH(GC[[#This Row],[Date]])&gt;=4,1,0)</f>
        <v>2025</v>
      </c>
      <c r="D279" s="128">
        <f>YEAR(GC[[#This Row],[Date]])</f>
        <v>2025</v>
      </c>
      <c r="E279" s="125" t="s">
        <v>156</v>
      </c>
      <c r="F279" s="125" t="s">
        <v>156</v>
      </c>
      <c r="G279" s="129" t="str">
        <f>TEXT(GC[[#This Row],[Date]],"mmm-yy")</f>
        <v>Jan-25</v>
      </c>
      <c r="H279" s="129">
        <f>DAY(EOMONTH(GC[[#This Row],[Month Year]],0))</f>
        <v>31</v>
      </c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25"/>
      <c r="T279" s="125"/>
      <c r="U279" s="125"/>
      <c r="V279" s="125"/>
      <c r="W279" s="125"/>
      <c r="X279" s="125"/>
      <c r="Y279" s="4">
        <f>SUM(GC[[#This Row],[ICR1]:[ICR14]])</f>
        <v>0</v>
      </c>
      <c r="Z279" s="132"/>
      <c r="AA279" s="132"/>
    </row>
    <row r="280" spans="1:27">
      <c r="A280" s="132">
        <v>278</v>
      </c>
      <c r="B280" s="126">
        <f t="shared" si="4"/>
        <v>45660</v>
      </c>
      <c r="C280" s="127">
        <f>YEAR(GC[[#This Row],[Date]])+IF(MONTH(GC[[#This Row],[Date]])&gt;=4,1,0)</f>
        <v>2025</v>
      </c>
      <c r="D280" s="128">
        <f>YEAR(GC[[#This Row],[Date]])</f>
        <v>2025</v>
      </c>
      <c r="E280" s="125" t="s">
        <v>156</v>
      </c>
      <c r="F280" s="125" t="s">
        <v>156</v>
      </c>
      <c r="G280" s="129" t="str">
        <f>TEXT(GC[[#This Row],[Date]],"mmm-yy")</f>
        <v>Jan-25</v>
      </c>
      <c r="H280" s="129">
        <f>DAY(EOMONTH(GC[[#This Row],[Month Year]],0))</f>
        <v>31</v>
      </c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25"/>
      <c r="T280" s="125"/>
      <c r="U280" s="125"/>
      <c r="V280" s="125"/>
      <c r="W280" s="125"/>
      <c r="X280" s="125"/>
      <c r="Y280" s="4">
        <f>SUM(GC[[#This Row],[ICR1]:[ICR14]])</f>
        <v>0</v>
      </c>
      <c r="Z280" s="132"/>
      <c r="AA280" s="132"/>
    </row>
    <row r="281" spans="1:27">
      <c r="A281" s="132">
        <v>279</v>
      </c>
      <c r="B281" s="126">
        <f t="shared" si="4"/>
        <v>45661</v>
      </c>
      <c r="C281" s="127">
        <f>YEAR(GC[[#This Row],[Date]])+IF(MONTH(GC[[#This Row],[Date]])&gt;=4,1,0)</f>
        <v>2025</v>
      </c>
      <c r="D281" s="128">
        <f>YEAR(GC[[#This Row],[Date]])</f>
        <v>2025</v>
      </c>
      <c r="E281" s="125" t="s">
        <v>156</v>
      </c>
      <c r="F281" s="125" t="s">
        <v>156</v>
      </c>
      <c r="G281" s="129" t="str">
        <f>TEXT(GC[[#This Row],[Date]],"mmm-yy")</f>
        <v>Jan-25</v>
      </c>
      <c r="H281" s="129">
        <f>DAY(EOMONTH(GC[[#This Row],[Month Year]],0))</f>
        <v>31</v>
      </c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25"/>
      <c r="T281" s="125"/>
      <c r="U281" s="125"/>
      <c r="V281" s="125"/>
      <c r="W281" s="125"/>
      <c r="X281" s="125"/>
      <c r="Y281" s="4">
        <f>SUM(GC[[#This Row],[ICR1]:[ICR14]])</f>
        <v>0</v>
      </c>
      <c r="Z281" s="132"/>
      <c r="AA281" s="132"/>
    </row>
    <row r="282" spans="1:27">
      <c r="A282" s="132">
        <v>280</v>
      </c>
      <c r="B282" s="126">
        <f t="shared" si="4"/>
        <v>45662</v>
      </c>
      <c r="C282" s="127">
        <f>YEAR(GC[[#This Row],[Date]])+IF(MONTH(GC[[#This Row],[Date]])&gt;=4,1,0)</f>
        <v>2025</v>
      </c>
      <c r="D282" s="128">
        <f>YEAR(GC[[#This Row],[Date]])</f>
        <v>2025</v>
      </c>
      <c r="E282" s="125" t="s">
        <v>156</v>
      </c>
      <c r="F282" s="125" t="s">
        <v>156</v>
      </c>
      <c r="G282" s="129" t="str">
        <f>TEXT(GC[[#This Row],[Date]],"mmm-yy")</f>
        <v>Jan-25</v>
      </c>
      <c r="H282" s="129">
        <f>DAY(EOMONTH(GC[[#This Row],[Month Year]],0))</f>
        <v>31</v>
      </c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25"/>
      <c r="T282" s="125"/>
      <c r="U282" s="125"/>
      <c r="V282" s="125"/>
      <c r="W282" s="125"/>
      <c r="X282" s="125"/>
      <c r="Y282" s="4">
        <f>SUM(GC[[#This Row],[ICR1]:[ICR14]])</f>
        <v>0</v>
      </c>
      <c r="Z282" s="132"/>
      <c r="AA282" s="132"/>
    </row>
    <row r="283" spans="1:27">
      <c r="A283" s="132">
        <v>281</v>
      </c>
      <c r="B283" s="126">
        <f t="shared" si="4"/>
        <v>45663</v>
      </c>
      <c r="C283" s="127">
        <f>YEAR(GC[[#This Row],[Date]])+IF(MONTH(GC[[#This Row],[Date]])&gt;=4,1,0)</f>
        <v>2025</v>
      </c>
      <c r="D283" s="128">
        <f>YEAR(GC[[#This Row],[Date]])</f>
        <v>2025</v>
      </c>
      <c r="E283" s="125" t="s">
        <v>156</v>
      </c>
      <c r="F283" s="125" t="s">
        <v>156</v>
      </c>
      <c r="G283" s="129" t="str">
        <f>TEXT(GC[[#This Row],[Date]],"mmm-yy")</f>
        <v>Jan-25</v>
      </c>
      <c r="H283" s="129">
        <f>DAY(EOMONTH(GC[[#This Row],[Month Year]],0))</f>
        <v>31</v>
      </c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25"/>
      <c r="T283" s="125"/>
      <c r="U283" s="125"/>
      <c r="V283" s="125"/>
      <c r="W283" s="125"/>
      <c r="X283" s="125"/>
      <c r="Y283" s="4">
        <f>SUM(GC[[#This Row],[ICR1]:[ICR14]])</f>
        <v>0</v>
      </c>
      <c r="Z283" s="132"/>
      <c r="AA283" s="132"/>
    </row>
    <row r="284" spans="1:27">
      <c r="A284" s="132">
        <v>282</v>
      </c>
      <c r="B284" s="126">
        <f t="shared" si="4"/>
        <v>45664</v>
      </c>
      <c r="C284" s="127">
        <f>YEAR(GC[[#This Row],[Date]])+IF(MONTH(GC[[#This Row],[Date]])&gt;=4,1,0)</f>
        <v>2025</v>
      </c>
      <c r="D284" s="128">
        <f>YEAR(GC[[#This Row],[Date]])</f>
        <v>2025</v>
      </c>
      <c r="E284" s="125" t="s">
        <v>156</v>
      </c>
      <c r="F284" s="125" t="s">
        <v>156</v>
      </c>
      <c r="G284" s="129" t="str">
        <f>TEXT(GC[[#This Row],[Date]],"mmm-yy")</f>
        <v>Jan-25</v>
      </c>
      <c r="H284" s="129">
        <f>DAY(EOMONTH(GC[[#This Row],[Month Year]],0))</f>
        <v>31</v>
      </c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25"/>
      <c r="T284" s="125"/>
      <c r="U284" s="125"/>
      <c r="V284" s="125"/>
      <c r="W284" s="125"/>
      <c r="X284" s="125"/>
      <c r="Y284" s="4">
        <f>SUM(GC[[#This Row],[ICR1]:[ICR14]])</f>
        <v>0</v>
      </c>
      <c r="Z284" s="132"/>
      <c r="AA284" s="132"/>
    </row>
    <row r="285" spans="1:27">
      <c r="A285" s="132">
        <v>283</v>
      </c>
      <c r="B285" s="126">
        <f t="shared" si="4"/>
        <v>45665</v>
      </c>
      <c r="C285" s="127">
        <f>YEAR(GC[[#This Row],[Date]])+IF(MONTH(GC[[#This Row],[Date]])&gt;=4,1,0)</f>
        <v>2025</v>
      </c>
      <c r="D285" s="128">
        <f>YEAR(GC[[#This Row],[Date]])</f>
        <v>2025</v>
      </c>
      <c r="E285" s="125" t="s">
        <v>156</v>
      </c>
      <c r="F285" s="125" t="s">
        <v>156</v>
      </c>
      <c r="G285" s="129" t="str">
        <f>TEXT(GC[[#This Row],[Date]],"mmm-yy")</f>
        <v>Jan-25</v>
      </c>
      <c r="H285" s="129">
        <f>DAY(EOMONTH(GC[[#This Row],[Month Year]],0))</f>
        <v>31</v>
      </c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25"/>
      <c r="T285" s="125"/>
      <c r="U285" s="125"/>
      <c r="V285" s="125"/>
      <c r="W285" s="125"/>
      <c r="X285" s="125"/>
      <c r="Y285" s="4">
        <f>SUM(GC[[#This Row],[ICR1]:[ICR14]])</f>
        <v>0</v>
      </c>
      <c r="Z285" s="132"/>
      <c r="AA285" s="132"/>
    </row>
    <row r="286" spans="1:27">
      <c r="A286" s="132">
        <v>284</v>
      </c>
      <c r="B286" s="126">
        <f t="shared" si="4"/>
        <v>45666</v>
      </c>
      <c r="C286" s="127">
        <f>YEAR(GC[[#This Row],[Date]])+IF(MONTH(GC[[#This Row],[Date]])&gt;=4,1,0)</f>
        <v>2025</v>
      </c>
      <c r="D286" s="128">
        <f>YEAR(GC[[#This Row],[Date]])</f>
        <v>2025</v>
      </c>
      <c r="E286" s="125" t="s">
        <v>156</v>
      </c>
      <c r="F286" s="125" t="s">
        <v>156</v>
      </c>
      <c r="G286" s="129" t="str">
        <f>TEXT(GC[[#This Row],[Date]],"mmm-yy")</f>
        <v>Jan-25</v>
      </c>
      <c r="H286" s="129">
        <f>DAY(EOMONTH(GC[[#This Row],[Month Year]],0))</f>
        <v>31</v>
      </c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25"/>
      <c r="T286" s="125"/>
      <c r="U286" s="125"/>
      <c r="V286" s="125"/>
      <c r="W286" s="125"/>
      <c r="X286" s="125"/>
      <c r="Y286" s="4">
        <f>SUM(GC[[#This Row],[ICR1]:[ICR14]])</f>
        <v>0</v>
      </c>
      <c r="Z286" s="132"/>
      <c r="AA286" s="132"/>
    </row>
    <row r="287" spans="1:27">
      <c r="A287" s="132">
        <v>285</v>
      </c>
      <c r="B287" s="126">
        <f t="shared" si="4"/>
        <v>45667</v>
      </c>
      <c r="C287" s="127">
        <f>YEAR(GC[[#This Row],[Date]])+IF(MONTH(GC[[#This Row],[Date]])&gt;=4,1,0)</f>
        <v>2025</v>
      </c>
      <c r="D287" s="128">
        <f>YEAR(GC[[#This Row],[Date]])</f>
        <v>2025</v>
      </c>
      <c r="E287" s="125" t="s">
        <v>156</v>
      </c>
      <c r="F287" s="125" t="s">
        <v>156</v>
      </c>
      <c r="G287" s="129" t="str">
        <f>TEXT(GC[[#This Row],[Date]],"mmm-yy")</f>
        <v>Jan-25</v>
      </c>
      <c r="H287" s="129">
        <f>DAY(EOMONTH(GC[[#This Row],[Month Year]],0))</f>
        <v>31</v>
      </c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25"/>
      <c r="T287" s="125"/>
      <c r="U287" s="125"/>
      <c r="V287" s="125"/>
      <c r="W287" s="125"/>
      <c r="X287" s="125"/>
      <c r="Y287" s="4">
        <f>SUM(GC[[#This Row],[ICR1]:[ICR14]])</f>
        <v>0</v>
      </c>
      <c r="Z287" s="132"/>
      <c r="AA287" s="132"/>
    </row>
    <row r="288" spans="1:27">
      <c r="A288" s="132">
        <v>286</v>
      </c>
      <c r="B288" s="126">
        <f t="shared" si="4"/>
        <v>45668</v>
      </c>
      <c r="C288" s="127">
        <f>YEAR(GC[[#This Row],[Date]])+IF(MONTH(GC[[#This Row],[Date]])&gt;=4,1,0)</f>
        <v>2025</v>
      </c>
      <c r="D288" s="128">
        <f>YEAR(GC[[#This Row],[Date]])</f>
        <v>2025</v>
      </c>
      <c r="E288" s="125" t="s">
        <v>156</v>
      </c>
      <c r="F288" s="125" t="s">
        <v>156</v>
      </c>
      <c r="G288" s="129" t="str">
        <f>TEXT(GC[[#This Row],[Date]],"mmm-yy")</f>
        <v>Jan-25</v>
      </c>
      <c r="H288" s="129">
        <f>DAY(EOMONTH(GC[[#This Row],[Month Year]],0))</f>
        <v>31</v>
      </c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25"/>
      <c r="T288" s="125"/>
      <c r="U288" s="125"/>
      <c r="V288" s="125"/>
      <c r="W288" s="125"/>
      <c r="X288" s="125"/>
      <c r="Y288" s="4">
        <f>SUM(GC[[#This Row],[ICR1]:[ICR14]])</f>
        <v>0</v>
      </c>
      <c r="Z288" s="132"/>
      <c r="AA288" s="132"/>
    </row>
    <row r="289" spans="1:27">
      <c r="A289" s="132">
        <v>287</v>
      </c>
      <c r="B289" s="126">
        <f t="shared" si="4"/>
        <v>45669</v>
      </c>
      <c r="C289" s="127">
        <f>YEAR(GC[[#This Row],[Date]])+IF(MONTH(GC[[#This Row],[Date]])&gt;=4,1,0)</f>
        <v>2025</v>
      </c>
      <c r="D289" s="128">
        <f>YEAR(GC[[#This Row],[Date]])</f>
        <v>2025</v>
      </c>
      <c r="E289" s="125" t="s">
        <v>156</v>
      </c>
      <c r="F289" s="125" t="s">
        <v>156</v>
      </c>
      <c r="G289" s="129" t="str">
        <f>TEXT(GC[[#This Row],[Date]],"mmm-yy")</f>
        <v>Jan-25</v>
      </c>
      <c r="H289" s="129">
        <f>DAY(EOMONTH(GC[[#This Row],[Month Year]],0))</f>
        <v>31</v>
      </c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25"/>
      <c r="T289" s="125"/>
      <c r="U289" s="125"/>
      <c r="V289" s="125"/>
      <c r="W289" s="125"/>
      <c r="X289" s="125"/>
      <c r="Y289" s="4">
        <f>SUM(GC[[#This Row],[ICR1]:[ICR14]])</f>
        <v>0</v>
      </c>
      <c r="Z289" s="132"/>
      <c r="AA289" s="132"/>
    </row>
    <row r="290" spans="1:27">
      <c r="A290" s="132">
        <v>288</v>
      </c>
      <c r="B290" s="126">
        <f t="shared" si="4"/>
        <v>45670</v>
      </c>
      <c r="C290" s="127">
        <f>YEAR(GC[[#This Row],[Date]])+IF(MONTH(GC[[#This Row],[Date]])&gt;=4,1,0)</f>
        <v>2025</v>
      </c>
      <c r="D290" s="128">
        <f>YEAR(GC[[#This Row],[Date]])</f>
        <v>2025</v>
      </c>
      <c r="E290" s="125" t="s">
        <v>156</v>
      </c>
      <c r="F290" s="125" t="s">
        <v>156</v>
      </c>
      <c r="G290" s="129" t="str">
        <f>TEXT(GC[[#This Row],[Date]],"mmm-yy")</f>
        <v>Jan-25</v>
      </c>
      <c r="H290" s="129">
        <f>DAY(EOMONTH(GC[[#This Row],[Month Year]],0))</f>
        <v>31</v>
      </c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25"/>
      <c r="T290" s="125"/>
      <c r="U290" s="125"/>
      <c r="V290" s="125"/>
      <c r="W290" s="125"/>
      <c r="X290" s="125"/>
      <c r="Y290" s="4">
        <f>SUM(GC[[#This Row],[ICR1]:[ICR14]])</f>
        <v>0</v>
      </c>
      <c r="Z290" s="132"/>
      <c r="AA290" s="132"/>
    </row>
    <row r="291" spans="1:27">
      <c r="A291" s="132">
        <v>289</v>
      </c>
      <c r="B291" s="126">
        <f t="shared" si="4"/>
        <v>45671</v>
      </c>
      <c r="C291" s="127">
        <f>YEAR(GC[[#This Row],[Date]])+IF(MONTH(GC[[#This Row],[Date]])&gt;=4,1,0)</f>
        <v>2025</v>
      </c>
      <c r="D291" s="128">
        <f>YEAR(GC[[#This Row],[Date]])</f>
        <v>2025</v>
      </c>
      <c r="E291" s="125" t="s">
        <v>156</v>
      </c>
      <c r="F291" s="125" t="s">
        <v>156</v>
      </c>
      <c r="G291" s="129" t="str">
        <f>TEXT(GC[[#This Row],[Date]],"mmm-yy")</f>
        <v>Jan-25</v>
      </c>
      <c r="H291" s="129">
        <f>DAY(EOMONTH(GC[[#This Row],[Month Year]],0))</f>
        <v>31</v>
      </c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25"/>
      <c r="T291" s="125"/>
      <c r="U291" s="125"/>
      <c r="V291" s="125"/>
      <c r="W291" s="125"/>
      <c r="X291" s="125"/>
      <c r="Y291" s="4">
        <f>SUM(GC[[#This Row],[ICR1]:[ICR14]])</f>
        <v>0</v>
      </c>
      <c r="Z291" s="132"/>
      <c r="AA291" s="132"/>
    </row>
    <row r="292" spans="1:27">
      <c r="A292" s="132">
        <v>290</v>
      </c>
      <c r="B292" s="126">
        <f t="shared" si="4"/>
        <v>45672</v>
      </c>
      <c r="C292" s="127">
        <f>YEAR(GC[[#This Row],[Date]])+IF(MONTH(GC[[#This Row],[Date]])&gt;=4,1,0)</f>
        <v>2025</v>
      </c>
      <c r="D292" s="128">
        <f>YEAR(GC[[#This Row],[Date]])</f>
        <v>2025</v>
      </c>
      <c r="E292" s="125" t="s">
        <v>156</v>
      </c>
      <c r="F292" s="125" t="s">
        <v>156</v>
      </c>
      <c r="G292" s="129" t="str">
        <f>TEXT(GC[[#This Row],[Date]],"mmm-yy")</f>
        <v>Jan-25</v>
      </c>
      <c r="H292" s="129">
        <f>DAY(EOMONTH(GC[[#This Row],[Month Year]],0))</f>
        <v>31</v>
      </c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25"/>
      <c r="T292" s="125"/>
      <c r="U292" s="125"/>
      <c r="V292" s="125"/>
      <c r="W292" s="125"/>
      <c r="X292" s="125"/>
      <c r="Y292" s="4">
        <f>SUM(GC[[#This Row],[ICR1]:[ICR14]])</f>
        <v>0</v>
      </c>
      <c r="Z292" s="132"/>
      <c r="AA292" s="132"/>
    </row>
    <row r="293" spans="1:27">
      <c r="A293" s="132">
        <v>291</v>
      </c>
      <c r="B293" s="126">
        <f t="shared" si="4"/>
        <v>45673</v>
      </c>
      <c r="C293" s="127">
        <f>YEAR(GC[[#This Row],[Date]])+IF(MONTH(GC[[#This Row],[Date]])&gt;=4,1,0)</f>
        <v>2025</v>
      </c>
      <c r="D293" s="128">
        <f>YEAR(GC[[#This Row],[Date]])</f>
        <v>2025</v>
      </c>
      <c r="E293" s="125" t="s">
        <v>156</v>
      </c>
      <c r="F293" s="125" t="s">
        <v>156</v>
      </c>
      <c r="G293" s="129" t="str">
        <f>TEXT(GC[[#This Row],[Date]],"mmm-yy")</f>
        <v>Jan-25</v>
      </c>
      <c r="H293" s="129">
        <f>DAY(EOMONTH(GC[[#This Row],[Month Year]],0))</f>
        <v>31</v>
      </c>
      <c r="I293" s="132">
        <v>1</v>
      </c>
      <c r="J293" s="132" t="s">
        <v>390</v>
      </c>
      <c r="K293" s="132">
        <v>0</v>
      </c>
      <c r="L293" s="132">
        <v>0</v>
      </c>
      <c r="M293" s="132">
        <v>0</v>
      </c>
      <c r="N293" s="132">
        <v>0</v>
      </c>
      <c r="O293" s="132">
        <v>0</v>
      </c>
      <c r="P293" s="132">
        <v>0</v>
      </c>
      <c r="Q293" s="132">
        <v>0</v>
      </c>
      <c r="R293" s="132">
        <v>0</v>
      </c>
      <c r="S293" s="125">
        <v>0</v>
      </c>
      <c r="T293" s="125">
        <v>0</v>
      </c>
      <c r="U293" s="125">
        <v>0</v>
      </c>
      <c r="V293" s="125">
        <v>0</v>
      </c>
      <c r="W293" s="125">
        <v>0</v>
      </c>
      <c r="X293" s="125">
        <v>55</v>
      </c>
      <c r="Y293" s="4">
        <f>SUM(GC[[#This Row],[ICR1]:[ICR14]])</f>
        <v>55</v>
      </c>
      <c r="Z293" s="132" t="s">
        <v>390</v>
      </c>
      <c r="AA293" s="132" t="s">
        <v>392</v>
      </c>
    </row>
    <row r="294" spans="1:27">
      <c r="A294" s="132">
        <v>292</v>
      </c>
      <c r="B294" s="126">
        <f t="shared" si="4"/>
        <v>45674</v>
      </c>
      <c r="C294" s="127">
        <f>YEAR(GC[[#This Row],[Date]])+IF(MONTH(GC[[#This Row],[Date]])&gt;=4,1,0)</f>
        <v>2025</v>
      </c>
      <c r="D294" s="128">
        <f>YEAR(GC[[#This Row],[Date]])</f>
        <v>2025</v>
      </c>
      <c r="E294" s="125" t="s">
        <v>156</v>
      </c>
      <c r="F294" s="125" t="s">
        <v>156</v>
      </c>
      <c r="G294" s="129" t="str">
        <f>TEXT(GC[[#This Row],[Date]],"mmm-yy")</f>
        <v>Jan-25</v>
      </c>
      <c r="H294" s="129">
        <f>DAY(EOMONTH(GC[[#This Row],[Month Year]],0))</f>
        <v>31</v>
      </c>
      <c r="I294" s="132">
        <v>1</v>
      </c>
      <c r="J294" s="132" t="s">
        <v>390</v>
      </c>
      <c r="K294" s="132">
        <v>0</v>
      </c>
      <c r="L294" s="132">
        <v>0</v>
      </c>
      <c r="M294" s="132">
        <v>0</v>
      </c>
      <c r="N294" s="132">
        <v>0</v>
      </c>
      <c r="O294" s="132">
        <v>0</v>
      </c>
      <c r="P294" s="132">
        <v>0</v>
      </c>
      <c r="Q294" s="132">
        <v>0</v>
      </c>
      <c r="R294" s="132">
        <v>0</v>
      </c>
      <c r="S294" s="125">
        <v>0</v>
      </c>
      <c r="T294" s="125">
        <v>0</v>
      </c>
      <c r="U294" s="125">
        <v>0</v>
      </c>
      <c r="V294" s="125">
        <v>0</v>
      </c>
      <c r="W294" s="125">
        <v>44</v>
      </c>
      <c r="X294" s="125">
        <v>0</v>
      </c>
      <c r="Y294" s="4">
        <f>SUM(GC[[#This Row],[ICR1]:[ICR14]])</f>
        <v>44</v>
      </c>
      <c r="Z294" s="132" t="s">
        <v>390</v>
      </c>
      <c r="AA294" s="132" t="s">
        <v>424</v>
      </c>
    </row>
    <row r="295" spans="1:27">
      <c r="A295" s="132">
        <v>293</v>
      </c>
      <c r="B295" s="126">
        <f t="shared" si="4"/>
        <v>45675</v>
      </c>
      <c r="C295" s="127">
        <f>YEAR(GC[[#This Row],[Date]])+IF(MONTH(GC[[#This Row],[Date]])&gt;=4,1,0)</f>
        <v>2025</v>
      </c>
      <c r="D295" s="128">
        <f>YEAR(GC[[#This Row],[Date]])</f>
        <v>2025</v>
      </c>
      <c r="E295" s="125" t="s">
        <v>156</v>
      </c>
      <c r="F295" s="125" t="s">
        <v>156</v>
      </c>
      <c r="G295" s="129" t="str">
        <f>TEXT(GC[[#This Row],[Date]],"mmm-yy")</f>
        <v>Jan-25</v>
      </c>
      <c r="H295" s="129">
        <f>DAY(EOMONTH(GC[[#This Row],[Month Year]],0))</f>
        <v>31</v>
      </c>
      <c r="I295" s="132">
        <v>1</v>
      </c>
      <c r="J295" s="132" t="s">
        <v>390</v>
      </c>
      <c r="K295" s="132">
        <v>0</v>
      </c>
      <c r="L295" s="132">
        <v>0</v>
      </c>
      <c r="M295" s="132">
        <v>0</v>
      </c>
      <c r="N295" s="132">
        <v>0</v>
      </c>
      <c r="O295" s="132">
        <v>0</v>
      </c>
      <c r="P295" s="132">
        <v>0</v>
      </c>
      <c r="Q295" s="132">
        <v>0</v>
      </c>
      <c r="R295" s="132">
        <v>0</v>
      </c>
      <c r="S295" s="125">
        <v>0</v>
      </c>
      <c r="T295" s="125">
        <v>0</v>
      </c>
      <c r="U295" s="125">
        <v>20</v>
      </c>
      <c r="V295" s="125">
        <v>0</v>
      </c>
      <c r="W295" s="125">
        <v>0</v>
      </c>
      <c r="X295" s="125">
        <v>20</v>
      </c>
      <c r="Y295" s="4">
        <f>SUM(GC[[#This Row],[ICR1]:[ICR14]])</f>
        <v>40</v>
      </c>
      <c r="Z295" s="132" t="s">
        <v>390</v>
      </c>
      <c r="AA295" s="132" t="s">
        <v>411</v>
      </c>
    </row>
    <row r="296" spans="1:27">
      <c r="A296" s="132">
        <v>294</v>
      </c>
      <c r="B296" s="126">
        <f t="shared" si="4"/>
        <v>45676</v>
      </c>
      <c r="C296" s="127">
        <f>YEAR(GC[[#This Row],[Date]])+IF(MONTH(GC[[#This Row],[Date]])&gt;=4,1,0)</f>
        <v>2025</v>
      </c>
      <c r="D296" s="128">
        <f>YEAR(GC[[#This Row],[Date]])</f>
        <v>2025</v>
      </c>
      <c r="E296" s="125" t="s">
        <v>156</v>
      </c>
      <c r="F296" s="125" t="s">
        <v>156</v>
      </c>
      <c r="G296" s="129" t="str">
        <f>TEXT(GC[[#This Row],[Date]],"mmm-yy")</f>
        <v>Jan-25</v>
      </c>
      <c r="H296" s="129">
        <f>DAY(EOMONTH(GC[[#This Row],[Month Year]],0))</f>
        <v>31</v>
      </c>
      <c r="I296" s="132">
        <v>1</v>
      </c>
      <c r="J296" s="132" t="s">
        <v>390</v>
      </c>
      <c r="K296" s="132">
        <v>0</v>
      </c>
      <c r="L296" s="132">
        <v>0</v>
      </c>
      <c r="M296" s="132">
        <v>0</v>
      </c>
      <c r="N296" s="132">
        <v>0</v>
      </c>
      <c r="O296" s="132">
        <v>0</v>
      </c>
      <c r="P296" s="132">
        <v>0</v>
      </c>
      <c r="Q296" s="132">
        <v>0</v>
      </c>
      <c r="R296" s="132">
        <v>0</v>
      </c>
      <c r="S296" s="125">
        <v>0</v>
      </c>
      <c r="T296" s="125">
        <v>0</v>
      </c>
      <c r="U296" s="125">
        <v>27</v>
      </c>
      <c r="V296" s="125">
        <v>0</v>
      </c>
      <c r="W296" s="125">
        <v>0</v>
      </c>
      <c r="X296" s="125">
        <v>6</v>
      </c>
      <c r="Y296" s="4">
        <f>SUM(GC[[#This Row],[ICR1]:[ICR14]])</f>
        <v>33</v>
      </c>
      <c r="Z296" s="132" t="s">
        <v>390</v>
      </c>
      <c r="AA296" s="132" t="s">
        <v>425</v>
      </c>
    </row>
    <row r="297" spans="1:27">
      <c r="A297" s="132">
        <v>295</v>
      </c>
      <c r="B297" s="126">
        <f t="shared" si="4"/>
        <v>45677</v>
      </c>
      <c r="C297" s="127">
        <f>YEAR(GC[[#This Row],[Date]])+IF(MONTH(GC[[#This Row],[Date]])&gt;=4,1,0)</f>
        <v>2025</v>
      </c>
      <c r="D297" s="128">
        <f>YEAR(GC[[#This Row],[Date]])</f>
        <v>2025</v>
      </c>
      <c r="E297" s="125" t="s">
        <v>156</v>
      </c>
      <c r="F297" s="125" t="s">
        <v>156</v>
      </c>
      <c r="G297" s="129" t="str">
        <f>TEXT(GC[[#This Row],[Date]],"mmm-yy")</f>
        <v>Jan-25</v>
      </c>
      <c r="H297" s="129">
        <f>DAY(EOMONTH(GC[[#This Row],[Month Year]],0))</f>
        <v>31</v>
      </c>
      <c r="I297" s="132">
        <v>1</v>
      </c>
      <c r="J297" s="132" t="s">
        <v>390</v>
      </c>
      <c r="K297" s="132">
        <v>0</v>
      </c>
      <c r="L297" s="132">
        <v>0</v>
      </c>
      <c r="M297" s="132">
        <v>0</v>
      </c>
      <c r="N297" s="132">
        <v>0</v>
      </c>
      <c r="O297" s="132">
        <v>0</v>
      </c>
      <c r="P297" s="132">
        <v>0</v>
      </c>
      <c r="Q297" s="132">
        <v>0</v>
      </c>
      <c r="R297" s="132">
        <v>0</v>
      </c>
      <c r="S297" s="125">
        <v>0</v>
      </c>
      <c r="T297" s="125">
        <v>0</v>
      </c>
      <c r="U297" s="125">
        <v>31</v>
      </c>
      <c r="V297" s="125">
        <v>0</v>
      </c>
      <c r="W297" s="125">
        <v>0</v>
      </c>
      <c r="X297" s="125">
        <v>0</v>
      </c>
      <c r="Y297" s="4">
        <f>SUM(GC[[#This Row],[ICR1]:[ICR14]])</f>
        <v>31</v>
      </c>
      <c r="Z297" s="132" t="s">
        <v>390</v>
      </c>
      <c r="AA297" s="132" t="s">
        <v>422</v>
      </c>
    </row>
    <row r="298" spans="1:27">
      <c r="A298" s="132">
        <v>296</v>
      </c>
      <c r="B298" s="126">
        <f t="shared" si="4"/>
        <v>45678</v>
      </c>
      <c r="C298" s="127">
        <f>YEAR(GC[[#This Row],[Date]])+IF(MONTH(GC[[#This Row],[Date]])&gt;=4,1,0)</f>
        <v>2025</v>
      </c>
      <c r="D298" s="128">
        <f>YEAR(GC[[#This Row],[Date]])</f>
        <v>2025</v>
      </c>
      <c r="E298" s="125" t="s">
        <v>156</v>
      </c>
      <c r="F298" s="125" t="s">
        <v>156</v>
      </c>
      <c r="G298" s="129" t="str">
        <f>TEXT(GC[[#This Row],[Date]],"mmm-yy")</f>
        <v>Jan-25</v>
      </c>
      <c r="H298" s="129">
        <f>DAY(EOMONTH(GC[[#This Row],[Month Year]],0))</f>
        <v>31</v>
      </c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25"/>
      <c r="T298" s="125"/>
      <c r="U298" s="125"/>
      <c r="V298" s="125"/>
      <c r="W298" s="125"/>
      <c r="X298" s="125"/>
      <c r="Y298" s="4">
        <f>SUM(GC[[#This Row],[ICR1]:[ICR14]])</f>
        <v>0</v>
      </c>
      <c r="Z298" s="132"/>
      <c r="AA298" s="132"/>
    </row>
    <row r="299" spans="1:27">
      <c r="A299" s="132">
        <v>297</v>
      </c>
      <c r="B299" s="126">
        <f t="shared" si="4"/>
        <v>45679</v>
      </c>
      <c r="C299" s="127">
        <f>YEAR(GC[[#This Row],[Date]])+IF(MONTH(GC[[#This Row],[Date]])&gt;=4,1,0)</f>
        <v>2025</v>
      </c>
      <c r="D299" s="128">
        <f>YEAR(GC[[#This Row],[Date]])</f>
        <v>2025</v>
      </c>
      <c r="E299" s="125" t="s">
        <v>156</v>
      </c>
      <c r="F299" s="125" t="s">
        <v>156</v>
      </c>
      <c r="G299" s="129" t="str">
        <f>TEXT(GC[[#This Row],[Date]],"mmm-yy")</f>
        <v>Jan-25</v>
      </c>
      <c r="H299" s="129">
        <f>DAY(EOMONTH(GC[[#This Row],[Month Year]],0))</f>
        <v>31</v>
      </c>
      <c r="I299" s="132">
        <v>1</v>
      </c>
      <c r="J299" s="132" t="s">
        <v>390</v>
      </c>
      <c r="K299" s="132">
        <v>0</v>
      </c>
      <c r="L299" s="132">
        <v>0</v>
      </c>
      <c r="M299" s="132">
        <v>0</v>
      </c>
      <c r="N299" s="132">
        <v>0</v>
      </c>
      <c r="O299" s="132">
        <v>0</v>
      </c>
      <c r="P299" s="132">
        <v>0</v>
      </c>
      <c r="Q299" s="132">
        <v>0</v>
      </c>
      <c r="R299" s="132">
        <v>0</v>
      </c>
      <c r="S299" s="125">
        <v>0</v>
      </c>
      <c r="T299" s="125">
        <v>0</v>
      </c>
      <c r="U299" s="125">
        <v>0</v>
      </c>
      <c r="V299" s="125">
        <v>0</v>
      </c>
      <c r="W299" s="125">
        <v>39</v>
      </c>
      <c r="X299" s="125">
        <v>0</v>
      </c>
      <c r="Y299" s="4">
        <f>SUM(GC[[#This Row],[ICR1]:[ICR14]])</f>
        <v>39</v>
      </c>
      <c r="Z299" s="132" t="s">
        <v>390</v>
      </c>
      <c r="AA299" s="132" t="s">
        <v>426</v>
      </c>
    </row>
    <row r="300" spans="1:27">
      <c r="A300" s="132">
        <v>298</v>
      </c>
      <c r="B300" s="126">
        <f t="shared" si="4"/>
        <v>45680</v>
      </c>
      <c r="C300" s="127">
        <f>YEAR(GC[[#This Row],[Date]])+IF(MONTH(GC[[#This Row],[Date]])&gt;=4,1,0)</f>
        <v>2025</v>
      </c>
      <c r="D300" s="128">
        <f>YEAR(GC[[#This Row],[Date]])</f>
        <v>2025</v>
      </c>
      <c r="E300" s="125" t="s">
        <v>156</v>
      </c>
      <c r="F300" s="125" t="s">
        <v>156</v>
      </c>
      <c r="G300" s="129" t="str">
        <f>TEXT(GC[[#This Row],[Date]],"mmm-yy")</f>
        <v>Jan-25</v>
      </c>
      <c r="H300" s="129">
        <f>DAY(EOMONTH(GC[[#This Row],[Month Year]],0))</f>
        <v>31</v>
      </c>
      <c r="I300" s="132">
        <v>1</v>
      </c>
      <c r="J300" s="132" t="s">
        <v>390</v>
      </c>
      <c r="K300" s="132">
        <v>0</v>
      </c>
      <c r="L300" s="132">
        <v>0</v>
      </c>
      <c r="M300" s="132">
        <v>0</v>
      </c>
      <c r="N300" s="132">
        <v>0</v>
      </c>
      <c r="O300" s="132">
        <v>0</v>
      </c>
      <c r="P300" s="132">
        <v>0</v>
      </c>
      <c r="Q300" s="132">
        <v>0</v>
      </c>
      <c r="R300" s="132">
        <v>0</v>
      </c>
      <c r="S300" s="125">
        <v>0</v>
      </c>
      <c r="T300" s="125">
        <v>0</v>
      </c>
      <c r="U300" s="125">
        <v>0</v>
      </c>
      <c r="V300" s="125">
        <v>0</v>
      </c>
      <c r="W300" s="125">
        <v>38</v>
      </c>
      <c r="X300" s="125">
        <v>0</v>
      </c>
      <c r="Y300" s="4">
        <f>SUM(GC[[#This Row],[ICR1]:[ICR14]])</f>
        <v>38</v>
      </c>
      <c r="Z300" s="132" t="s">
        <v>390</v>
      </c>
      <c r="AA300" s="132" t="s">
        <v>427</v>
      </c>
    </row>
    <row r="301" spans="1:27">
      <c r="A301" s="132">
        <v>299</v>
      </c>
      <c r="B301" s="126">
        <f t="shared" si="4"/>
        <v>45681</v>
      </c>
      <c r="C301" s="127">
        <f>YEAR(GC[[#This Row],[Date]])+IF(MONTH(GC[[#This Row],[Date]])&gt;=4,1,0)</f>
        <v>2025</v>
      </c>
      <c r="D301" s="128">
        <f>YEAR(GC[[#This Row],[Date]])</f>
        <v>2025</v>
      </c>
      <c r="E301" s="125" t="s">
        <v>156</v>
      </c>
      <c r="F301" s="125" t="s">
        <v>156</v>
      </c>
      <c r="G301" s="129" t="str">
        <f>TEXT(GC[[#This Row],[Date]],"mmm-yy")</f>
        <v>Jan-25</v>
      </c>
      <c r="H301" s="129">
        <f>DAY(EOMONTH(GC[[#This Row],[Month Year]],0))</f>
        <v>31</v>
      </c>
      <c r="I301" s="132">
        <v>1</v>
      </c>
      <c r="J301" s="132" t="s">
        <v>390</v>
      </c>
      <c r="K301" s="132">
        <v>0</v>
      </c>
      <c r="L301" s="132">
        <v>0</v>
      </c>
      <c r="M301" s="132">
        <v>0</v>
      </c>
      <c r="N301" s="132">
        <v>0</v>
      </c>
      <c r="O301" s="132">
        <v>0</v>
      </c>
      <c r="P301" s="132">
        <v>0</v>
      </c>
      <c r="Q301" s="132">
        <v>0</v>
      </c>
      <c r="R301" s="132">
        <v>0</v>
      </c>
      <c r="S301" s="125">
        <v>0</v>
      </c>
      <c r="T301" s="125">
        <v>0</v>
      </c>
      <c r="U301" s="125">
        <v>0</v>
      </c>
      <c r="V301" s="125">
        <v>0</v>
      </c>
      <c r="W301" s="125">
        <v>35</v>
      </c>
      <c r="X301" s="125">
        <v>0</v>
      </c>
      <c r="Y301" s="4">
        <f>SUM(GC[[#This Row],[ICR1]:[ICR14]])</f>
        <v>35</v>
      </c>
      <c r="Z301" s="132" t="s">
        <v>390</v>
      </c>
      <c r="AA301" s="132" t="s">
        <v>428</v>
      </c>
    </row>
    <row r="302" spans="1:27">
      <c r="A302" s="132">
        <v>300</v>
      </c>
      <c r="B302" s="126">
        <f t="shared" si="4"/>
        <v>45682</v>
      </c>
      <c r="C302" s="127">
        <f>YEAR(GC[[#This Row],[Date]])+IF(MONTH(GC[[#This Row],[Date]])&gt;=4,1,0)</f>
        <v>2025</v>
      </c>
      <c r="D302" s="128">
        <f>YEAR(GC[[#This Row],[Date]])</f>
        <v>2025</v>
      </c>
      <c r="E302" s="125" t="s">
        <v>156</v>
      </c>
      <c r="F302" s="125" t="s">
        <v>156</v>
      </c>
      <c r="G302" s="129" t="str">
        <f>TEXT(GC[[#This Row],[Date]],"mmm-yy")</f>
        <v>Jan-25</v>
      </c>
      <c r="H302" s="129">
        <f>DAY(EOMONTH(GC[[#This Row],[Month Year]],0))</f>
        <v>31</v>
      </c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25"/>
      <c r="T302" s="125"/>
      <c r="U302" s="125"/>
      <c r="V302" s="125"/>
      <c r="W302" s="125"/>
      <c r="X302" s="125"/>
      <c r="Y302" s="4">
        <f>SUM(GC[[#This Row],[ICR1]:[ICR14]])</f>
        <v>0</v>
      </c>
      <c r="Z302" s="132"/>
      <c r="AA302" s="132"/>
    </row>
    <row r="303" spans="1:27">
      <c r="A303" s="132">
        <v>301</v>
      </c>
      <c r="B303" s="126">
        <f t="shared" si="4"/>
        <v>45683</v>
      </c>
      <c r="C303" s="127">
        <f>YEAR(GC[[#This Row],[Date]])+IF(MONTH(GC[[#This Row],[Date]])&gt;=4,1,0)</f>
        <v>2025</v>
      </c>
      <c r="D303" s="128">
        <f>YEAR(GC[[#This Row],[Date]])</f>
        <v>2025</v>
      </c>
      <c r="E303" s="125" t="s">
        <v>156</v>
      </c>
      <c r="F303" s="125" t="s">
        <v>156</v>
      </c>
      <c r="G303" s="129" t="str">
        <f>TEXT(GC[[#This Row],[Date]],"mmm-yy")</f>
        <v>Jan-25</v>
      </c>
      <c r="H303" s="129">
        <f>DAY(EOMONTH(GC[[#This Row],[Month Year]],0))</f>
        <v>31</v>
      </c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25"/>
      <c r="T303" s="125"/>
      <c r="U303" s="125"/>
      <c r="V303" s="125"/>
      <c r="W303" s="125"/>
      <c r="X303" s="125"/>
      <c r="Y303" s="4">
        <f>SUM(GC[[#This Row],[ICR1]:[ICR14]])</f>
        <v>0</v>
      </c>
      <c r="Z303" s="132"/>
      <c r="AA303" s="132"/>
    </row>
    <row r="304" spans="1:27">
      <c r="A304" s="132">
        <v>302</v>
      </c>
      <c r="B304" s="126">
        <f t="shared" si="4"/>
        <v>45684</v>
      </c>
      <c r="C304" s="127">
        <f>YEAR(GC[[#This Row],[Date]])+IF(MONTH(GC[[#This Row],[Date]])&gt;=4,1,0)</f>
        <v>2025</v>
      </c>
      <c r="D304" s="128">
        <f>YEAR(GC[[#This Row],[Date]])</f>
        <v>2025</v>
      </c>
      <c r="E304" s="125" t="s">
        <v>156</v>
      </c>
      <c r="F304" s="125" t="s">
        <v>156</v>
      </c>
      <c r="G304" s="129" t="str">
        <f>TEXT(GC[[#This Row],[Date]],"mmm-yy")</f>
        <v>Jan-25</v>
      </c>
      <c r="H304" s="129">
        <f>DAY(EOMONTH(GC[[#This Row],[Month Year]],0))</f>
        <v>31</v>
      </c>
      <c r="I304" s="132">
        <v>1</v>
      </c>
      <c r="J304" s="132" t="s">
        <v>390</v>
      </c>
      <c r="K304" s="132">
        <v>0</v>
      </c>
      <c r="L304" s="132">
        <v>0</v>
      </c>
      <c r="M304" s="132">
        <v>0</v>
      </c>
      <c r="N304" s="132">
        <v>0</v>
      </c>
      <c r="O304" s="132">
        <v>0</v>
      </c>
      <c r="P304" s="132">
        <v>0</v>
      </c>
      <c r="Q304" s="132">
        <v>0</v>
      </c>
      <c r="R304" s="132">
        <v>0</v>
      </c>
      <c r="S304" s="125">
        <v>0</v>
      </c>
      <c r="T304" s="125">
        <v>30</v>
      </c>
      <c r="U304" s="125">
        <v>0</v>
      </c>
      <c r="V304" s="125">
        <v>0</v>
      </c>
      <c r="W304" s="125">
        <v>0</v>
      </c>
      <c r="X304" s="125">
        <v>0</v>
      </c>
      <c r="Y304" s="4">
        <f>SUM(GC[[#This Row],[ICR1]:[ICR14]])</f>
        <v>30</v>
      </c>
      <c r="Z304" s="132" t="s">
        <v>390</v>
      </c>
      <c r="AA304" s="132" t="s">
        <v>429</v>
      </c>
    </row>
    <row r="305" spans="1:27">
      <c r="A305" s="132">
        <v>303</v>
      </c>
      <c r="B305" s="126">
        <f t="shared" si="4"/>
        <v>45685</v>
      </c>
      <c r="C305" s="127">
        <f>YEAR(GC[[#This Row],[Date]])+IF(MONTH(GC[[#This Row],[Date]])&gt;=4,1,0)</f>
        <v>2025</v>
      </c>
      <c r="D305" s="128">
        <f>YEAR(GC[[#This Row],[Date]])</f>
        <v>2025</v>
      </c>
      <c r="E305" s="125" t="s">
        <v>156</v>
      </c>
      <c r="F305" s="125" t="s">
        <v>156</v>
      </c>
      <c r="G305" s="129" t="str">
        <f>TEXT(GC[[#This Row],[Date]],"mmm-yy")</f>
        <v>Jan-25</v>
      </c>
      <c r="H305" s="129">
        <f>DAY(EOMONTH(GC[[#This Row],[Month Year]],0))</f>
        <v>31</v>
      </c>
      <c r="I305" s="132">
        <v>1</v>
      </c>
      <c r="J305" s="132" t="s">
        <v>390</v>
      </c>
      <c r="K305" s="132">
        <v>0</v>
      </c>
      <c r="L305" s="132">
        <v>0</v>
      </c>
      <c r="M305" s="132">
        <v>0</v>
      </c>
      <c r="N305" s="132">
        <v>0</v>
      </c>
      <c r="O305" s="132">
        <v>0</v>
      </c>
      <c r="P305" s="132">
        <v>0</v>
      </c>
      <c r="Q305" s="132">
        <v>0</v>
      </c>
      <c r="R305" s="132">
        <v>0</v>
      </c>
      <c r="S305" s="125">
        <v>0</v>
      </c>
      <c r="T305" s="125">
        <v>0</v>
      </c>
      <c r="U305" s="125">
        <v>25</v>
      </c>
      <c r="V305" s="125">
        <v>0</v>
      </c>
      <c r="W305" s="125">
        <v>0</v>
      </c>
      <c r="X305" s="125">
        <v>0</v>
      </c>
      <c r="Y305" s="4">
        <f>SUM(GC[[#This Row],[ICR1]:[ICR14]])</f>
        <v>25</v>
      </c>
      <c r="Z305" s="132" t="s">
        <v>390</v>
      </c>
      <c r="AA305" s="132" t="s">
        <v>430</v>
      </c>
    </row>
    <row r="306" spans="1:27">
      <c r="A306" s="132">
        <v>304</v>
      </c>
      <c r="B306" s="126">
        <f t="shared" si="4"/>
        <v>45686</v>
      </c>
      <c r="C306" s="209">
        <f>YEAR(GC[[#This Row],[Date]])+IF(MONTH(GC[[#This Row],[Date]])&gt;=4,1,0)</f>
        <v>2025</v>
      </c>
      <c r="D306" s="129">
        <f>YEAR(GC[[#This Row],[Date]])</f>
        <v>2025</v>
      </c>
      <c r="E306" s="125" t="s">
        <v>156</v>
      </c>
      <c r="F306" s="125" t="s">
        <v>156</v>
      </c>
      <c r="G306" s="129" t="str">
        <f>TEXT(GC[[#This Row],[Date]],"mmm-yy")</f>
        <v>Jan-25</v>
      </c>
      <c r="H306" s="129">
        <f>DAY(EOMONTH(GC[[#This Row],[Month Year]],0))</f>
        <v>31</v>
      </c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4">
        <f>SUM(GC[[#This Row],[ICR1]:[ICR14]])</f>
        <v>0</v>
      </c>
      <c r="Z306" s="132"/>
      <c r="AA306" s="132"/>
    </row>
    <row r="307" spans="1:27">
      <c r="A307" s="132">
        <v>305</v>
      </c>
      <c r="B307" s="126">
        <f t="shared" si="4"/>
        <v>45687</v>
      </c>
      <c r="C307" s="209">
        <f>YEAR(GC[[#This Row],[Date]])+IF(MONTH(GC[[#This Row],[Date]])&gt;=4,1,0)</f>
        <v>2025</v>
      </c>
      <c r="D307" s="129">
        <f>YEAR(GC[[#This Row],[Date]])</f>
        <v>2025</v>
      </c>
      <c r="E307" s="125" t="s">
        <v>156</v>
      </c>
      <c r="F307" s="125" t="s">
        <v>156</v>
      </c>
      <c r="G307" s="129" t="str">
        <f>TEXT(GC[[#This Row],[Date]],"mmm-yy")</f>
        <v>Jan-25</v>
      </c>
      <c r="H307" s="129">
        <f>DAY(EOMONTH(GC[[#This Row],[Month Year]],0))</f>
        <v>31</v>
      </c>
      <c r="I307" s="132">
        <v>1</v>
      </c>
      <c r="J307" s="132" t="s">
        <v>390</v>
      </c>
      <c r="K307" s="132">
        <v>0</v>
      </c>
      <c r="L307" s="132">
        <v>0</v>
      </c>
      <c r="M307" s="132">
        <v>0</v>
      </c>
      <c r="N307" s="132">
        <v>0</v>
      </c>
      <c r="O307" s="132">
        <v>0</v>
      </c>
      <c r="P307" s="132">
        <v>0</v>
      </c>
      <c r="Q307" s="132">
        <v>0</v>
      </c>
      <c r="R307" s="132">
        <v>0</v>
      </c>
      <c r="S307" s="125">
        <v>0</v>
      </c>
      <c r="T307" s="125">
        <v>0</v>
      </c>
      <c r="U307" s="132">
        <v>0</v>
      </c>
      <c r="V307" s="132">
        <v>0</v>
      </c>
      <c r="W307" s="132">
        <v>32</v>
      </c>
      <c r="X307" s="132">
        <v>0</v>
      </c>
      <c r="Y307" s="4">
        <f>SUM(GC[[#This Row],[ICR1]:[ICR14]])</f>
        <v>32</v>
      </c>
      <c r="Z307" s="132" t="s">
        <v>390</v>
      </c>
      <c r="AA307" s="132" t="s">
        <v>398</v>
      </c>
    </row>
    <row r="308" spans="1:27">
      <c r="A308" s="132">
        <v>306</v>
      </c>
      <c r="B308" s="126">
        <f t="shared" si="4"/>
        <v>45688</v>
      </c>
      <c r="C308" s="209">
        <f>YEAR(GC[[#This Row],[Date]])+IF(MONTH(GC[[#This Row],[Date]])&gt;=4,1,0)</f>
        <v>2025</v>
      </c>
      <c r="D308" s="129">
        <f>YEAR(GC[[#This Row],[Date]])</f>
        <v>2025</v>
      </c>
      <c r="E308" s="125" t="s">
        <v>156</v>
      </c>
      <c r="F308" s="125" t="s">
        <v>156</v>
      </c>
      <c r="G308" s="129" t="str">
        <f>TEXT(GC[[#This Row],[Date]],"mmm-yy")</f>
        <v>Jan-25</v>
      </c>
      <c r="H308" s="129">
        <f>DAY(EOMONTH(GC[[#This Row],[Month Year]],0))</f>
        <v>31</v>
      </c>
      <c r="I308" s="132">
        <v>1</v>
      </c>
      <c r="J308" s="132" t="s">
        <v>390</v>
      </c>
      <c r="K308" s="132">
        <v>0</v>
      </c>
      <c r="L308" s="132">
        <v>0</v>
      </c>
      <c r="M308" s="132">
        <v>0</v>
      </c>
      <c r="N308" s="132">
        <v>0</v>
      </c>
      <c r="O308" s="132">
        <v>0</v>
      </c>
      <c r="P308" s="132">
        <v>0</v>
      </c>
      <c r="Q308" s="132">
        <v>0</v>
      </c>
      <c r="R308" s="132">
        <v>0</v>
      </c>
      <c r="S308" s="125">
        <v>0</v>
      </c>
      <c r="T308" s="125">
        <v>32</v>
      </c>
      <c r="U308" s="132">
        <v>0</v>
      </c>
      <c r="V308" s="132">
        <v>6</v>
      </c>
      <c r="W308" s="132">
        <v>4</v>
      </c>
      <c r="X308" s="132">
        <v>0</v>
      </c>
      <c r="Y308" s="4">
        <f>SUM(GC[[#This Row],[ICR1]:[ICR14]])</f>
        <v>42</v>
      </c>
      <c r="Z308" s="132" t="s">
        <v>390</v>
      </c>
      <c r="AA308" s="132" t="s">
        <v>408</v>
      </c>
    </row>
    <row r="309" spans="1:27">
      <c r="A309" s="132">
        <v>307</v>
      </c>
      <c r="B309" s="126">
        <f t="shared" si="4"/>
        <v>45689</v>
      </c>
      <c r="C309" s="209">
        <f>YEAR(GC[[#This Row],[Date]])+IF(MONTH(GC[[#This Row],[Date]])&gt;=4,1,0)</f>
        <v>2025</v>
      </c>
      <c r="D309" s="129">
        <f>YEAR(GC[[#This Row],[Date]])</f>
        <v>2025</v>
      </c>
      <c r="E309" s="125" t="s">
        <v>156</v>
      </c>
      <c r="F309" s="125" t="s">
        <v>156</v>
      </c>
      <c r="G309" s="129" t="str">
        <f>TEXT(GC[[#This Row],[Date]],"mmm-yy")</f>
        <v>Feb-25</v>
      </c>
      <c r="H309" s="129">
        <f>DAY(EOMONTH(GC[[#This Row],[Month Year]],0))</f>
        <v>28</v>
      </c>
      <c r="I309" s="132">
        <v>1</v>
      </c>
      <c r="J309" s="132" t="s">
        <v>390</v>
      </c>
      <c r="K309" s="132">
        <v>0</v>
      </c>
      <c r="L309" s="132">
        <v>0</v>
      </c>
      <c r="M309" s="132">
        <v>0</v>
      </c>
      <c r="N309" s="132">
        <v>0</v>
      </c>
      <c r="O309" s="132">
        <v>0</v>
      </c>
      <c r="P309" s="132">
        <v>0</v>
      </c>
      <c r="Q309" s="132">
        <v>0</v>
      </c>
      <c r="R309" s="132">
        <v>0</v>
      </c>
      <c r="S309" s="132">
        <v>0</v>
      </c>
      <c r="T309" s="132">
        <v>36</v>
      </c>
      <c r="U309" s="132">
        <v>0</v>
      </c>
      <c r="V309" s="132">
        <v>9</v>
      </c>
      <c r="W309" s="132">
        <v>0</v>
      </c>
      <c r="X309" s="132">
        <v>0</v>
      </c>
      <c r="Y309" s="4">
        <f>SUM(GC[[#This Row],[ICR1]:[ICR14]])</f>
        <v>45</v>
      </c>
      <c r="Z309" s="132" t="s">
        <v>390</v>
      </c>
      <c r="AA309" s="132" t="s">
        <v>431</v>
      </c>
    </row>
    <row r="310" spans="1:27">
      <c r="A310" s="132">
        <v>308</v>
      </c>
      <c r="B310" s="126">
        <f t="shared" si="4"/>
        <v>45690</v>
      </c>
      <c r="C310" s="209">
        <f>YEAR(GC[[#This Row],[Date]])+IF(MONTH(GC[[#This Row],[Date]])&gt;=4,1,0)</f>
        <v>2025</v>
      </c>
      <c r="D310" s="129">
        <f>YEAR(GC[[#This Row],[Date]])</f>
        <v>2025</v>
      </c>
      <c r="E310" s="125" t="s">
        <v>156</v>
      </c>
      <c r="F310" s="125" t="s">
        <v>156</v>
      </c>
      <c r="G310" s="129" t="str">
        <f>TEXT(GC[[#This Row],[Date]],"mmm-yy")</f>
        <v>Feb-25</v>
      </c>
      <c r="H310" s="129">
        <f>DAY(EOMONTH(GC[[#This Row],[Month Year]],0))</f>
        <v>28</v>
      </c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4">
        <f>SUM(GC[[#This Row],[ICR1]:[ICR14]])</f>
        <v>0</v>
      </c>
      <c r="Z310" s="132"/>
      <c r="AA310" s="132"/>
    </row>
    <row r="311" spans="1:27">
      <c r="A311" s="132">
        <v>309</v>
      </c>
      <c r="B311" s="126">
        <f t="shared" si="4"/>
        <v>45691</v>
      </c>
      <c r="C311" s="209">
        <f>YEAR(GC[[#This Row],[Date]])+IF(MONTH(GC[[#This Row],[Date]])&gt;=4,1,0)</f>
        <v>2025</v>
      </c>
      <c r="D311" s="129">
        <f>YEAR(GC[[#This Row],[Date]])</f>
        <v>2025</v>
      </c>
      <c r="E311" s="125" t="s">
        <v>156</v>
      </c>
      <c r="F311" s="125" t="s">
        <v>156</v>
      </c>
      <c r="G311" s="129" t="str">
        <f>TEXT(GC[[#This Row],[Date]],"mmm-yy")</f>
        <v>Feb-25</v>
      </c>
      <c r="H311" s="129">
        <f>DAY(EOMONTH(GC[[#This Row],[Month Year]],0))</f>
        <v>28</v>
      </c>
      <c r="I311" s="132">
        <v>1</v>
      </c>
      <c r="J311" s="132" t="s">
        <v>390</v>
      </c>
      <c r="K311" s="132">
        <v>0</v>
      </c>
      <c r="L311" s="132">
        <v>0</v>
      </c>
      <c r="M311" s="132">
        <v>0</v>
      </c>
      <c r="N311" s="132">
        <v>0</v>
      </c>
      <c r="O311" s="132">
        <v>0</v>
      </c>
      <c r="P311" s="132">
        <v>0</v>
      </c>
      <c r="Q311" s="132">
        <v>0</v>
      </c>
      <c r="R311" s="132">
        <v>0</v>
      </c>
      <c r="S311" s="132">
        <v>32</v>
      </c>
      <c r="T311" s="132">
        <v>0</v>
      </c>
      <c r="U311" s="132">
        <v>0</v>
      </c>
      <c r="V311" s="132">
        <v>16</v>
      </c>
      <c r="W311" s="132">
        <v>0</v>
      </c>
      <c r="X311" s="132">
        <v>0</v>
      </c>
      <c r="Y311" s="4">
        <f>SUM(GC[[#This Row],[ICR1]:[ICR14]])</f>
        <v>48</v>
      </c>
      <c r="Z311" s="132" t="s">
        <v>390</v>
      </c>
      <c r="AA311" s="132" t="s">
        <v>393</v>
      </c>
    </row>
    <row r="312" spans="1:27">
      <c r="A312" s="132">
        <v>310</v>
      </c>
      <c r="B312" s="126">
        <f t="shared" si="4"/>
        <v>45692</v>
      </c>
      <c r="C312" s="209">
        <f>YEAR(GC[[#This Row],[Date]])+IF(MONTH(GC[[#This Row],[Date]])&gt;=4,1,0)</f>
        <v>2025</v>
      </c>
      <c r="D312" s="129">
        <f>YEAR(GC[[#This Row],[Date]])</f>
        <v>2025</v>
      </c>
      <c r="E312" s="125" t="s">
        <v>156</v>
      </c>
      <c r="F312" s="125" t="s">
        <v>156</v>
      </c>
      <c r="G312" s="129" t="str">
        <f>TEXT(GC[[#This Row],[Date]],"mmm-yy")</f>
        <v>Feb-25</v>
      </c>
      <c r="H312" s="129">
        <f>DAY(EOMONTH(GC[[#This Row],[Month Year]],0))</f>
        <v>28</v>
      </c>
      <c r="I312" s="132">
        <v>1</v>
      </c>
      <c r="J312" s="132" t="s">
        <v>390</v>
      </c>
      <c r="K312" s="132">
        <v>0</v>
      </c>
      <c r="L312" s="132">
        <v>0</v>
      </c>
      <c r="M312" s="132">
        <v>0</v>
      </c>
      <c r="N312" s="132">
        <v>0</v>
      </c>
      <c r="O312" s="132">
        <v>0</v>
      </c>
      <c r="P312" s="132">
        <v>0</v>
      </c>
      <c r="Q312" s="132">
        <v>0</v>
      </c>
      <c r="R312" s="132">
        <v>0</v>
      </c>
      <c r="S312" s="132">
        <v>38</v>
      </c>
      <c r="T312" s="132">
        <v>8</v>
      </c>
      <c r="U312" s="132">
        <v>0</v>
      </c>
      <c r="V312" s="132">
        <v>0</v>
      </c>
      <c r="W312" s="132">
        <v>0</v>
      </c>
      <c r="X312" s="132">
        <v>0</v>
      </c>
      <c r="Y312" s="4">
        <f>SUM(GC[[#This Row],[ICR1]:[ICR14]])</f>
        <v>46</v>
      </c>
      <c r="Z312" s="132" t="s">
        <v>390</v>
      </c>
      <c r="AA312" s="132" t="s">
        <v>407</v>
      </c>
    </row>
    <row r="313" spans="1:27">
      <c r="A313" s="132">
        <v>311</v>
      </c>
      <c r="B313" s="126">
        <f t="shared" si="4"/>
        <v>45693</v>
      </c>
      <c r="C313" s="209">
        <f>YEAR(GC[[#This Row],[Date]])+IF(MONTH(GC[[#This Row],[Date]])&gt;=4,1,0)</f>
        <v>2025</v>
      </c>
      <c r="D313" s="129">
        <f>YEAR(GC[[#This Row],[Date]])</f>
        <v>2025</v>
      </c>
      <c r="E313" s="125" t="s">
        <v>156</v>
      </c>
      <c r="F313" s="125" t="s">
        <v>156</v>
      </c>
      <c r="G313" s="129" t="str">
        <f>TEXT(GC[[#This Row],[Date]],"mmm-yy")</f>
        <v>Feb-25</v>
      </c>
      <c r="H313" s="129">
        <f>DAY(EOMONTH(GC[[#This Row],[Month Year]],0))</f>
        <v>28</v>
      </c>
      <c r="I313" s="132">
        <v>1</v>
      </c>
      <c r="J313" s="132" t="s">
        <v>390</v>
      </c>
      <c r="K313" s="132">
        <v>0</v>
      </c>
      <c r="L313" s="132">
        <v>0</v>
      </c>
      <c r="M313" s="132">
        <v>0</v>
      </c>
      <c r="N313" s="132">
        <v>0</v>
      </c>
      <c r="O313" s="132">
        <v>0</v>
      </c>
      <c r="P313" s="132">
        <v>0</v>
      </c>
      <c r="Q313" s="132">
        <v>0</v>
      </c>
      <c r="R313" s="132">
        <v>0</v>
      </c>
      <c r="S313" s="132">
        <v>17</v>
      </c>
      <c r="T313" s="132">
        <v>40</v>
      </c>
      <c r="U313" s="132">
        <v>0</v>
      </c>
      <c r="V313" s="132">
        <v>0</v>
      </c>
      <c r="W313" s="132">
        <v>0</v>
      </c>
      <c r="X313" s="132">
        <v>0</v>
      </c>
      <c r="Y313" s="4">
        <f>SUM(GC[[#This Row],[ICR1]:[ICR14]])</f>
        <v>57</v>
      </c>
      <c r="Z313" s="132" t="s">
        <v>390</v>
      </c>
      <c r="AA313" s="132" t="s">
        <v>432</v>
      </c>
    </row>
    <row r="314" spans="1:27">
      <c r="A314" s="132">
        <v>312</v>
      </c>
      <c r="B314" s="126">
        <f t="shared" si="4"/>
        <v>45694</v>
      </c>
      <c r="C314" s="209">
        <f>YEAR(GC[[#This Row],[Date]])+IF(MONTH(GC[[#This Row],[Date]])&gt;=4,1,0)</f>
        <v>2025</v>
      </c>
      <c r="D314" s="129">
        <f>YEAR(GC[[#This Row],[Date]])</f>
        <v>2025</v>
      </c>
      <c r="E314" s="125" t="s">
        <v>156</v>
      </c>
      <c r="F314" s="125" t="s">
        <v>156</v>
      </c>
      <c r="G314" s="129" t="str">
        <f>TEXT(GC[[#This Row],[Date]],"mmm-yy")</f>
        <v>Feb-25</v>
      </c>
      <c r="H314" s="129">
        <f>DAY(EOMONTH(GC[[#This Row],[Month Year]],0))</f>
        <v>28</v>
      </c>
      <c r="I314" s="132">
        <v>1</v>
      </c>
      <c r="J314" s="132" t="s">
        <v>390</v>
      </c>
      <c r="K314" s="132">
        <v>0</v>
      </c>
      <c r="L314" s="132">
        <v>0</v>
      </c>
      <c r="M314" s="132">
        <v>0</v>
      </c>
      <c r="N314" s="132">
        <v>0</v>
      </c>
      <c r="O314" s="132">
        <v>0</v>
      </c>
      <c r="P314" s="132">
        <v>0</v>
      </c>
      <c r="Q314" s="132">
        <v>0</v>
      </c>
      <c r="R314" s="132">
        <v>0</v>
      </c>
      <c r="S314" s="132">
        <v>0</v>
      </c>
      <c r="T314" s="132">
        <v>35</v>
      </c>
      <c r="U314" s="132">
        <v>0</v>
      </c>
      <c r="V314" s="132">
        <v>0</v>
      </c>
      <c r="W314" s="132">
        <v>0</v>
      </c>
      <c r="X314" s="132">
        <v>0</v>
      </c>
      <c r="Y314" s="4">
        <f>SUM(GC[[#This Row],[ICR1]:[ICR14]])</f>
        <v>35</v>
      </c>
      <c r="Z314" s="132" t="s">
        <v>390</v>
      </c>
      <c r="AA314" s="132" t="s">
        <v>428</v>
      </c>
    </row>
    <row r="315" spans="1:27">
      <c r="A315" s="132">
        <v>313</v>
      </c>
      <c r="B315" s="126">
        <f t="shared" si="4"/>
        <v>45695</v>
      </c>
      <c r="C315" s="209">
        <f>YEAR(GC[[#This Row],[Date]])+IF(MONTH(GC[[#This Row],[Date]])&gt;=4,1,0)</f>
        <v>2025</v>
      </c>
      <c r="D315" s="129">
        <f>YEAR(GC[[#This Row],[Date]])</f>
        <v>2025</v>
      </c>
      <c r="E315" s="125" t="s">
        <v>156</v>
      </c>
      <c r="F315" s="125" t="s">
        <v>156</v>
      </c>
      <c r="G315" s="129" t="str">
        <f>TEXT(GC[[#This Row],[Date]],"mmm-yy")</f>
        <v>Feb-25</v>
      </c>
      <c r="H315" s="129">
        <f>DAY(EOMONTH(GC[[#This Row],[Month Year]],0))</f>
        <v>28</v>
      </c>
      <c r="I315" s="132">
        <v>1</v>
      </c>
      <c r="J315" s="132" t="s">
        <v>390</v>
      </c>
      <c r="K315" s="132">
        <v>0</v>
      </c>
      <c r="L315" s="132">
        <v>0</v>
      </c>
      <c r="M315" s="132">
        <v>0</v>
      </c>
      <c r="N315" s="132">
        <v>0</v>
      </c>
      <c r="O315" s="132">
        <v>0</v>
      </c>
      <c r="P315" s="132">
        <v>0</v>
      </c>
      <c r="Q315" s="132">
        <v>0</v>
      </c>
      <c r="R315" s="132">
        <v>0</v>
      </c>
      <c r="S315" s="132">
        <v>0</v>
      </c>
      <c r="T315" s="132">
        <v>0</v>
      </c>
      <c r="U315" s="132">
        <v>38</v>
      </c>
      <c r="V315" s="132">
        <v>0</v>
      </c>
      <c r="W315" s="132">
        <v>0</v>
      </c>
      <c r="X315" s="132">
        <v>0</v>
      </c>
      <c r="Y315" s="4">
        <f>SUM(GC[[#This Row],[ICR1]:[ICR14]])</f>
        <v>38</v>
      </c>
      <c r="Z315" s="132" t="s">
        <v>390</v>
      </c>
      <c r="AA315" s="132" t="s">
        <v>427</v>
      </c>
    </row>
    <row r="316" spans="1:27">
      <c r="A316" s="132">
        <v>314</v>
      </c>
      <c r="B316" s="126">
        <f t="shared" si="4"/>
        <v>45696</v>
      </c>
      <c r="C316" s="209">
        <f>YEAR(GC[[#This Row],[Date]])+IF(MONTH(GC[[#This Row],[Date]])&gt;=4,1,0)</f>
        <v>2025</v>
      </c>
      <c r="D316" s="129">
        <f>YEAR(GC[[#This Row],[Date]])</f>
        <v>2025</v>
      </c>
      <c r="E316" s="125" t="s">
        <v>156</v>
      </c>
      <c r="F316" s="125" t="s">
        <v>156</v>
      </c>
      <c r="G316" s="129" t="str">
        <f>TEXT(GC[[#This Row],[Date]],"mmm-yy")</f>
        <v>Feb-25</v>
      </c>
      <c r="H316" s="129">
        <f>DAY(EOMONTH(GC[[#This Row],[Month Year]],0))</f>
        <v>28</v>
      </c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4">
        <f>SUM(GC[[#This Row],[ICR1]:[ICR14]])</f>
        <v>0</v>
      </c>
      <c r="Z316" s="132"/>
      <c r="AA316" s="132"/>
    </row>
    <row r="317" spans="1:27">
      <c r="A317" s="132">
        <v>315</v>
      </c>
      <c r="B317" s="126">
        <f t="shared" si="4"/>
        <v>45697</v>
      </c>
      <c r="C317" s="209">
        <f>YEAR(GC[[#This Row],[Date]])+IF(MONTH(GC[[#This Row],[Date]])&gt;=4,1,0)</f>
        <v>2025</v>
      </c>
      <c r="D317" s="129">
        <f>YEAR(GC[[#This Row],[Date]])</f>
        <v>2025</v>
      </c>
      <c r="E317" s="125" t="s">
        <v>156</v>
      </c>
      <c r="F317" s="125" t="s">
        <v>156</v>
      </c>
      <c r="G317" s="129" t="str">
        <f>TEXT(GC[[#This Row],[Date]],"mmm-yy")</f>
        <v>Feb-25</v>
      </c>
      <c r="H317" s="129">
        <f>DAY(EOMONTH(GC[[#This Row],[Month Year]],0))</f>
        <v>28</v>
      </c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4">
        <f>SUM(GC[[#This Row],[ICR1]:[ICR14]])</f>
        <v>0</v>
      </c>
      <c r="Z317" s="132"/>
      <c r="AA317" s="132"/>
    </row>
    <row r="318" spans="1:27">
      <c r="A318" s="132">
        <v>316</v>
      </c>
      <c r="B318" s="126">
        <f t="shared" si="4"/>
        <v>45698</v>
      </c>
      <c r="C318" s="209">
        <f>YEAR(GC[[#This Row],[Date]])+IF(MONTH(GC[[#This Row],[Date]])&gt;=4,1,0)</f>
        <v>2025</v>
      </c>
      <c r="D318" s="129">
        <f>YEAR(GC[[#This Row],[Date]])</f>
        <v>2025</v>
      </c>
      <c r="E318" s="125" t="s">
        <v>156</v>
      </c>
      <c r="F318" s="125" t="s">
        <v>156</v>
      </c>
      <c r="G318" s="129" t="str">
        <f>TEXT(GC[[#This Row],[Date]],"mmm-yy")</f>
        <v>Feb-25</v>
      </c>
      <c r="H318" s="129">
        <f>DAY(EOMONTH(GC[[#This Row],[Month Year]],0))</f>
        <v>28</v>
      </c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4">
        <f>SUM(GC[[#This Row],[ICR1]:[ICR14]])</f>
        <v>0</v>
      </c>
      <c r="Z318" s="132"/>
      <c r="AA318" s="132"/>
    </row>
    <row r="319" spans="1:27">
      <c r="A319" s="132">
        <v>317</v>
      </c>
      <c r="B319" s="126">
        <f t="shared" si="4"/>
        <v>45699</v>
      </c>
      <c r="C319" s="209">
        <f>YEAR(GC[[#This Row],[Date]])+IF(MONTH(GC[[#This Row],[Date]])&gt;=4,1,0)</f>
        <v>2025</v>
      </c>
      <c r="D319" s="129">
        <f>YEAR(GC[[#This Row],[Date]])</f>
        <v>2025</v>
      </c>
      <c r="E319" s="125" t="s">
        <v>156</v>
      </c>
      <c r="F319" s="125" t="s">
        <v>156</v>
      </c>
      <c r="G319" s="129" t="str">
        <f>TEXT(GC[[#This Row],[Date]],"mmm-yy")</f>
        <v>Feb-25</v>
      </c>
      <c r="H319" s="129">
        <f>DAY(EOMONTH(GC[[#This Row],[Month Year]],0))</f>
        <v>28</v>
      </c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4">
        <f>SUM(GC[[#This Row],[ICR1]:[ICR14]])</f>
        <v>0</v>
      </c>
      <c r="Z319" s="132"/>
      <c r="AA319" s="132"/>
    </row>
    <row r="320" spans="1:27">
      <c r="A320" s="132">
        <v>318</v>
      </c>
      <c r="B320" s="126">
        <f t="shared" si="4"/>
        <v>45700</v>
      </c>
      <c r="C320" s="209">
        <f>YEAR(GC[[#This Row],[Date]])+IF(MONTH(GC[[#This Row],[Date]])&gt;=4,1,0)</f>
        <v>2025</v>
      </c>
      <c r="D320" s="129">
        <f>YEAR(GC[[#This Row],[Date]])</f>
        <v>2025</v>
      </c>
      <c r="E320" s="125" t="s">
        <v>156</v>
      </c>
      <c r="F320" s="125" t="s">
        <v>156</v>
      </c>
      <c r="G320" s="129" t="str">
        <f>TEXT(GC[[#This Row],[Date]],"mmm-yy")</f>
        <v>Feb-25</v>
      </c>
      <c r="H320" s="129">
        <f>DAY(EOMONTH(GC[[#This Row],[Month Year]],0))</f>
        <v>28</v>
      </c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4">
        <f>SUM(GC[[#This Row],[ICR1]:[ICR14]])</f>
        <v>0</v>
      </c>
      <c r="Z320" s="132"/>
      <c r="AA320" s="132"/>
    </row>
    <row r="321" spans="1:27">
      <c r="A321" s="132">
        <v>319</v>
      </c>
      <c r="B321" s="126">
        <f t="shared" si="4"/>
        <v>45701</v>
      </c>
      <c r="C321" s="209">
        <f>YEAR(GC[[#This Row],[Date]])+IF(MONTH(GC[[#This Row],[Date]])&gt;=4,1,0)</f>
        <v>2025</v>
      </c>
      <c r="D321" s="129">
        <f>YEAR(GC[[#This Row],[Date]])</f>
        <v>2025</v>
      </c>
      <c r="E321" s="125" t="s">
        <v>156</v>
      </c>
      <c r="F321" s="125" t="s">
        <v>156</v>
      </c>
      <c r="G321" s="129" t="str">
        <f>TEXT(GC[[#This Row],[Date]],"mmm-yy")</f>
        <v>Feb-25</v>
      </c>
      <c r="H321" s="129">
        <f>DAY(EOMONTH(GC[[#This Row],[Month Year]],0))</f>
        <v>28</v>
      </c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4">
        <f>SUM(GC[[#This Row],[ICR1]:[ICR14]])</f>
        <v>0</v>
      </c>
      <c r="Z321" s="132"/>
      <c r="AA321" s="132"/>
    </row>
  </sheetData>
  <phoneticPr fontId="58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AU7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P7" sqref="AP7"/>
    </sheetView>
  </sheetViews>
  <sheetFormatPr defaultColWidth="8.81640625" defaultRowHeight="14.5"/>
  <cols>
    <col min="2" max="2" width="13.81640625" bestFit="1" customWidth="1"/>
    <col min="3" max="3" width="1.1796875" customWidth="1"/>
    <col min="5" max="5" width="1.453125" customWidth="1"/>
    <col min="7" max="7" width="1" customWidth="1"/>
    <col min="9" max="9" width="1.453125" customWidth="1"/>
    <col min="10" max="10" width="16" bestFit="1" customWidth="1"/>
    <col min="11" max="11" width="2.1796875" customWidth="1"/>
    <col min="12" max="12" width="18" bestFit="1" customWidth="1"/>
    <col min="14" max="14" width="18" style="2" bestFit="1" customWidth="1"/>
    <col min="15" max="15" width="10.453125" style="2" customWidth="1"/>
    <col min="16" max="16" width="9.453125" style="2" bestFit="1" customWidth="1"/>
    <col min="17" max="17" width="8.81640625" style="1"/>
    <col min="18" max="18" width="18.453125" style="2" customWidth="1"/>
    <col min="19" max="19" width="14.81640625" style="2" customWidth="1"/>
    <col min="20" max="20" width="8.81640625" style="2"/>
    <col min="21" max="21" width="8.81640625" style="1"/>
    <col min="22" max="22" width="9.1796875" style="1" bestFit="1" customWidth="1"/>
    <col min="24" max="24" width="25.453125" customWidth="1"/>
    <col min="28" max="28" width="17.453125" bestFit="1" customWidth="1"/>
    <col min="29" max="29" width="8.81640625" style="4"/>
    <col min="31" max="31" width="11.453125" bestFit="1" customWidth="1"/>
    <col min="32" max="32" width="13.81640625" bestFit="1" customWidth="1"/>
    <col min="33" max="33" width="12.453125" bestFit="1" customWidth="1"/>
    <col min="34" max="35" width="9.453125" bestFit="1" customWidth="1"/>
    <col min="36" max="36" width="10.81640625" bestFit="1" customWidth="1"/>
    <col min="39" max="39" width="9.453125" bestFit="1" customWidth="1"/>
    <col min="43" max="43" width="26" bestFit="1" customWidth="1"/>
  </cols>
  <sheetData>
    <row r="1" spans="2:47">
      <c r="B1" s="11" t="s">
        <v>433</v>
      </c>
      <c r="D1" s="11" t="s">
        <v>240</v>
      </c>
      <c r="F1" s="11" t="s">
        <v>312</v>
      </c>
      <c r="H1" s="11" t="s">
        <v>310</v>
      </c>
      <c r="J1" s="11" t="s">
        <v>434</v>
      </c>
      <c r="L1" s="11" t="s">
        <v>435</v>
      </c>
      <c r="N1" s="12" t="s">
        <v>435</v>
      </c>
      <c r="O1" s="12" t="s">
        <v>436</v>
      </c>
      <c r="P1" s="12" t="s">
        <v>143</v>
      </c>
      <c r="Q1" s="138" t="s">
        <v>437</v>
      </c>
      <c r="R1" s="12" t="s">
        <v>438</v>
      </c>
      <c r="S1" s="12" t="s">
        <v>439</v>
      </c>
      <c r="T1" s="12" t="s">
        <v>440</v>
      </c>
      <c r="U1" s="138" t="s">
        <v>441</v>
      </c>
      <c r="V1" s="138" t="s">
        <v>442</v>
      </c>
      <c r="X1" s="12" t="s">
        <v>443</v>
      </c>
      <c r="Z1" s="12" t="s">
        <v>153</v>
      </c>
      <c r="AB1" s="12" t="s">
        <v>444</v>
      </c>
      <c r="AE1" s="289" t="s">
        <v>436</v>
      </c>
      <c r="AF1" s="289" t="s">
        <v>445</v>
      </c>
      <c r="AG1" s="289" t="s">
        <v>446</v>
      </c>
      <c r="AH1" s="289" t="s">
        <v>447</v>
      </c>
      <c r="AI1" s="289" t="s">
        <v>448</v>
      </c>
      <c r="AJ1" s="289" t="s">
        <v>449</v>
      </c>
      <c r="AM1" s="289" t="s">
        <v>450</v>
      </c>
      <c r="AN1" s="289" t="s">
        <v>451</v>
      </c>
      <c r="AO1" s="289" t="s">
        <v>143</v>
      </c>
      <c r="AP1" s="289" t="s">
        <v>437</v>
      </c>
      <c r="AQ1" s="289" t="s">
        <v>438</v>
      </c>
    </row>
    <row r="2" spans="2:47">
      <c r="B2" t="s">
        <v>230</v>
      </c>
      <c r="D2" t="s">
        <v>231</v>
      </c>
      <c r="F2" t="s">
        <v>249</v>
      </c>
      <c r="H2" t="s">
        <v>273</v>
      </c>
      <c r="J2" t="s">
        <v>452</v>
      </c>
      <c r="L2" t="s">
        <v>453</v>
      </c>
      <c r="N2" s="2" t="s">
        <v>469</v>
      </c>
      <c r="O2" s="9" t="s">
        <v>622</v>
      </c>
      <c r="Q2" s="1">
        <f>2339.14</f>
        <v>2339.14</v>
      </c>
      <c r="R2" s="10">
        <f ca="1">Q2/$AC$4</f>
        <v>7.6342689295039165E-2</v>
      </c>
      <c r="S2" s="5">
        <f t="shared" ref="S2:S65" si="0">_xlfn.XLOOKUP(O2,AE:AE,AG:AG)</f>
        <v>0</v>
      </c>
      <c r="T2" s="1" t="s">
        <v>454</v>
      </c>
      <c r="U2" s="5" t="s">
        <v>455</v>
      </c>
      <c r="V2" s="1" t="s">
        <v>456</v>
      </c>
      <c r="X2" s="2" t="s">
        <v>312</v>
      </c>
      <c r="Z2" t="s">
        <v>457</v>
      </c>
      <c r="AE2" t="s">
        <v>622</v>
      </c>
      <c r="AH2">
        <v>19.45</v>
      </c>
      <c r="AI2">
        <v>29.05</v>
      </c>
      <c r="AJ2" s="217">
        <v>45688</v>
      </c>
      <c r="AM2" t="s">
        <v>458</v>
      </c>
      <c r="AP2" s="4">
        <v>0</v>
      </c>
      <c r="AQ2" s="210">
        <f>AP2/$AU$2</f>
        <v>0</v>
      </c>
      <c r="AT2" t="s">
        <v>459</v>
      </c>
      <c r="AU2">
        <v>100</v>
      </c>
    </row>
    <row r="3" spans="2:47">
      <c r="B3" t="s">
        <v>238</v>
      </c>
      <c r="D3" t="s">
        <v>236</v>
      </c>
      <c r="F3" t="s">
        <v>252</v>
      </c>
      <c r="H3" t="s">
        <v>280</v>
      </c>
      <c r="J3" t="s">
        <v>263</v>
      </c>
      <c r="L3" t="s">
        <v>460</v>
      </c>
      <c r="N3" s="2" t="s">
        <v>471</v>
      </c>
      <c r="O3" s="9" t="s">
        <v>622</v>
      </c>
      <c r="Q3" s="1">
        <v>2323.335</v>
      </c>
      <c r="R3" s="10">
        <f t="shared" ref="R3:R59" ca="1" si="1">Q3/$AC$4</f>
        <v>7.5826860313315925E-2</v>
      </c>
      <c r="S3" s="5">
        <f t="shared" si="0"/>
        <v>0</v>
      </c>
      <c r="T3" s="1" t="s">
        <v>454</v>
      </c>
      <c r="U3" s="5" t="s">
        <v>455</v>
      </c>
      <c r="V3" s="1" t="s">
        <v>456</v>
      </c>
      <c r="X3" s="2" t="s">
        <v>285</v>
      </c>
      <c r="Z3" t="s">
        <v>235</v>
      </c>
      <c r="AB3" t="s">
        <v>461</v>
      </c>
      <c r="AC3" s="4">
        <v>135000</v>
      </c>
      <c r="AE3" t="s">
        <v>623</v>
      </c>
      <c r="AF3" s="290"/>
      <c r="AH3">
        <v>7.53</v>
      </c>
      <c r="AI3" s="140">
        <v>10.165500000000002</v>
      </c>
      <c r="AJ3" s="217">
        <v>45688</v>
      </c>
      <c r="AM3" t="s">
        <v>462</v>
      </c>
      <c r="AP3" s="4">
        <v>100</v>
      </c>
      <c r="AQ3" s="210">
        <f t="shared" ref="AQ3:AQ5" si="2">AP3/$AU$2</f>
        <v>1</v>
      </c>
    </row>
    <row r="4" spans="2:47">
      <c r="B4" t="s">
        <v>239</v>
      </c>
      <c r="D4" t="s">
        <v>463</v>
      </c>
      <c r="F4" t="s">
        <v>256</v>
      </c>
      <c r="H4" t="s">
        <v>262</v>
      </c>
      <c r="J4" t="s">
        <v>293</v>
      </c>
      <c r="L4" t="s">
        <v>464</v>
      </c>
      <c r="N4" s="2" t="s">
        <v>473</v>
      </c>
      <c r="O4" s="9" t="s">
        <v>622</v>
      </c>
      <c r="Q4" s="1">
        <f>2339.14</f>
        <v>2339.14</v>
      </c>
      <c r="R4" s="10">
        <f t="shared" ca="1" si="1"/>
        <v>7.6342689295039165E-2</v>
      </c>
      <c r="S4" s="5">
        <f t="shared" si="0"/>
        <v>0</v>
      </c>
      <c r="T4" s="1" t="s">
        <v>454</v>
      </c>
      <c r="U4" s="5" t="s">
        <v>455</v>
      </c>
      <c r="V4" s="1" t="s">
        <v>456</v>
      </c>
      <c r="X4" s="2" t="s">
        <v>264</v>
      </c>
      <c r="AB4" t="s">
        <v>465</v>
      </c>
      <c r="AC4" s="4">
        <f ca="1">_xlfn.XLOOKUP(TODAY()-1,Input_Raw!$A:$A,Input_Raw!$BP:$BP)*1000</f>
        <v>30640</v>
      </c>
      <c r="AF4" s="290"/>
      <c r="AI4" s="140"/>
      <c r="AM4" t="s">
        <v>456</v>
      </c>
      <c r="AP4" s="4">
        <v>100</v>
      </c>
      <c r="AQ4" s="210">
        <f>AP4/$AU$2</f>
        <v>1</v>
      </c>
    </row>
    <row r="5" spans="2:47">
      <c r="B5" t="s">
        <v>654</v>
      </c>
      <c r="D5" t="s">
        <v>466</v>
      </c>
      <c r="F5" t="s">
        <v>258</v>
      </c>
      <c r="H5" t="s">
        <v>288</v>
      </c>
      <c r="J5" t="s">
        <v>284</v>
      </c>
      <c r="L5" t="s">
        <v>467</v>
      </c>
      <c r="N5" s="2" t="s">
        <v>476</v>
      </c>
      <c r="O5" s="9" t="s">
        <v>622</v>
      </c>
      <c r="Q5" s="1">
        <v>2323.335</v>
      </c>
      <c r="R5" s="10">
        <f t="shared" ca="1" si="1"/>
        <v>7.5826860313315925E-2</v>
      </c>
      <c r="S5" s="5">
        <f t="shared" si="0"/>
        <v>0</v>
      </c>
      <c r="T5" s="1" t="s">
        <v>454</v>
      </c>
      <c r="U5" s="5" t="s">
        <v>455</v>
      </c>
      <c r="V5" s="1" t="s">
        <v>456</v>
      </c>
      <c r="X5" s="2" t="s">
        <v>310</v>
      </c>
      <c r="AF5" s="290"/>
      <c r="AI5" s="140"/>
      <c r="AM5" t="s">
        <v>455</v>
      </c>
      <c r="AP5" s="4">
        <v>100</v>
      </c>
      <c r="AQ5" s="210">
        <f t="shared" si="2"/>
        <v>1</v>
      </c>
    </row>
    <row r="6" spans="2:47">
      <c r="H6" t="s">
        <v>297</v>
      </c>
      <c r="L6" t="s">
        <v>468</v>
      </c>
      <c r="N6" s="2" t="s">
        <v>478</v>
      </c>
      <c r="O6" s="9" t="s">
        <v>622</v>
      </c>
      <c r="Q6" s="1">
        <v>1627.915</v>
      </c>
      <c r="R6" s="10">
        <f t="shared" ca="1" si="1"/>
        <v>5.3130385117493469E-2</v>
      </c>
      <c r="S6" s="5">
        <f t="shared" si="0"/>
        <v>0</v>
      </c>
      <c r="T6" s="1" t="s">
        <v>454</v>
      </c>
      <c r="U6" s="5" t="s">
        <v>455</v>
      </c>
      <c r="V6" s="1" t="s">
        <v>456</v>
      </c>
      <c r="X6" s="2" t="s">
        <v>240</v>
      </c>
      <c r="AF6" s="290"/>
      <c r="AI6" s="140"/>
    </row>
    <row r="7" spans="2:47">
      <c r="H7" t="s">
        <v>267</v>
      </c>
      <c r="L7" t="s">
        <v>470</v>
      </c>
      <c r="N7" s="2" t="s">
        <v>480</v>
      </c>
      <c r="O7" s="9" t="s">
        <v>622</v>
      </c>
      <c r="Q7" s="1">
        <v>1627.915</v>
      </c>
      <c r="R7" s="10">
        <f t="shared" ca="1" si="1"/>
        <v>5.3130385117493469E-2</v>
      </c>
      <c r="S7" s="5">
        <f t="shared" si="0"/>
        <v>0</v>
      </c>
      <c r="T7" s="1" t="s">
        <v>454</v>
      </c>
      <c r="U7" s="5" t="s">
        <v>455</v>
      </c>
      <c r="V7" s="1" t="s">
        <v>456</v>
      </c>
      <c r="X7" s="2" t="s">
        <v>232</v>
      </c>
      <c r="AI7" s="140"/>
      <c r="AP7" s="4"/>
      <c r="AQ7" s="210"/>
    </row>
    <row r="8" spans="2:47">
      <c r="L8" t="s">
        <v>472</v>
      </c>
      <c r="N8" s="2" t="s">
        <v>482</v>
      </c>
      <c r="O8" s="9" t="s">
        <v>622</v>
      </c>
      <c r="Q8" s="1">
        <v>1627.915</v>
      </c>
      <c r="R8" s="10">
        <f t="shared" ca="1" si="1"/>
        <v>5.3130385117493469E-2</v>
      </c>
      <c r="S8" s="5">
        <f t="shared" si="0"/>
        <v>0</v>
      </c>
      <c r="T8" s="1" t="s">
        <v>454</v>
      </c>
      <c r="U8" s="5" t="s">
        <v>455</v>
      </c>
      <c r="V8" s="1" t="s">
        <v>456</v>
      </c>
      <c r="X8" s="2" t="s">
        <v>281</v>
      </c>
      <c r="AP8" s="4"/>
      <c r="AQ8" s="210"/>
    </row>
    <row r="9" spans="2:47">
      <c r="L9" t="s">
        <v>474</v>
      </c>
      <c r="N9" s="2" t="s">
        <v>485</v>
      </c>
      <c r="O9" s="9" t="s">
        <v>622</v>
      </c>
      <c r="Q9" s="1">
        <v>1627.915</v>
      </c>
      <c r="R9" s="10">
        <f t="shared" ca="1" si="1"/>
        <v>5.3130385117493469E-2</v>
      </c>
      <c r="S9" s="5">
        <f t="shared" si="0"/>
        <v>0</v>
      </c>
      <c r="T9" s="1" t="s">
        <v>454</v>
      </c>
      <c r="U9" s="5" t="s">
        <v>455</v>
      </c>
      <c r="V9" s="1" t="s">
        <v>456</v>
      </c>
      <c r="X9" s="2" t="s">
        <v>243</v>
      </c>
      <c r="AP9" s="4"/>
      <c r="AQ9" s="210"/>
    </row>
    <row r="10" spans="2:47">
      <c r="L10" t="s">
        <v>475</v>
      </c>
      <c r="N10" s="2" t="s">
        <v>487</v>
      </c>
      <c r="O10" s="9" t="s">
        <v>622</v>
      </c>
      <c r="Q10" s="1">
        <v>1627.915</v>
      </c>
      <c r="R10" s="10">
        <f t="shared" ca="1" si="1"/>
        <v>5.3130385117493469E-2</v>
      </c>
      <c r="S10" s="5">
        <f t="shared" si="0"/>
        <v>0</v>
      </c>
      <c r="T10" s="1" t="s">
        <v>454</v>
      </c>
      <c r="U10" s="5" t="s">
        <v>455</v>
      </c>
      <c r="V10" s="1" t="s">
        <v>456</v>
      </c>
      <c r="X10" s="2" t="s">
        <v>477</v>
      </c>
      <c r="AP10" s="4"/>
      <c r="AQ10" s="210"/>
    </row>
    <row r="11" spans="2:47">
      <c r="N11" s="2" t="s">
        <v>489</v>
      </c>
      <c r="O11" s="9" t="s">
        <v>622</v>
      </c>
      <c r="Q11" s="1">
        <v>1612.11</v>
      </c>
      <c r="R11" s="10">
        <f t="shared" ca="1" si="1"/>
        <v>5.2614556135770235E-2</v>
      </c>
      <c r="S11" s="5">
        <f t="shared" si="0"/>
        <v>0</v>
      </c>
      <c r="T11" s="1" t="s">
        <v>454</v>
      </c>
      <c r="U11" s="5" t="s">
        <v>455</v>
      </c>
      <c r="V11" s="1" t="s">
        <v>456</v>
      </c>
      <c r="X11" s="2" t="s">
        <v>479</v>
      </c>
      <c r="AP11" s="4"/>
      <c r="AQ11" s="210"/>
    </row>
    <row r="12" spans="2:47">
      <c r="N12" s="2" t="s">
        <v>607</v>
      </c>
      <c r="O12" s="9" t="s">
        <v>622</v>
      </c>
      <c r="Q12" s="1">
        <v>1627.915</v>
      </c>
      <c r="R12" s="10">
        <f t="shared" ca="1" si="1"/>
        <v>5.3130385117493469E-2</v>
      </c>
      <c r="S12" s="5">
        <f t="shared" si="0"/>
        <v>0</v>
      </c>
      <c r="T12" s="1" t="s">
        <v>454</v>
      </c>
      <c r="U12" s="5" t="s">
        <v>455</v>
      </c>
      <c r="V12" s="1" t="s">
        <v>456</v>
      </c>
      <c r="X12" s="2" t="s">
        <v>313</v>
      </c>
      <c r="AP12" s="4"/>
      <c r="AQ12" s="210"/>
    </row>
    <row r="13" spans="2:47">
      <c r="N13" s="2" t="s">
        <v>608</v>
      </c>
      <c r="O13" s="9" t="s">
        <v>622</v>
      </c>
      <c r="Q13" s="1">
        <v>1627.915</v>
      </c>
      <c r="R13" s="10">
        <f t="shared" ca="1" si="1"/>
        <v>5.3130385117493469E-2</v>
      </c>
      <c r="S13" s="5">
        <f t="shared" si="0"/>
        <v>0</v>
      </c>
      <c r="T13" s="1" t="s">
        <v>454</v>
      </c>
      <c r="U13" s="5" t="s">
        <v>455</v>
      </c>
      <c r="V13" s="1" t="s">
        <v>456</v>
      </c>
      <c r="X13" s="2" t="s">
        <v>481</v>
      </c>
    </row>
    <row r="14" spans="2:47">
      <c r="N14" s="2" t="s">
        <v>609</v>
      </c>
      <c r="O14" s="9" t="s">
        <v>622</v>
      </c>
      <c r="Q14" s="1">
        <v>1627.915</v>
      </c>
      <c r="R14" s="10">
        <f t="shared" ca="1" si="1"/>
        <v>5.3130385117493469E-2</v>
      </c>
      <c r="S14" s="5">
        <f t="shared" si="0"/>
        <v>0</v>
      </c>
      <c r="T14" s="1" t="s">
        <v>454</v>
      </c>
      <c r="U14" s="5" t="s">
        <v>455</v>
      </c>
      <c r="V14" s="1" t="s">
        <v>456</v>
      </c>
      <c r="X14" s="2" t="s">
        <v>483</v>
      </c>
      <c r="AE14" s="289" t="s">
        <v>484</v>
      </c>
      <c r="AF14" s="289"/>
      <c r="AG14" s="289"/>
      <c r="AH14" s="289">
        <f>SUM(AH2:AH13)</f>
        <v>26.98</v>
      </c>
      <c r="AI14" s="289">
        <f>SUM(AI2:AI13)</f>
        <v>39.215500000000006</v>
      </c>
      <c r="AJ14" s="289"/>
    </row>
    <row r="15" spans="2:47">
      <c r="N15" s="2" t="s">
        <v>621</v>
      </c>
      <c r="O15" s="9" t="s">
        <v>622</v>
      </c>
      <c r="Q15" s="1">
        <v>1627.915</v>
      </c>
      <c r="R15" s="10">
        <f t="shared" ca="1" si="1"/>
        <v>5.3130385117493469E-2</v>
      </c>
      <c r="S15" s="5">
        <f t="shared" si="0"/>
        <v>0</v>
      </c>
      <c r="T15" s="1" t="s">
        <v>454</v>
      </c>
      <c r="U15" s="5" t="s">
        <v>455</v>
      </c>
      <c r="V15" s="1" t="s">
        <v>456</v>
      </c>
      <c r="X15" s="2" t="s">
        <v>486</v>
      </c>
    </row>
    <row r="16" spans="2:47">
      <c r="N16" s="2" t="s">
        <v>491</v>
      </c>
      <c r="O16" s="9" t="s">
        <v>622</v>
      </c>
      <c r="Q16" s="1">
        <v>1643.7199999999998</v>
      </c>
      <c r="R16" s="10">
        <f t="shared" ca="1" si="1"/>
        <v>5.3646214099216702E-2</v>
      </c>
      <c r="S16" s="5">
        <f t="shared" si="0"/>
        <v>0</v>
      </c>
      <c r="T16" s="1" t="s">
        <v>454</v>
      </c>
      <c r="U16" s="5" t="s">
        <v>455</v>
      </c>
      <c r="V16" s="1" t="s">
        <v>456</v>
      </c>
      <c r="X16" s="2" t="s">
        <v>488</v>
      </c>
    </row>
    <row r="17" spans="14:39">
      <c r="N17" s="2" t="s">
        <v>493</v>
      </c>
      <c r="O17" s="9" t="s">
        <v>622</v>
      </c>
      <c r="Q17" s="1">
        <v>1627.9149999999997</v>
      </c>
      <c r="R17" s="10">
        <f t="shared" ca="1" si="1"/>
        <v>5.3130385117493462E-2</v>
      </c>
      <c r="S17" s="5">
        <f t="shared" si="0"/>
        <v>0</v>
      </c>
      <c r="T17" s="1" t="s">
        <v>454</v>
      </c>
      <c r="U17" s="5" t="s">
        <v>455</v>
      </c>
      <c r="V17" s="1" t="s">
        <v>456</v>
      </c>
      <c r="X17" s="2" t="s">
        <v>490</v>
      </c>
      <c r="AM17" s="215"/>
    </row>
    <row r="18" spans="14:39">
      <c r="N18" s="2" t="s">
        <v>495</v>
      </c>
      <c r="O18" s="9" t="s">
        <v>622</v>
      </c>
      <c r="Q18" s="1">
        <v>1276</v>
      </c>
      <c r="R18" s="10">
        <f t="shared" ca="1" si="1"/>
        <v>4.1644908616187991E-2</v>
      </c>
      <c r="S18" s="5">
        <f t="shared" si="0"/>
        <v>0</v>
      </c>
      <c r="T18" s="1" t="s">
        <v>454</v>
      </c>
      <c r="U18" s="5" t="s">
        <v>455</v>
      </c>
      <c r="V18" s="1" t="s">
        <v>456</v>
      </c>
      <c r="X18" s="2" t="s">
        <v>492</v>
      </c>
    </row>
    <row r="19" spans="14:39">
      <c r="N19" s="2" t="s">
        <v>610</v>
      </c>
      <c r="O19" s="9" t="s">
        <v>623</v>
      </c>
      <c r="Q19" s="1">
        <v>1276</v>
      </c>
      <c r="R19" s="10">
        <f t="shared" ca="1" si="1"/>
        <v>4.1644908616187991E-2</v>
      </c>
      <c r="S19" s="5">
        <f t="shared" si="0"/>
        <v>0</v>
      </c>
      <c r="T19" s="1" t="s">
        <v>454</v>
      </c>
      <c r="U19" s="5" t="s">
        <v>455</v>
      </c>
      <c r="V19" s="1" t="s">
        <v>456</v>
      </c>
      <c r="X19" s="2" t="s">
        <v>494</v>
      </c>
    </row>
    <row r="20" spans="14:39">
      <c r="N20" s="2" t="s">
        <v>611</v>
      </c>
      <c r="O20" s="9" t="s">
        <v>623</v>
      </c>
      <c r="Q20" s="1">
        <v>1276</v>
      </c>
      <c r="R20" s="10">
        <f t="shared" ca="1" si="1"/>
        <v>4.1644908616187991E-2</v>
      </c>
      <c r="S20" s="5">
        <f t="shared" si="0"/>
        <v>0</v>
      </c>
      <c r="T20" s="1" t="s">
        <v>454</v>
      </c>
      <c r="U20" s="5" t="s">
        <v>455</v>
      </c>
      <c r="V20" s="1" t="s">
        <v>456</v>
      </c>
      <c r="X20" s="2" t="s">
        <v>311</v>
      </c>
    </row>
    <row r="21" spans="14:39">
      <c r="N21" s="2" t="s">
        <v>612</v>
      </c>
      <c r="O21" s="9" t="s">
        <v>623</v>
      </c>
      <c r="Q21" s="1">
        <v>1276</v>
      </c>
      <c r="R21" s="10">
        <f t="shared" ca="1" si="1"/>
        <v>4.1644908616187991E-2</v>
      </c>
      <c r="S21" s="5">
        <f t="shared" si="0"/>
        <v>0</v>
      </c>
      <c r="T21" s="1" t="s">
        <v>454</v>
      </c>
      <c r="U21" s="5" t="s">
        <v>455</v>
      </c>
      <c r="V21" s="1" t="s">
        <v>456</v>
      </c>
      <c r="X21" s="2" t="s">
        <v>496</v>
      </c>
    </row>
    <row r="22" spans="14:39">
      <c r="N22" s="2" t="s">
        <v>613</v>
      </c>
      <c r="O22" s="9" t="s">
        <v>623</v>
      </c>
      <c r="Q22" s="1">
        <v>1276</v>
      </c>
      <c r="R22" s="10">
        <f t="shared" ca="1" si="1"/>
        <v>4.1644908616187991E-2</v>
      </c>
      <c r="S22" s="5">
        <f t="shared" si="0"/>
        <v>0</v>
      </c>
      <c r="T22" s="1" t="s">
        <v>454</v>
      </c>
      <c r="U22" s="5" t="s">
        <v>455</v>
      </c>
      <c r="V22" s="1" t="s">
        <v>456</v>
      </c>
    </row>
    <row r="23" spans="14:39">
      <c r="N23" s="2" t="s">
        <v>614</v>
      </c>
      <c r="O23" s="9" t="s">
        <v>623</v>
      </c>
      <c r="Q23" s="1">
        <v>1276</v>
      </c>
      <c r="R23" s="10">
        <f t="shared" ca="1" si="1"/>
        <v>4.1644908616187991E-2</v>
      </c>
      <c r="S23" s="5">
        <f t="shared" si="0"/>
        <v>0</v>
      </c>
      <c r="T23" s="1" t="s">
        <v>454</v>
      </c>
      <c r="U23" s="5" t="s">
        <v>455</v>
      </c>
      <c r="V23" s="1" t="s">
        <v>456</v>
      </c>
    </row>
    <row r="24" spans="14:39">
      <c r="N24" s="2" t="s">
        <v>615</v>
      </c>
      <c r="O24" s="9" t="s">
        <v>623</v>
      </c>
      <c r="Q24" s="1">
        <v>1276</v>
      </c>
      <c r="R24" s="10">
        <f t="shared" ca="1" si="1"/>
        <v>4.1644908616187991E-2</v>
      </c>
      <c r="S24" s="5">
        <f t="shared" si="0"/>
        <v>0</v>
      </c>
      <c r="T24" s="1" t="s">
        <v>454</v>
      </c>
      <c r="U24" s="5" t="s">
        <v>455</v>
      </c>
      <c r="V24" s="1" t="s">
        <v>456</v>
      </c>
    </row>
    <row r="25" spans="14:39">
      <c r="N25" s="2" t="s">
        <v>497</v>
      </c>
      <c r="O25" s="9" t="s">
        <v>622</v>
      </c>
      <c r="Q25" s="1">
        <v>252.88</v>
      </c>
      <c r="R25" s="10">
        <f t="shared" ca="1" si="1"/>
        <v>8.2532637075718018E-3</v>
      </c>
      <c r="S25" s="5">
        <f t="shared" si="0"/>
        <v>0</v>
      </c>
      <c r="T25" s="1" t="s">
        <v>454</v>
      </c>
      <c r="U25" s="5" t="s">
        <v>455</v>
      </c>
      <c r="V25" s="1" t="s">
        <v>456</v>
      </c>
    </row>
    <row r="26" spans="14:39">
      <c r="N26" s="2" t="s">
        <v>498</v>
      </c>
      <c r="O26" s="9" t="s">
        <v>622</v>
      </c>
      <c r="Q26" s="1">
        <v>252.88</v>
      </c>
      <c r="R26" s="10">
        <f t="shared" ca="1" si="1"/>
        <v>8.2532637075718018E-3</v>
      </c>
      <c r="S26" s="5">
        <f t="shared" si="0"/>
        <v>0</v>
      </c>
      <c r="T26" s="1" t="s">
        <v>454</v>
      </c>
      <c r="U26" s="5" t="s">
        <v>455</v>
      </c>
      <c r="V26" s="1" t="s">
        <v>456</v>
      </c>
    </row>
    <row r="27" spans="14:39">
      <c r="N27" s="2" t="s">
        <v>499</v>
      </c>
      <c r="O27" s="9" t="s">
        <v>622</v>
      </c>
      <c r="Q27" s="1">
        <v>252.88</v>
      </c>
      <c r="R27" s="10">
        <f t="shared" ca="1" si="1"/>
        <v>8.2532637075718018E-3</v>
      </c>
      <c r="S27" s="5">
        <f t="shared" si="0"/>
        <v>0</v>
      </c>
      <c r="T27" s="1" t="s">
        <v>454</v>
      </c>
      <c r="U27" s="5" t="s">
        <v>455</v>
      </c>
      <c r="V27" s="1" t="s">
        <v>456</v>
      </c>
    </row>
    <row r="28" spans="14:39">
      <c r="N28" s="2" t="s">
        <v>500</v>
      </c>
      <c r="O28" s="9" t="s">
        <v>622</v>
      </c>
      <c r="Q28" s="1">
        <v>266.22000000000003</v>
      </c>
      <c r="R28" s="10">
        <f t="shared" ca="1" si="1"/>
        <v>8.6886422976501319E-3</v>
      </c>
      <c r="S28" s="5">
        <f t="shared" si="0"/>
        <v>0</v>
      </c>
      <c r="T28" s="1" t="s">
        <v>454</v>
      </c>
      <c r="U28" s="5" t="s">
        <v>455</v>
      </c>
      <c r="V28" s="1" t="s">
        <v>456</v>
      </c>
    </row>
    <row r="29" spans="14:39">
      <c r="N29" s="2" t="s">
        <v>501</v>
      </c>
      <c r="O29" s="9" t="s">
        <v>622</v>
      </c>
      <c r="Q29" s="1">
        <v>266.22000000000003</v>
      </c>
      <c r="R29" s="10">
        <f t="shared" ca="1" si="1"/>
        <v>8.6886422976501319E-3</v>
      </c>
      <c r="S29" s="5">
        <f t="shared" si="0"/>
        <v>0</v>
      </c>
      <c r="T29" s="1" t="s">
        <v>454</v>
      </c>
      <c r="U29" s="5" t="s">
        <v>455</v>
      </c>
      <c r="V29" s="1" t="s">
        <v>456</v>
      </c>
    </row>
    <row r="30" spans="14:39">
      <c r="N30" s="2" t="s">
        <v>502</v>
      </c>
      <c r="O30" s="9" t="s">
        <v>622</v>
      </c>
      <c r="Q30" s="1">
        <v>266.22000000000003</v>
      </c>
      <c r="R30" s="10">
        <f t="shared" ca="1" si="1"/>
        <v>8.6886422976501319E-3</v>
      </c>
      <c r="S30" s="5">
        <f t="shared" si="0"/>
        <v>0</v>
      </c>
      <c r="T30" s="1" t="s">
        <v>454</v>
      </c>
      <c r="U30" s="5" t="s">
        <v>455</v>
      </c>
      <c r="V30" s="1" t="s">
        <v>456</v>
      </c>
    </row>
    <row r="31" spans="14:39">
      <c r="N31" s="2" t="s">
        <v>503</v>
      </c>
      <c r="O31" s="9" t="s">
        <v>622</v>
      </c>
      <c r="Q31" s="1">
        <v>266.22000000000003</v>
      </c>
      <c r="R31" s="10">
        <f t="shared" ca="1" si="1"/>
        <v>8.6886422976501319E-3</v>
      </c>
      <c r="S31" s="5">
        <f t="shared" si="0"/>
        <v>0</v>
      </c>
      <c r="T31" s="1" t="s">
        <v>454</v>
      </c>
      <c r="U31" s="5" t="s">
        <v>455</v>
      </c>
      <c r="V31" s="1" t="s">
        <v>456</v>
      </c>
    </row>
    <row r="32" spans="14:39">
      <c r="N32" s="2" t="s">
        <v>504</v>
      </c>
      <c r="O32" s="9" t="s">
        <v>622</v>
      </c>
      <c r="Q32" s="1">
        <v>266.22000000000003</v>
      </c>
      <c r="R32" s="10">
        <f t="shared" ca="1" si="1"/>
        <v>8.6886422976501319E-3</v>
      </c>
      <c r="S32" s="5">
        <f t="shared" si="0"/>
        <v>0</v>
      </c>
      <c r="T32" s="1" t="s">
        <v>454</v>
      </c>
      <c r="U32" s="5" t="s">
        <v>455</v>
      </c>
      <c r="V32" s="1" t="s">
        <v>456</v>
      </c>
    </row>
    <row r="33" spans="14:22">
      <c r="N33" s="2" t="s">
        <v>505</v>
      </c>
      <c r="O33" s="9" t="s">
        <v>622</v>
      </c>
      <c r="Q33" s="1">
        <v>268.685</v>
      </c>
      <c r="R33" s="10">
        <f t="shared" ca="1" si="1"/>
        <v>8.7690926892950386E-3</v>
      </c>
      <c r="S33" s="5">
        <f t="shared" si="0"/>
        <v>0</v>
      </c>
      <c r="T33" s="1" t="s">
        <v>454</v>
      </c>
      <c r="U33" s="5" t="s">
        <v>455</v>
      </c>
      <c r="V33" s="1" t="s">
        <v>456</v>
      </c>
    </row>
    <row r="34" spans="14:22">
      <c r="N34" s="2" t="s">
        <v>506</v>
      </c>
      <c r="O34" s="9" t="s">
        <v>622</v>
      </c>
      <c r="Q34" s="1">
        <v>252.88</v>
      </c>
      <c r="R34" s="10">
        <f t="shared" ca="1" si="1"/>
        <v>8.2532637075718018E-3</v>
      </c>
      <c r="S34" s="5">
        <f t="shared" si="0"/>
        <v>0</v>
      </c>
      <c r="T34" s="1" t="s">
        <v>454</v>
      </c>
      <c r="U34" s="5" t="s">
        <v>455</v>
      </c>
      <c r="V34" s="1" t="s">
        <v>456</v>
      </c>
    </row>
    <row r="35" spans="14:22">
      <c r="N35" s="2" t="s">
        <v>507</v>
      </c>
      <c r="O35" s="9" t="s">
        <v>622</v>
      </c>
      <c r="Q35" s="1">
        <v>252.88</v>
      </c>
      <c r="R35" s="10">
        <f t="shared" ca="1" si="1"/>
        <v>8.2532637075718018E-3</v>
      </c>
      <c r="S35" s="5">
        <f t="shared" si="0"/>
        <v>0</v>
      </c>
      <c r="T35" s="1" t="s">
        <v>454</v>
      </c>
      <c r="U35" s="5" t="s">
        <v>455</v>
      </c>
      <c r="V35" s="1" t="s">
        <v>456</v>
      </c>
    </row>
    <row r="36" spans="14:22">
      <c r="N36" s="2" t="s">
        <v>508</v>
      </c>
      <c r="O36" s="9" t="s">
        <v>622</v>
      </c>
      <c r="Q36" s="1">
        <v>268.685</v>
      </c>
      <c r="R36" s="10">
        <f t="shared" ca="1" si="1"/>
        <v>8.7690926892950386E-3</v>
      </c>
      <c r="S36" s="5">
        <f t="shared" si="0"/>
        <v>0</v>
      </c>
      <c r="T36" s="1" t="s">
        <v>454</v>
      </c>
      <c r="U36" s="5" t="s">
        <v>455</v>
      </c>
      <c r="V36" s="1" t="s">
        <v>456</v>
      </c>
    </row>
    <row r="37" spans="14:22">
      <c r="N37" s="2" t="s">
        <v>509</v>
      </c>
      <c r="O37" s="9" t="s">
        <v>622</v>
      </c>
      <c r="Q37" s="1">
        <v>252.88</v>
      </c>
      <c r="R37" s="10">
        <f t="shared" ca="1" si="1"/>
        <v>8.2532637075718018E-3</v>
      </c>
      <c r="S37" s="5">
        <f t="shared" si="0"/>
        <v>0</v>
      </c>
      <c r="T37" s="1" t="s">
        <v>454</v>
      </c>
      <c r="U37" s="5" t="s">
        <v>455</v>
      </c>
      <c r="V37" s="1" t="s">
        <v>456</v>
      </c>
    </row>
    <row r="38" spans="14:22">
      <c r="N38" s="2" t="s">
        <v>510</v>
      </c>
      <c r="O38" s="9" t="s">
        <v>622</v>
      </c>
      <c r="Q38" s="1">
        <v>252.88</v>
      </c>
      <c r="R38" s="10">
        <f t="shared" ca="1" si="1"/>
        <v>8.2532637075718018E-3</v>
      </c>
      <c r="S38" s="5">
        <f t="shared" si="0"/>
        <v>0</v>
      </c>
      <c r="T38" s="1" t="s">
        <v>454</v>
      </c>
      <c r="U38" s="5" t="s">
        <v>455</v>
      </c>
      <c r="V38" s="1" t="s">
        <v>456</v>
      </c>
    </row>
    <row r="39" spans="14:22">
      <c r="N39" s="2" t="s">
        <v>511</v>
      </c>
      <c r="O39" s="9" t="s">
        <v>622</v>
      </c>
      <c r="Q39" s="1">
        <v>252.88</v>
      </c>
      <c r="R39" s="10">
        <f t="shared" ca="1" si="1"/>
        <v>8.2532637075718018E-3</v>
      </c>
      <c r="S39" s="5">
        <f t="shared" si="0"/>
        <v>0</v>
      </c>
      <c r="T39" s="1" t="s">
        <v>454</v>
      </c>
      <c r="U39" s="5" t="s">
        <v>455</v>
      </c>
      <c r="V39" s="1" t="s">
        <v>456</v>
      </c>
    </row>
    <row r="40" spans="14:22">
      <c r="N40" s="2" t="s">
        <v>512</v>
      </c>
      <c r="O40" s="9" t="s">
        <v>622</v>
      </c>
      <c r="Q40" s="1">
        <v>252.88</v>
      </c>
      <c r="R40" s="10">
        <f t="shared" ca="1" si="1"/>
        <v>8.2532637075718018E-3</v>
      </c>
      <c r="S40" s="5">
        <f t="shared" si="0"/>
        <v>0</v>
      </c>
      <c r="T40" s="1" t="s">
        <v>454</v>
      </c>
      <c r="U40" s="5" t="s">
        <v>455</v>
      </c>
      <c r="V40" s="1" t="s">
        <v>456</v>
      </c>
    </row>
    <row r="41" spans="14:22">
      <c r="N41" s="2" t="s">
        <v>513</v>
      </c>
      <c r="O41" s="9" t="s">
        <v>622</v>
      </c>
      <c r="Q41" s="1">
        <v>252.88</v>
      </c>
      <c r="R41" s="10">
        <f t="shared" ca="1" si="1"/>
        <v>8.2532637075718018E-3</v>
      </c>
      <c r="S41" s="5">
        <f t="shared" si="0"/>
        <v>0</v>
      </c>
      <c r="T41" s="1" t="s">
        <v>454</v>
      </c>
      <c r="U41" s="5" t="s">
        <v>455</v>
      </c>
      <c r="V41" s="1" t="s">
        <v>456</v>
      </c>
    </row>
    <row r="42" spans="14:22">
      <c r="N42" s="2" t="s">
        <v>514</v>
      </c>
      <c r="O42" s="9" t="s">
        <v>622</v>
      </c>
      <c r="Q42" s="1">
        <v>252.88</v>
      </c>
      <c r="R42" s="10">
        <f t="shared" ca="1" si="1"/>
        <v>8.2532637075718018E-3</v>
      </c>
      <c r="S42" s="5">
        <f t="shared" si="0"/>
        <v>0</v>
      </c>
      <c r="T42" s="1" t="s">
        <v>454</v>
      </c>
      <c r="U42" s="5" t="s">
        <v>455</v>
      </c>
      <c r="V42" s="1" t="s">
        <v>456</v>
      </c>
    </row>
    <row r="43" spans="14:22">
      <c r="N43" s="2" t="s">
        <v>515</v>
      </c>
      <c r="O43" s="9" t="s">
        <v>622</v>
      </c>
      <c r="Q43" s="1">
        <v>268.685</v>
      </c>
      <c r="R43" s="10">
        <f t="shared" ca="1" si="1"/>
        <v>8.7690926892950386E-3</v>
      </c>
      <c r="S43" s="5">
        <f t="shared" si="0"/>
        <v>0</v>
      </c>
      <c r="T43" s="1" t="s">
        <v>454</v>
      </c>
      <c r="U43" s="5" t="s">
        <v>455</v>
      </c>
      <c r="V43" s="1" t="s">
        <v>456</v>
      </c>
    </row>
    <row r="44" spans="14:22">
      <c r="N44" s="2" t="s">
        <v>516</v>
      </c>
      <c r="O44" s="9" t="s">
        <v>622</v>
      </c>
      <c r="Q44" s="1">
        <v>252.88</v>
      </c>
      <c r="R44" s="10">
        <f t="shared" ca="1" si="1"/>
        <v>8.2532637075718018E-3</v>
      </c>
      <c r="S44" s="5">
        <f t="shared" si="0"/>
        <v>0</v>
      </c>
      <c r="T44" s="1" t="s">
        <v>454</v>
      </c>
      <c r="U44" s="5" t="s">
        <v>455</v>
      </c>
      <c r="V44" s="1" t="s">
        <v>456</v>
      </c>
    </row>
    <row r="45" spans="14:22">
      <c r="N45" s="2" t="s">
        <v>517</v>
      </c>
      <c r="O45" s="9" t="s">
        <v>622</v>
      </c>
      <c r="Q45" s="1">
        <v>252.88</v>
      </c>
      <c r="R45" s="10">
        <f t="shared" ca="1" si="1"/>
        <v>8.2532637075718018E-3</v>
      </c>
      <c r="S45" s="5">
        <f t="shared" si="0"/>
        <v>0</v>
      </c>
      <c r="T45" s="1" t="s">
        <v>454</v>
      </c>
      <c r="U45" s="5" t="s">
        <v>455</v>
      </c>
      <c r="V45" s="1" t="s">
        <v>456</v>
      </c>
    </row>
    <row r="46" spans="14:22">
      <c r="N46" s="2" t="s">
        <v>518</v>
      </c>
      <c r="O46" s="9" t="s">
        <v>622</v>
      </c>
      <c r="Q46" s="1">
        <v>252.88</v>
      </c>
      <c r="R46" s="10">
        <f t="shared" ca="1" si="1"/>
        <v>8.2532637075718018E-3</v>
      </c>
      <c r="S46" s="5">
        <f t="shared" si="0"/>
        <v>0</v>
      </c>
      <c r="T46" s="1" t="s">
        <v>454</v>
      </c>
      <c r="U46" s="5" t="s">
        <v>455</v>
      </c>
      <c r="V46" s="1" t="s">
        <v>456</v>
      </c>
    </row>
    <row r="47" spans="14:22">
      <c r="N47" s="2" t="s">
        <v>519</v>
      </c>
      <c r="O47" s="9" t="s">
        <v>622</v>
      </c>
      <c r="Q47" s="1">
        <v>252.88</v>
      </c>
      <c r="R47" s="10">
        <f t="shared" ca="1" si="1"/>
        <v>8.2532637075718018E-3</v>
      </c>
      <c r="S47" s="5">
        <f t="shared" si="0"/>
        <v>0</v>
      </c>
      <c r="T47" s="1" t="s">
        <v>454</v>
      </c>
      <c r="U47" s="5" t="s">
        <v>455</v>
      </c>
      <c r="V47" s="1" t="s">
        <v>456</v>
      </c>
    </row>
    <row r="48" spans="14:22">
      <c r="N48" s="2" t="s">
        <v>520</v>
      </c>
      <c r="O48" s="9" t="s">
        <v>622</v>
      </c>
      <c r="Q48" s="1">
        <v>252.88</v>
      </c>
      <c r="R48" s="10">
        <f t="shared" ca="1" si="1"/>
        <v>8.2532637075718018E-3</v>
      </c>
      <c r="S48" s="5">
        <f t="shared" si="0"/>
        <v>0</v>
      </c>
      <c r="T48" s="1" t="s">
        <v>454</v>
      </c>
      <c r="U48" s="5" t="s">
        <v>455</v>
      </c>
      <c r="V48" s="1" t="s">
        <v>456</v>
      </c>
    </row>
    <row r="49" spans="14:22">
      <c r="N49" s="2" t="s">
        <v>521</v>
      </c>
      <c r="O49" s="9" t="s">
        <v>622</v>
      </c>
      <c r="Q49" s="1">
        <v>268.685</v>
      </c>
      <c r="R49" s="10">
        <f t="shared" ca="1" si="1"/>
        <v>8.7690926892950386E-3</v>
      </c>
      <c r="S49" s="5">
        <f t="shared" si="0"/>
        <v>0</v>
      </c>
      <c r="T49" s="1" t="s">
        <v>454</v>
      </c>
      <c r="U49" s="5" t="s">
        <v>455</v>
      </c>
      <c r="V49" s="1" t="s">
        <v>456</v>
      </c>
    </row>
    <row r="50" spans="14:22">
      <c r="N50" s="2" t="s">
        <v>522</v>
      </c>
      <c r="O50" s="9" t="s">
        <v>622</v>
      </c>
      <c r="Q50" s="1">
        <v>268.685</v>
      </c>
      <c r="R50" s="10">
        <f t="shared" ca="1" si="1"/>
        <v>8.7690926892950386E-3</v>
      </c>
      <c r="S50" s="5">
        <f t="shared" si="0"/>
        <v>0</v>
      </c>
      <c r="T50" s="1" t="s">
        <v>454</v>
      </c>
      <c r="U50" s="5" t="s">
        <v>455</v>
      </c>
      <c r="V50" s="1" t="s">
        <v>456</v>
      </c>
    </row>
    <row r="51" spans="14:22">
      <c r="N51" s="2" t="s">
        <v>523</v>
      </c>
      <c r="O51" s="9" t="s">
        <v>622</v>
      </c>
      <c r="Q51" s="1">
        <v>268.685</v>
      </c>
      <c r="R51" s="10">
        <f t="shared" ca="1" si="1"/>
        <v>8.7690926892950386E-3</v>
      </c>
      <c r="S51" s="5">
        <f t="shared" si="0"/>
        <v>0</v>
      </c>
      <c r="T51" s="1" t="s">
        <v>454</v>
      </c>
      <c r="U51" s="5" t="s">
        <v>455</v>
      </c>
      <c r="V51" s="1" t="s">
        <v>456</v>
      </c>
    </row>
    <row r="52" spans="14:22">
      <c r="N52" s="2" t="s">
        <v>524</v>
      </c>
      <c r="O52" s="9" t="s">
        <v>622</v>
      </c>
      <c r="Q52" s="1">
        <v>252.88</v>
      </c>
      <c r="R52" s="10">
        <f t="shared" ca="1" si="1"/>
        <v>8.2532637075718018E-3</v>
      </c>
      <c r="S52" s="5">
        <f t="shared" si="0"/>
        <v>0</v>
      </c>
      <c r="T52" s="1" t="s">
        <v>454</v>
      </c>
      <c r="U52" s="5" t="s">
        <v>455</v>
      </c>
      <c r="V52" s="1" t="s">
        <v>456</v>
      </c>
    </row>
    <row r="53" spans="14:22">
      <c r="N53" s="2" t="s">
        <v>525</v>
      </c>
      <c r="O53" s="9" t="s">
        <v>622</v>
      </c>
      <c r="Q53" s="1">
        <v>252.88</v>
      </c>
      <c r="R53" s="10">
        <f t="shared" ca="1" si="1"/>
        <v>8.2532637075718018E-3</v>
      </c>
      <c r="S53" s="5">
        <f t="shared" si="0"/>
        <v>0</v>
      </c>
      <c r="T53" s="1" t="s">
        <v>454</v>
      </c>
      <c r="U53" s="5" t="s">
        <v>455</v>
      </c>
      <c r="V53" s="1" t="s">
        <v>456</v>
      </c>
    </row>
    <row r="54" spans="14:22">
      <c r="N54" s="2" t="s">
        <v>526</v>
      </c>
      <c r="O54" s="9" t="s">
        <v>622</v>
      </c>
      <c r="Q54" s="1">
        <v>252.88</v>
      </c>
      <c r="R54" s="10">
        <f t="shared" ca="1" si="1"/>
        <v>8.2532637075718018E-3</v>
      </c>
      <c r="S54" s="5">
        <f t="shared" si="0"/>
        <v>0</v>
      </c>
      <c r="T54" s="1" t="s">
        <v>454</v>
      </c>
      <c r="U54" s="5" t="s">
        <v>455</v>
      </c>
      <c r="V54" s="1" t="s">
        <v>456</v>
      </c>
    </row>
    <row r="55" spans="14:22">
      <c r="N55" s="2" t="s">
        <v>527</v>
      </c>
      <c r="O55" s="9" t="s">
        <v>622</v>
      </c>
      <c r="Q55" s="1">
        <v>252.88</v>
      </c>
      <c r="R55" s="10">
        <f t="shared" ca="1" si="1"/>
        <v>8.2532637075718018E-3</v>
      </c>
      <c r="S55" s="5">
        <f t="shared" si="0"/>
        <v>0</v>
      </c>
      <c r="T55" s="1" t="s">
        <v>454</v>
      </c>
      <c r="U55" s="5" t="s">
        <v>455</v>
      </c>
      <c r="V55" s="1" t="s">
        <v>456</v>
      </c>
    </row>
    <row r="56" spans="14:22">
      <c r="N56" s="2" t="s">
        <v>528</v>
      </c>
      <c r="O56" s="9" t="s">
        <v>622</v>
      </c>
      <c r="Q56" s="1">
        <v>252.88</v>
      </c>
      <c r="R56" s="10">
        <f t="shared" ca="1" si="1"/>
        <v>8.2532637075718018E-3</v>
      </c>
      <c r="S56" s="5">
        <f t="shared" si="0"/>
        <v>0</v>
      </c>
      <c r="T56" s="1" t="s">
        <v>454</v>
      </c>
      <c r="U56" s="5" t="s">
        <v>455</v>
      </c>
      <c r="V56" s="1" t="s">
        <v>456</v>
      </c>
    </row>
    <row r="57" spans="14:22">
      <c r="N57" s="2" t="s">
        <v>529</v>
      </c>
      <c r="O57" s="9" t="s">
        <v>622</v>
      </c>
      <c r="Q57" s="1">
        <v>252.88</v>
      </c>
      <c r="R57" s="10">
        <f t="shared" ca="1" si="1"/>
        <v>8.2532637075718018E-3</v>
      </c>
      <c r="S57" s="5">
        <f t="shared" si="0"/>
        <v>0</v>
      </c>
      <c r="T57" s="1" t="s">
        <v>454</v>
      </c>
      <c r="U57" s="5" t="s">
        <v>455</v>
      </c>
      <c r="V57" s="1" t="s">
        <v>456</v>
      </c>
    </row>
    <row r="58" spans="14:22">
      <c r="N58" s="2" t="s">
        <v>530</v>
      </c>
      <c r="O58" s="9" t="s">
        <v>622</v>
      </c>
      <c r="Q58" s="1">
        <v>268.685</v>
      </c>
      <c r="R58" s="10">
        <f t="shared" ca="1" si="1"/>
        <v>8.7690926892950386E-3</v>
      </c>
      <c r="S58" s="5">
        <f t="shared" si="0"/>
        <v>0</v>
      </c>
      <c r="T58" s="1" t="s">
        <v>454</v>
      </c>
      <c r="U58" s="5" t="s">
        <v>455</v>
      </c>
      <c r="V58" s="1" t="s">
        <v>456</v>
      </c>
    </row>
    <row r="59" spans="14:22">
      <c r="N59" s="2" t="s">
        <v>531</v>
      </c>
      <c r="O59" s="9" t="s">
        <v>622</v>
      </c>
      <c r="Q59" s="1">
        <v>268.685</v>
      </c>
      <c r="R59" s="10">
        <f t="shared" ca="1" si="1"/>
        <v>8.7690926892950386E-3</v>
      </c>
      <c r="S59" s="5">
        <f t="shared" si="0"/>
        <v>0</v>
      </c>
      <c r="T59" s="1" t="s">
        <v>454</v>
      </c>
      <c r="U59" s="5" t="s">
        <v>455</v>
      </c>
      <c r="V59" s="1" t="s">
        <v>456</v>
      </c>
    </row>
    <row r="60" spans="14:22">
      <c r="N60" s="2" t="s">
        <v>532</v>
      </c>
      <c r="O60" s="9" t="s">
        <v>622</v>
      </c>
      <c r="Q60" s="1">
        <v>268.685</v>
      </c>
      <c r="R60" s="10">
        <f t="shared" ref="R60:R123" ca="1" si="3">Q60/$AC$4</f>
        <v>8.7690926892950386E-3</v>
      </c>
      <c r="S60" s="5">
        <f t="shared" si="0"/>
        <v>0</v>
      </c>
      <c r="T60" s="1" t="s">
        <v>454</v>
      </c>
      <c r="U60" s="5" t="s">
        <v>455</v>
      </c>
      <c r="V60" s="1" t="s">
        <v>456</v>
      </c>
    </row>
    <row r="61" spans="14:22">
      <c r="N61" s="2" t="s">
        <v>533</v>
      </c>
      <c r="O61" s="9" t="s">
        <v>622</v>
      </c>
      <c r="Q61" s="1">
        <v>271.14999999999998</v>
      </c>
      <c r="R61" s="10">
        <f t="shared" ca="1" si="3"/>
        <v>8.8495430809399471E-3</v>
      </c>
      <c r="S61" s="5">
        <f t="shared" si="0"/>
        <v>0</v>
      </c>
      <c r="T61" s="1" t="s">
        <v>454</v>
      </c>
      <c r="U61" s="5" t="s">
        <v>455</v>
      </c>
      <c r="V61" s="1" t="s">
        <v>456</v>
      </c>
    </row>
    <row r="62" spans="14:22">
      <c r="N62" s="2" t="s">
        <v>534</v>
      </c>
      <c r="O62" s="9" t="s">
        <v>622</v>
      </c>
      <c r="Q62" s="1">
        <v>271.14999999999998</v>
      </c>
      <c r="R62" s="10">
        <f t="shared" ca="1" si="3"/>
        <v>8.8495430809399471E-3</v>
      </c>
      <c r="S62" s="5">
        <f t="shared" si="0"/>
        <v>0</v>
      </c>
      <c r="T62" s="1" t="s">
        <v>454</v>
      </c>
      <c r="U62" s="5" t="s">
        <v>455</v>
      </c>
      <c r="V62" s="1" t="s">
        <v>456</v>
      </c>
    </row>
    <row r="63" spans="14:22">
      <c r="N63" s="2" t="s">
        <v>535</v>
      </c>
      <c r="O63" s="9" t="s">
        <v>622</v>
      </c>
      <c r="Q63" s="1">
        <v>271.14999999999998</v>
      </c>
      <c r="R63" s="10">
        <f t="shared" ca="1" si="3"/>
        <v>8.8495430809399471E-3</v>
      </c>
      <c r="S63" s="5">
        <f t="shared" si="0"/>
        <v>0</v>
      </c>
      <c r="T63" s="1" t="s">
        <v>454</v>
      </c>
      <c r="U63" s="5" t="s">
        <v>455</v>
      </c>
      <c r="V63" s="1" t="s">
        <v>456</v>
      </c>
    </row>
    <row r="64" spans="14:22">
      <c r="N64" s="2" t="s">
        <v>536</v>
      </c>
      <c r="O64" s="9" t="s">
        <v>622</v>
      </c>
      <c r="Q64" s="1">
        <v>271.14999999999998</v>
      </c>
      <c r="R64" s="10">
        <f t="shared" ca="1" si="3"/>
        <v>8.8495430809399471E-3</v>
      </c>
      <c r="S64" s="5">
        <f t="shared" si="0"/>
        <v>0</v>
      </c>
      <c r="T64" s="1" t="s">
        <v>454</v>
      </c>
      <c r="U64" s="5" t="s">
        <v>455</v>
      </c>
      <c r="V64" s="1" t="s">
        <v>456</v>
      </c>
    </row>
    <row r="65" spans="14:22">
      <c r="N65" s="2" t="s">
        <v>537</v>
      </c>
      <c r="O65" s="9" t="s">
        <v>622</v>
      </c>
      <c r="Q65" s="1">
        <v>287.10000000000002</v>
      </c>
      <c r="R65" s="10">
        <f t="shared" ca="1" si="3"/>
        <v>9.3701044386422985E-3</v>
      </c>
      <c r="S65" s="5">
        <f t="shared" si="0"/>
        <v>0</v>
      </c>
      <c r="T65" s="1" t="s">
        <v>454</v>
      </c>
      <c r="U65" s="5" t="s">
        <v>455</v>
      </c>
      <c r="V65" s="1" t="s">
        <v>456</v>
      </c>
    </row>
    <row r="66" spans="14:22">
      <c r="N66" s="2" t="s">
        <v>538</v>
      </c>
      <c r="O66" s="9" t="s">
        <v>622</v>
      </c>
      <c r="Q66" s="1">
        <v>271.14999999999998</v>
      </c>
      <c r="R66" s="10">
        <f t="shared" ca="1" si="3"/>
        <v>8.8495430809399471E-3</v>
      </c>
      <c r="S66" s="5">
        <f t="shared" ref="S66:S129" si="4">_xlfn.XLOOKUP(O66,AE:AE,AG:AG)</f>
        <v>0</v>
      </c>
      <c r="T66" s="1" t="s">
        <v>454</v>
      </c>
      <c r="U66" s="5" t="s">
        <v>455</v>
      </c>
      <c r="V66" s="1" t="s">
        <v>456</v>
      </c>
    </row>
    <row r="67" spans="14:22">
      <c r="N67" s="2" t="s">
        <v>539</v>
      </c>
      <c r="O67" s="9" t="s">
        <v>622</v>
      </c>
      <c r="Q67" s="1">
        <v>271.14999999999998</v>
      </c>
      <c r="R67" s="10">
        <f t="shared" ca="1" si="3"/>
        <v>8.8495430809399471E-3</v>
      </c>
      <c r="S67" s="5">
        <f t="shared" si="4"/>
        <v>0</v>
      </c>
      <c r="T67" s="1" t="s">
        <v>454</v>
      </c>
      <c r="U67" s="5" t="s">
        <v>455</v>
      </c>
      <c r="V67" s="1" t="s">
        <v>456</v>
      </c>
    </row>
    <row r="68" spans="14:22">
      <c r="N68" s="2" t="s">
        <v>540</v>
      </c>
      <c r="O68" s="9" t="s">
        <v>622</v>
      </c>
      <c r="Q68" s="1">
        <v>271.14999999999998</v>
      </c>
      <c r="R68" s="10">
        <f t="shared" ca="1" si="3"/>
        <v>8.8495430809399471E-3</v>
      </c>
      <c r="S68" s="5">
        <f t="shared" si="4"/>
        <v>0</v>
      </c>
      <c r="T68" s="1" t="s">
        <v>454</v>
      </c>
      <c r="U68" s="5" t="s">
        <v>455</v>
      </c>
      <c r="V68" s="1" t="s">
        <v>456</v>
      </c>
    </row>
    <row r="69" spans="14:22">
      <c r="N69" s="2" t="s">
        <v>541</v>
      </c>
      <c r="O69" s="9" t="s">
        <v>622</v>
      </c>
      <c r="Q69" s="1">
        <v>271.14999999999998</v>
      </c>
      <c r="R69" s="10">
        <f t="shared" ca="1" si="3"/>
        <v>8.8495430809399471E-3</v>
      </c>
      <c r="S69" s="5">
        <f t="shared" si="4"/>
        <v>0</v>
      </c>
      <c r="T69" s="1" t="s">
        <v>454</v>
      </c>
      <c r="U69" s="5" t="s">
        <v>455</v>
      </c>
      <c r="V69" s="1" t="s">
        <v>456</v>
      </c>
    </row>
    <row r="70" spans="14:22">
      <c r="N70" s="2" t="s">
        <v>542</v>
      </c>
      <c r="O70" s="9" t="s">
        <v>622</v>
      </c>
      <c r="Q70" s="1">
        <v>271.14999999999998</v>
      </c>
      <c r="R70" s="10">
        <f t="shared" ca="1" si="3"/>
        <v>8.8495430809399471E-3</v>
      </c>
      <c r="S70" s="5">
        <f t="shared" si="4"/>
        <v>0</v>
      </c>
      <c r="T70" s="1" t="s">
        <v>454</v>
      </c>
      <c r="U70" s="5" t="s">
        <v>455</v>
      </c>
      <c r="V70" s="1" t="s">
        <v>456</v>
      </c>
    </row>
    <row r="71" spans="14:22">
      <c r="N71" s="2" t="s">
        <v>543</v>
      </c>
      <c r="O71" s="9" t="s">
        <v>622</v>
      </c>
      <c r="Q71" s="1">
        <v>287.10000000000002</v>
      </c>
      <c r="R71" s="10">
        <f t="shared" ca="1" si="3"/>
        <v>9.3701044386422985E-3</v>
      </c>
      <c r="S71" s="5">
        <f t="shared" si="4"/>
        <v>0</v>
      </c>
      <c r="T71" s="1" t="s">
        <v>454</v>
      </c>
      <c r="U71" s="5" t="s">
        <v>455</v>
      </c>
      <c r="V71" s="1" t="s">
        <v>456</v>
      </c>
    </row>
    <row r="72" spans="14:22">
      <c r="N72" s="2" t="s">
        <v>544</v>
      </c>
      <c r="O72" s="9" t="s">
        <v>622</v>
      </c>
      <c r="Q72" s="1">
        <v>271.14999999999998</v>
      </c>
      <c r="R72" s="10">
        <f t="shared" ca="1" si="3"/>
        <v>8.8495430809399471E-3</v>
      </c>
      <c r="S72" s="5">
        <f t="shared" si="4"/>
        <v>0</v>
      </c>
      <c r="T72" s="1" t="s">
        <v>454</v>
      </c>
      <c r="U72" s="5" t="s">
        <v>455</v>
      </c>
      <c r="V72" s="1" t="s">
        <v>456</v>
      </c>
    </row>
    <row r="73" spans="14:22">
      <c r="N73" s="2" t="s">
        <v>545</v>
      </c>
      <c r="O73" s="9" t="s">
        <v>622</v>
      </c>
      <c r="Q73" s="1">
        <v>271.14999999999998</v>
      </c>
      <c r="R73" s="10">
        <f t="shared" ca="1" si="3"/>
        <v>8.8495430809399471E-3</v>
      </c>
      <c r="S73" s="5">
        <f t="shared" si="4"/>
        <v>0</v>
      </c>
      <c r="T73" s="1" t="s">
        <v>454</v>
      </c>
      <c r="U73" s="5" t="s">
        <v>455</v>
      </c>
      <c r="V73" s="1" t="s">
        <v>456</v>
      </c>
    </row>
    <row r="74" spans="14:22">
      <c r="N74" s="2" t="s">
        <v>546</v>
      </c>
      <c r="O74" s="9" t="s">
        <v>622</v>
      </c>
      <c r="Q74" s="1">
        <v>271.14999999999998</v>
      </c>
      <c r="R74" s="10">
        <f t="shared" ca="1" si="3"/>
        <v>8.8495430809399471E-3</v>
      </c>
      <c r="S74" s="5">
        <f t="shared" si="4"/>
        <v>0</v>
      </c>
      <c r="T74" s="1" t="s">
        <v>454</v>
      </c>
      <c r="U74" s="5" t="s">
        <v>455</v>
      </c>
      <c r="V74" s="1" t="s">
        <v>456</v>
      </c>
    </row>
    <row r="75" spans="14:22">
      <c r="N75" s="2" t="s">
        <v>547</v>
      </c>
      <c r="O75" s="9" t="s">
        <v>622</v>
      </c>
      <c r="Q75" s="1">
        <v>271.14999999999998</v>
      </c>
      <c r="R75" s="10">
        <f t="shared" ca="1" si="3"/>
        <v>8.8495430809399471E-3</v>
      </c>
      <c r="S75" s="5">
        <f t="shared" si="4"/>
        <v>0</v>
      </c>
      <c r="T75" s="1" t="s">
        <v>454</v>
      </c>
      <c r="U75" s="5" t="s">
        <v>455</v>
      </c>
      <c r="V75" s="1" t="s">
        <v>456</v>
      </c>
    </row>
    <row r="76" spans="14:22">
      <c r="N76" s="2" t="s">
        <v>548</v>
      </c>
      <c r="O76" s="9" t="s">
        <v>622</v>
      </c>
      <c r="Q76" s="1">
        <v>271.14999999999998</v>
      </c>
      <c r="R76" s="10">
        <f t="shared" ca="1" si="3"/>
        <v>8.8495430809399471E-3</v>
      </c>
      <c r="S76" s="5">
        <f t="shared" si="4"/>
        <v>0</v>
      </c>
      <c r="T76" s="1" t="s">
        <v>454</v>
      </c>
      <c r="U76" s="5" t="s">
        <v>455</v>
      </c>
      <c r="V76" s="1" t="s">
        <v>456</v>
      </c>
    </row>
    <row r="77" spans="14:22">
      <c r="N77" s="2" t="s">
        <v>549</v>
      </c>
      <c r="O77" s="9" t="s">
        <v>622</v>
      </c>
      <c r="Q77" s="1">
        <v>271.14999999999998</v>
      </c>
      <c r="R77" s="10">
        <f t="shared" ca="1" si="3"/>
        <v>8.8495430809399471E-3</v>
      </c>
      <c r="S77" s="5">
        <f t="shared" si="4"/>
        <v>0</v>
      </c>
      <c r="T77" s="1" t="s">
        <v>454</v>
      </c>
      <c r="U77" s="5" t="s">
        <v>455</v>
      </c>
      <c r="V77" s="1" t="s">
        <v>456</v>
      </c>
    </row>
    <row r="78" spans="14:22">
      <c r="N78" s="2" t="s">
        <v>550</v>
      </c>
      <c r="O78" s="9" t="s">
        <v>622</v>
      </c>
      <c r="Q78" s="1">
        <v>287.10000000000002</v>
      </c>
      <c r="R78" s="10">
        <f t="shared" ca="1" si="3"/>
        <v>9.3701044386422985E-3</v>
      </c>
      <c r="S78" s="5">
        <f t="shared" si="4"/>
        <v>0</v>
      </c>
      <c r="T78" s="1" t="s">
        <v>454</v>
      </c>
      <c r="U78" s="5" t="s">
        <v>455</v>
      </c>
      <c r="V78" s="1" t="s">
        <v>456</v>
      </c>
    </row>
    <row r="79" spans="14:22">
      <c r="N79" s="2" t="s">
        <v>551</v>
      </c>
      <c r="O79" s="9" t="s">
        <v>622</v>
      </c>
      <c r="Q79" s="1">
        <v>271.14999999999998</v>
      </c>
      <c r="R79" s="10">
        <f t="shared" ca="1" si="3"/>
        <v>8.8495430809399471E-3</v>
      </c>
      <c r="S79" s="5">
        <f t="shared" si="4"/>
        <v>0</v>
      </c>
      <c r="T79" s="1" t="s">
        <v>454</v>
      </c>
      <c r="U79" s="5" t="s">
        <v>455</v>
      </c>
      <c r="V79" s="1" t="s">
        <v>456</v>
      </c>
    </row>
    <row r="80" spans="14:22">
      <c r="N80" s="2" t="s">
        <v>552</v>
      </c>
      <c r="O80" s="9" t="s">
        <v>622</v>
      </c>
      <c r="Q80" s="1">
        <v>271.14999999999998</v>
      </c>
      <c r="R80" s="10">
        <f t="shared" ca="1" si="3"/>
        <v>8.8495430809399471E-3</v>
      </c>
      <c r="S80" s="5">
        <f t="shared" si="4"/>
        <v>0</v>
      </c>
      <c r="T80" s="1" t="s">
        <v>454</v>
      </c>
      <c r="U80" s="5" t="s">
        <v>455</v>
      </c>
      <c r="V80" s="1" t="s">
        <v>456</v>
      </c>
    </row>
    <row r="81" spans="14:22">
      <c r="N81" s="2" t="s">
        <v>553</v>
      </c>
      <c r="O81" s="9" t="s">
        <v>622</v>
      </c>
      <c r="Q81" s="1">
        <v>287.10000000000002</v>
      </c>
      <c r="R81" s="10">
        <f t="shared" ca="1" si="3"/>
        <v>9.3701044386422985E-3</v>
      </c>
      <c r="S81" s="5">
        <f t="shared" si="4"/>
        <v>0</v>
      </c>
      <c r="T81" s="1" t="s">
        <v>454</v>
      </c>
      <c r="U81" s="5" t="s">
        <v>455</v>
      </c>
      <c r="V81" s="1" t="s">
        <v>456</v>
      </c>
    </row>
    <row r="82" spans="14:22">
      <c r="N82" s="2" t="s">
        <v>554</v>
      </c>
      <c r="O82" s="9" t="s">
        <v>622</v>
      </c>
      <c r="Q82" s="1">
        <v>271.14999999999998</v>
      </c>
      <c r="R82" s="10">
        <f t="shared" ca="1" si="3"/>
        <v>8.8495430809399471E-3</v>
      </c>
      <c r="S82" s="5">
        <f t="shared" si="4"/>
        <v>0</v>
      </c>
      <c r="T82" s="1" t="s">
        <v>454</v>
      </c>
      <c r="U82" s="5" t="s">
        <v>455</v>
      </c>
      <c r="V82" s="1" t="s">
        <v>456</v>
      </c>
    </row>
    <row r="83" spans="14:22">
      <c r="N83" s="2" t="s">
        <v>555</v>
      </c>
      <c r="O83" s="9" t="s">
        <v>622</v>
      </c>
      <c r="Q83" s="1">
        <v>271.14999999999998</v>
      </c>
      <c r="R83" s="10">
        <f t="shared" ca="1" si="3"/>
        <v>8.8495430809399471E-3</v>
      </c>
      <c r="S83" s="5">
        <f t="shared" si="4"/>
        <v>0</v>
      </c>
      <c r="T83" s="1" t="s">
        <v>454</v>
      </c>
      <c r="U83" s="5" t="s">
        <v>455</v>
      </c>
      <c r="V83" s="1" t="s">
        <v>456</v>
      </c>
    </row>
    <row r="84" spans="14:22">
      <c r="N84" s="2" t="s">
        <v>556</v>
      </c>
      <c r="O84" s="9" t="s">
        <v>622</v>
      </c>
      <c r="Q84" s="1">
        <v>255.2</v>
      </c>
      <c r="R84" s="10">
        <f t="shared" ca="1" si="3"/>
        <v>8.3289817232375975E-3</v>
      </c>
      <c r="S84" s="5">
        <f t="shared" si="4"/>
        <v>0</v>
      </c>
      <c r="T84" s="1" t="s">
        <v>454</v>
      </c>
      <c r="U84" s="5" t="s">
        <v>455</v>
      </c>
      <c r="V84" s="1" t="s">
        <v>456</v>
      </c>
    </row>
    <row r="85" spans="14:22">
      <c r="N85" s="2" t="s">
        <v>655</v>
      </c>
      <c r="O85" s="9" t="s">
        <v>622</v>
      </c>
      <c r="Q85" s="1">
        <v>271.14999999999998</v>
      </c>
      <c r="R85" s="10">
        <f t="shared" ca="1" si="3"/>
        <v>8.8495430809399471E-3</v>
      </c>
      <c r="S85" s="5">
        <f t="shared" si="4"/>
        <v>0</v>
      </c>
      <c r="T85" s="1" t="s">
        <v>454</v>
      </c>
      <c r="U85" s="5" t="s">
        <v>455</v>
      </c>
      <c r="V85" s="1" t="s">
        <v>456</v>
      </c>
    </row>
    <row r="86" spans="14:22">
      <c r="N86" s="2" t="s">
        <v>656</v>
      </c>
      <c r="O86" s="9" t="s">
        <v>622</v>
      </c>
      <c r="Q86" s="1">
        <v>271.14999999999998</v>
      </c>
      <c r="R86" s="10">
        <f t="shared" ca="1" si="3"/>
        <v>8.8495430809399471E-3</v>
      </c>
      <c r="S86" s="5">
        <f t="shared" si="4"/>
        <v>0</v>
      </c>
      <c r="T86" s="1" t="s">
        <v>454</v>
      </c>
      <c r="U86" s="5" t="s">
        <v>455</v>
      </c>
      <c r="V86" s="1" t="s">
        <v>456</v>
      </c>
    </row>
    <row r="87" spans="14:22">
      <c r="N87" s="2" t="s">
        <v>657</v>
      </c>
      <c r="O87" s="9" t="s">
        <v>622</v>
      </c>
      <c r="Q87" s="1">
        <v>271.14999999999998</v>
      </c>
      <c r="R87" s="10">
        <f t="shared" ca="1" si="3"/>
        <v>8.8495430809399471E-3</v>
      </c>
      <c r="S87" s="5">
        <f t="shared" si="4"/>
        <v>0</v>
      </c>
      <c r="T87" s="1" t="s">
        <v>454</v>
      </c>
      <c r="U87" s="5" t="s">
        <v>455</v>
      </c>
      <c r="V87" s="1" t="s">
        <v>456</v>
      </c>
    </row>
    <row r="88" spans="14:22">
      <c r="N88" s="2" t="s">
        <v>658</v>
      </c>
      <c r="O88" s="9" t="s">
        <v>622</v>
      </c>
      <c r="Q88" s="1">
        <v>287.10000000000002</v>
      </c>
      <c r="R88" s="10">
        <f t="shared" ca="1" si="3"/>
        <v>9.3701044386422985E-3</v>
      </c>
      <c r="S88" s="5">
        <f t="shared" si="4"/>
        <v>0</v>
      </c>
      <c r="T88" s="1" t="s">
        <v>454</v>
      </c>
      <c r="U88" s="5" t="s">
        <v>455</v>
      </c>
      <c r="V88" s="1" t="s">
        <v>456</v>
      </c>
    </row>
    <row r="89" spans="14:22">
      <c r="N89" s="2" t="s">
        <v>659</v>
      </c>
      <c r="O89" s="9" t="s">
        <v>622</v>
      </c>
      <c r="Q89" s="1">
        <v>271.14999999999998</v>
      </c>
      <c r="R89" s="10">
        <f t="shared" ca="1" si="3"/>
        <v>8.8495430809399471E-3</v>
      </c>
      <c r="S89" s="5">
        <f t="shared" si="4"/>
        <v>0</v>
      </c>
      <c r="T89" s="1" t="s">
        <v>454</v>
      </c>
      <c r="U89" s="5" t="s">
        <v>455</v>
      </c>
      <c r="V89" s="1" t="s">
        <v>456</v>
      </c>
    </row>
    <row r="90" spans="14:22">
      <c r="N90" s="2" t="s">
        <v>660</v>
      </c>
      <c r="O90" s="9" t="s">
        <v>622</v>
      </c>
      <c r="Q90" s="1">
        <v>271.14999999999998</v>
      </c>
      <c r="R90" s="10">
        <f t="shared" ca="1" si="3"/>
        <v>8.8495430809399471E-3</v>
      </c>
      <c r="S90" s="5">
        <f t="shared" si="4"/>
        <v>0</v>
      </c>
      <c r="T90" s="1" t="s">
        <v>454</v>
      </c>
      <c r="U90" s="5" t="s">
        <v>455</v>
      </c>
      <c r="V90" s="1" t="s">
        <v>456</v>
      </c>
    </row>
    <row r="91" spans="14:22">
      <c r="N91" s="2" t="s">
        <v>661</v>
      </c>
      <c r="O91" s="9" t="s">
        <v>622</v>
      </c>
      <c r="Q91" s="1">
        <v>271.14999999999998</v>
      </c>
      <c r="R91" s="10">
        <f t="shared" ca="1" si="3"/>
        <v>8.8495430809399471E-3</v>
      </c>
      <c r="S91" s="5">
        <f t="shared" si="4"/>
        <v>0</v>
      </c>
      <c r="T91" s="1" t="s">
        <v>454</v>
      </c>
      <c r="U91" s="5" t="s">
        <v>455</v>
      </c>
      <c r="V91" s="1" t="s">
        <v>456</v>
      </c>
    </row>
    <row r="92" spans="14:22">
      <c r="N92" s="2" t="s">
        <v>662</v>
      </c>
      <c r="O92" s="9" t="s">
        <v>622</v>
      </c>
      <c r="Q92" s="1">
        <v>287.10000000000002</v>
      </c>
      <c r="R92" s="10">
        <f t="shared" ca="1" si="3"/>
        <v>9.3701044386422985E-3</v>
      </c>
      <c r="S92" s="5">
        <f t="shared" si="4"/>
        <v>0</v>
      </c>
      <c r="T92" s="1" t="s">
        <v>454</v>
      </c>
      <c r="U92" s="5" t="s">
        <v>455</v>
      </c>
      <c r="V92" s="1" t="s">
        <v>456</v>
      </c>
    </row>
    <row r="93" spans="14:22">
      <c r="N93" s="2" t="s">
        <v>663</v>
      </c>
      <c r="O93" s="9" t="s">
        <v>622</v>
      </c>
      <c r="Q93" s="1">
        <v>271.14999999999998</v>
      </c>
      <c r="R93" s="10">
        <f t="shared" ca="1" si="3"/>
        <v>8.8495430809399471E-3</v>
      </c>
      <c r="S93" s="5">
        <f t="shared" si="4"/>
        <v>0</v>
      </c>
      <c r="T93" s="1" t="s">
        <v>454</v>
      </c>
      <c r="U93" s="5" t="s">
        <v>455</v>
      </c>
      <c r="V93" s="1" t="s">
        <v>456</v>
      </c>
    </row>
    <row r="94" spans="14:22">
      <c r="N94" s="2" t="s">
        <v>664</v>
      </c>
      <c r="O94" s="9" t="s">
        <v>622</v>
      </c>
      <c r="Q94" s="1">
        <v>271.14999999999998</v>
      </c>
      <c r="R94" s="10">
        <f t="shared" ca="1" si="3"/>
        <v>8.8495430809399471E-3</v>
      </c>
      <c r="S94" s="5">
        <f t="shared" si="4"/>
        <v>0</v>
      </c>
      <c r="T94" s="1" t="s">
        <v>454</v>
      </c>
      <c r="U94" s="5" t="s">
        <v>455</v>
      </c>
      <c r="V94" s="1" t="s">
        <v>456</v>
      </c>
    </row>
    <row r="95" spans="14:22">
      <c r="N95" s="2" t="s">
        <v>665</v>
      </c>
      <c r="O95" s="9" t="s">
        <v>622</v>
      </c>
      <c r="Q95" s="1">
        <v>271.14999999999998</v>
      </c>
      <c r="R95" s="10">
        <f t="shared" ca="1" si="3"/>
        <v>8.8495430809399471E-3</v>
      </c>
      <c r="S95" s="5">
        <f t="shared" si="4"/>
        <v>0</v>
      </c>
      <c r="T95" s="1" t="s">
        <v>454</v>
      </c>
      <c r="U95" s="5" t="s">
        <v>455</v>
      </c>
      <c r="V95" s="1" t="s">
        <v>456</v>
      </c>
    </row>
    <row r="96" spans="14:22">
      <c r="N96" s="2" t="s">
        <v>666</v>
      </c>
      <c r="O96" s="9" t="s">
        <v>622</v>
      </c>
      <c r="Q96" s="1">
        <v>271.14999999999998</v>
      </c>
      <c r="R96" s="10">
        <f t="shared" ca="1" si="3"/>
        <v>8.8495430809399471E-3</v>
      </c>
      <c r="S96" s="5">
        <f t="shared" si="4"/>
        <v>0</v>
      </c>
      <c r="T96" s="1" t="s">
        <v>454</v>
      </c>
      <c r="U96" s="5" t="s">
        <v>455</v>
      </c>
      <c r="V96" s="1" t="s">
        <v>456</v>
      </c>
    </row>
    <row r="97" spans="14:22">
      <c r="N97" s="2" t="s">
        <v>667</v>
      </c>
      <c r="O97" s="9" t="s">
        <v>622</v>
      </c>
      <c r="Q97" s="1">
        <v>271.14999999999998</v>
      </c>
      <c r="R97" s="10">
        <f t="shared" ca="1" si="3"/>
        <v>8.8495430809399471E-3</v>
      </c>
      <c r="S97" s="5">
        <f t="shared" si="4"/>
        <v>0</v>
      </c>
      <c r="T97" s="1" t="s">
        <v>454</v>
      </c>
      <c r="U97" s="5" t="s">
        <v>455</v>
      </c>
      <c r="V97" s="1" t="s">
        <v>456</v>
      </c>
    </row>
    <row r="98" spans="14:22">
      <c r="N98" s="2" t="s">
        <v>668</v>
      </c>
      <c r="O98" s="9" t="s">
        <v>622</v>
      </c>
      <c r="Q98" s="1">
        <v>271.14999999999998</v>
      </c>
      <c r="R98" s="10">
        <f t="shared" ca="1" si="3"/>
        <v>8.8495430809399471E-3</v>
      </c>
      <c r="S98" s="5">
        <f t="shared" si="4"/>
        <v>0</v>
      </c>
      <c r="T98" s="1" t="s">
        <v>454</v>
      </c>
      <c r="U98" s="5" t="s">
        <v>455</v>
      </c>
      <c r="V98" s="1" t="s">
        <v>456</v>
      </c>
    </row>
    <row r="99" spans="14:22">
      <c r="N99" s="2" t="s">
        <v>669</v>
      </c>
      <c r="O99" s="9" t="s">
        <v>622</v>
      </c>
      <c r="Q99" s="1">
        <v>271.14999999999998</v>
      </c>
      <c r="R99" s="10">
        <f t="shared" ca="1" si="3"/>
        <v>8.8495430809399471E-3</v>
      </c>
      <c r="S99" s="5">
        <f t="shared" si="4"/>
        <v>0</v>
      </c>
      <c r="T99" s="1" t="s">
        <v>454</v>
      </c>
      <c r="U99" s="5" t="s">
        <v>455</v>
      </c>
      <c r="V99" s="1" t="s">
        <v>456</v>
      </c>
    </row>
    <row r="100" spans="14:22">
      <c r="N100" s="2" t="s">
        <v>670</v>
      </c>
      <c r="O100" s="9" t="s">
        <v>622</v>
      </c>
      <c r="Q100" s="1">
        <v>287.10000000000002</v>
      </c>
      <c r="R100" s="10">
        <f t="shared" ca="1" si="3"/>
        <v>9.3701044386422985E-3</v>
      </c>
      <c r="S100" s="5">
        <f t="shared" si="4"/>
        <v>0</v>
      </c>
      <c r="T100" s="1" t="s">
        <v>454</v>
      </c>
      <c r="U100" s="5" t="s">
        <v>455</v>
      </c>
      <c r="V100" s="1" t="s">
        <v>456</v>
      </c>
    </row>
    <row r="101" spans="14:22">
      <c r="N101" s="2" t="s">
        <v>671</v>
      </c>
      <c r="O101" s="9" t="s">
        <v>622</v>
      </c>
      <c r="Q101" s="1">
        <v>271.14999999999998</v>
      </c>
      <c r="R101" s="10">
        <f t="shared" ca="1" si="3"/>
        <v>8.8495430809399471E-3</v>
      </c>
      <c r="S101" s="5">
        <f t="shared" si="4"/>
        <v>0</v>
      </c>
      <c r="T101" s="1" t="s">
        <v>454</v>
      </c>
      <c r="U101" s="5" t="s">
        <v>455</v>
      </c>
      <c r="V101" s="1" t="s">
        <v>456</v>
      </c>
    </row>
    <row r="102" spans="14:22">
      <c r="N102" s="2" t="s">
        <v>672</v>
      </c>
      <c r="O102" s="9" t="s">
        <v>622</v>
      </c>
      <c r="Q102" s="1">
        <v>271.14999999999998</v>
      </c>
      <c r="R102" s="10">
        <f t="shared" ca="1" si="3"/>
        <v>8.8495430809399471E-3</v>
      </c>
      <c r="S102" s="5">
        <f t="shared" si="4"/>
        <v>0</v>
      </c>
      <c r="T102" s="1" t="s">
        <v>454</v>
      </c>
      <c r="U102" s="5" t="s">
        <v>455</v>
      </c>
      <c r="V102" s="1" t="s">
        <v>456</v>
      </c>
    </row>
    <row r="103" spans="14:22">
      <c r="N103" s="2" t="s">
        <v>673</v>
      </c>
      <c r="O103" s="9" t="s">
        <v>622</v>
      </c>
      <c r="Q103" s="1">
        <v>271.14999999999998</v>
      </c>
      <c r="R103" s="10">
        <f t="shared" ca="1" si="3"/>
        <v>8.8495430809399471E-3</v>
      </c>
      <c r="S103" s="5">
        <f t="shared" si="4"/>
        <v>0</v>
      </c>
      <c r="T103" s="1" t="s">
        <v>454</v>
      </c>
      <c r="U103" s="5" t="s">
        <v>455</v>
      </c>
      <c r="V103" s="1" t="s">
        <v>456</v>
      </c>
    </row>
    <row r="104" spans="14:22">
      <c r="N104" s="2" t="s">
        <v>674</v>
      </c>
      <c r="O104" s="9" t="s">
        <v>622</v>
      </c>
      <c r="Q104" s="1">
        <v>271.14999999999998</v>
      </c>
      <c r="R104" s="10">
        <f t="shared" ca="1" si="3"/>
        <v>8.8495430809399471E-3</v>
      </c>
      <c r="S104" s="5">
        <f t="shared" si="4"/>
        <v>0</v>
      </c>
      <c r="T104" s="1" t="s">
        <v>454</v>
      </c>
      <c r="U104" s="5" t="s">
        <v>455</v>
      </c>
      <c r="V104" s="1" t="s">
        <v>456</v>
      </c>
    </row>
    <row r="105" spans="14:22">
      <c r="N105" s="2" t="s">
        <v>675</v>
      </c>
      <c r="O105" s="9" t="s">
        <v>622</v>
      </c>
      <c r="Q105" s="1">
        <v>255.2</v>
      </c>
      <c r="R105" s="10">
        <f t="shared" ca="1" si="3"/>
        <v>8.3289817232375975E-3</v>
      </c>
      <c r="S105" s="5">
        <f t="shared" si="4"/>
        <v>0</v>
      </c>
      <c r="T105" s="1" t="s">
        <v>454</v>
      </c>
      <c r="U105" s="5" t="s">
        <v>455</v>
      </c>
      <c r="V105" s="1" t="s">
        <v>456</v>
      </c>
    </row>
    <row r="106" spans="14:22">
      <c r="N106" s="2" t="s">
        <v>676</v>
      </c>
      <c r="O106" s="9" t="s">
        <v>622</v>
      </c>
      <c r="Q106" s="1">
        <v>271.14999999999998</v>
      </c>
      <c r="R106" s="10">
        <f t="shared" ca="1" si="3"/>
        <v>8.8495430809399471E-3</v>
      </c>
      <c r="S106" s="5">
        <f t="shared" si="4"/>
        <v>0</v>
      </c>
      <c r="T106" s="1" t="s">
        <v>454</v>
      </c>
      <c r="U106" s="5" t="s">
        <v>455</v>
      </c>
      <c r="V106" s="1" t="s">
        <v>456</v>
      </c>
    </row>
    <row r="107" spans="14:22">
      <c r="N107" s="2" t="s">
        <v>677</v>
      </c>
      <c r="O107" s="9" t="s">
        <v>622</v>
      </c>
      <c r="Q107" s="1">
        <v>287.10000000000002</v>
      </c>
      <c r="R107" s="10">
        <f t="shared" ca="1" si="3"/>
        <v>9.3701044386422985E-3</v>
      </c>
      <c r="S107" s="5">
        <f t="shared" si="4"/>
        <v>0</v>
      </c>
      <c r="T107" s="1" t="s">
        <v>454</v>
      </c>
      <c r="U107" s="5" t="s">
        <v>455</v>
      </c>
      <c r="V107" s="1" t="s">
        <v>456</v>
      </c>
    </row>
    <row r="108" spans="14:22">
      <c r="N108" s="2" t="s">
        <v>678</v>
      </c>
      <c r="O108" s="9" t="s">
        <v>622</v>
      </c>
      <c r="Q108" s="1">
        <v>287.10000000000002</v>
      </c>
      <c r="R108" s="10">
        <f t="shared" ca="1" si="3"/>
        <v>9.3701044386422985E-3</v>
      </c>
      <c r="S108" s="5">
        <f t="shared" si="4"/>
        <v>0</v>
      </c>
      <c r="T108" s="1" t="s">
        <v>454</v>
      </c>
      <c r="U108" s="5" t="s">
        <v>455</v>
      </c>
      <c r="V108" s="1" t="s">
        <v>456</v>
      </c>
    </row>
    <row r="109" spans="14:22">
      <c r="N109" s="2" t="s">
        <v>557</v>
      </c>
      <c r="O109" s="9" t="s">
        <v>622</v>
      </c>
      <c r="Q109" s="1">
        <v>271.14999999999998</v>
      </c>
      <c r="R109" s="10">
        <f t="shared" ca="1" si="3"/>
        <v>8.8495430809399471E-3</v>
      </c>
      <c r="S109" s="5">
        <f t="shared" si="4"/>
        <v>0</v>
      </c>
      <c r="T109" s="1" t="s">
        <v>454</v>
      </c>
      <c r="U109" s="5" t="s">
        <v>455</v>
      </c>
      <c r="V109" s="1" t="s">
        <v>456</v>
      </c>
    </row>
    <row r="110" spans="14:22">
      <c r="N110" s="2" t="s">
        <v>558</v>
      </c>
      <c r="O110" s="9" t="s">
        <v>622</v>
      </c>
      <c r="Q110" s="1">
        <v>287.10000000000002</v>
      </c>
      <c r="R110" s="10">
        <f t="shared" ca="1" si="3"/>
        <v>9.3701044386422985E-3</v>
      </c>
      <c r="S110" s="5">
        <f t="shared" si="4"/>
        <v>0</v>
      </c>
      <c r="T110" s="1" t="s">
        <v>454</v>
      </c>
      <c r="U110" s="5" t="s">
        <v>455</v>
      </c>
      <c r="V110" s="1" t="s">
        <v>456</v>
      </c>
    </row>
    <row r="111" spans="14:22">
      <c r="N111" s="2" t="s">
        <v>559</v>
      </c>
      <c r="O111" s="9" t="s">
        <v>622</v>
      </c>
      <c r="Q111" s="1">
        <v>287.10000000000002</v>
      </c>
      <c r="R111" s="10">
        <f t="shared" ca="1" si="3"/>
        <v>9.3701044386422985E-3</v>
      </c>
      <c r="S111" s="5">
        <f t="shared" si="4"/>
        <v>0</v>
      </c>
      <c r="T111" s="1" t="s">
        <v>454</v>
      </c>
      <c r="U111" s="5" t="s">
        <v>455</v>
      </c>
      <c r="V111" s="1" t="s">
        <v>456</v>
      </c>
    </row>
    <row r="112" spans="14:22">
      <c r="N112" s="2" t="s">
        <v>560</v>
      </c>
      <c r="O112" s="9" t="s">
        <v>622</v>
      </c>
      <c r="Q112" s="1">
        <v>287.10000000000002</v>
      </c>
      <c r="R112" s="10">
        <f t="shared" ca="1" si="3"/>
        <v>9.3701044386422985E-3</v>
      </c>
      <c r="S112" s="5">
        <f t="shared" si="4"/>
        <v>0</v>
      </c>
      <c r="T112" s="1" t="s">
        <v>454</v>
      </c>
      <c r="U112" s="5" t="s">
        <v>455</v>
      </c>
      <c r="V112" s="1" t="s">
        <v>456</v>
      </c>
    </row>
    <row r="113" spans="14:22">
      <c r="N113" s="2" t="s">
        <v>561</v>
      </c>
      <c r="O113" s="9" t="s">
        <v>622</v>
      </c>
      <c r="Q113" s="1">
        <v>287.10000000000002</v>
      </c>
      <c r="R113" s="10">
        <f t="shared" ca="1" si="3"/>
        <v>9.3701044386422985E-3</v>
      </c>
      <c r="S113" s="5">
        <f t="shared" si="4"/>
        <v>0</v>
      </c>
      <c r="T113" s="1" t="s">
        <v>454</v>
      </c>
      <c r="U113" s="5" t="s">
        <v>455</v>
      </c>
      <c r="V113" s="1" t="s">
        <v>456</v>
      </c>
    </row>
    <row r="114" spans="14:22">
      <c r="N114" s="2" t="s">
        <v>562</v>
      </c>
      <c r="O114" s="9" t="s">
        <v>622</v>
      </c>
      <c r="Q114" s="1">
        <v>239.25</v>
      </c>
      <c r="R114" s="10">
        <f t="shared" ca="1" si="3"/>
        <v>7.8084203655352478E-3</v>
      </c>
      <c r="S114" s="5">
        <f t="shared" si="4"/>
        <v>0</v>
      </c>
      <c r="T114" s="1" t="s">
        <v>454</v>
      </c>
      <c r="U114" s="5" t="s">
        <v>455</v>
      </c>
      <c r="V114" s="1" t="s">
        <v>456</v>
      </c>
    </row>
    <row r="115" spans="14:22">
      <c r="N115" s="2" t="s">
        <v>563</v>
      </c>
      <c r="O115" s="9" t="s">
        <v>622</v>
      </c>
      <c r="Q115" s="1">
        <v>223.3</v>
      </c>
      <c r="R115" s="10">
        <f t="shared" ca="1" si="3"/>
        <v>7.2878590078328982E-3</v>
      </c>
      <c r="S115" s="5">
        <f t="shared" si="4"/>
        <v>0</v>
      </c>
      <c r="T115" s="1" t="s">
        <v>454</v>
      </c>
      <c r="U115" s="5" t="s">
        <v>455</v>
      </c>
      <c r="V115" s="1" t="s">
        <v>456</v>
      </c>
    </row>
    <row r="116" spans="14:22">
      <c r="N116" s="2" t="s">
        <v>564</v>
      </c>
      <c r="O116" s="9" t="s">
        <v>622</v>
      </c>
      <c r="Q116" s="1">
        <v>255.2</v>
      </c>
      <c r="R116" s="10">
        <f t="shared" ca="1" si="3"/>
        <v>8.3289817232375975E-3</v>
      </c>
      <c r="S116" s="5">
        <f t="shared" si="4"/>
        <v>0</v>
      </c>
      <c r="T116" s="1" t="s">
        <v>454</v>
      </c>
      <c r="U116" s="5" t="s">
        <v>455</v>
      </c>
      <c r="V116" s="1" t="s">
        <v>456</v>
      </c>
    </row>
    <row r="117" spans="14:22">
      <c r="N117" s="2" t="s">
        <v>565</v>
      </c>
      <c r="O117" s="9" t="s">
        <v>622</v>
      </c>
      <c r="Q117" s="1">
        <v>271.14999999999998</v>
      </c>
      <c r="R117" s="10">
        <f t="shared" ca="1" si="3"/>
        <v>8.8495430809399471E-3</v>
      </c>
      <c r="S117" s="5">
        <f t="shared" si="4"/>
        <v>0</v>
      </c>
      <c r="T117" s="1" t="s">
        <v>454</v>
      </c>
      <c r="U117" s="5" t="s">
        <v>455</v>
      </c>
      <c r="V117" s="1" t="s">
        <v>456</v>
      </c>
    </row>
    <row r="118" spans="14:22">
      <c r="N118" s="2" t="s">
        <v>566</v>
      </c>
      <c r="O118" s="9" t="s">
        <v>622</v>
      </c>
      <c r="Q118" s="1">
        <v>271.14999999999998</v>
      </c>
      <c r="R118" s="10">
        <f t="shared" ca="1" si="3"/>
        <v>8.8495430809399471E-3</v>
      </c>
      <c r="S118" s="5">
        <f t="shared" si="4"/>
        <v>0</v>
      </c>
      <c r="T118" s="1" t="s">
        <v>454</v>
      </c>
      <c r="U118" s="5" t="s">
        <v>455</v>
      </c>
      <c r="V118" s="1" t="s">
        <v>456</v>
      </c>
    </row>
    <row r="119" spans="14:22">
      <c r="N119" s="2" t="s">
        <v>567</v>
      </c>
      <c r="O119" s="9" t="s">
        <v>622</v>
      </c>
      <c r="Q119" s="1">
        <v>287.10000000000002</v>
      </c>
      <c r="R119" s="10">
        <f t="shared" ca="1" si="3"/>
        <v>9.3701044386422985E-3</v>
      </c>
      <c r="S119" s="5">
        <f t="shared" si="4"/>
        <v>0</v>
      </c>
      <c r="T119" s="1" t="s">
        <v>454</v>
      </c>
      <c r="U119" s="5" t="s">
        <v>455</v>
      </c>
      <c r="V119" s="1" t="s">
        <v>456</v>
      </c>
    </row>
    <row r="120" spans="14:22">
      <c r="N120" s="2" t="s">
        <v>568</v>
      </c>
      <c r="O120" s="9" t="s">
        <v>622</v>
      </c>
      <c r="Q120" s="1">
        <v>287.10000000000002</v>
      </c>
      <c r="R120" s="10">
        <f t="shared" ca="1" si="3"/>
        <v>9.3701044386422985E-3</v>
      </c>
      <c r="S120" s="5">
        <f t="shared" si="4"/>
        <v>0</v>
      </c>
      <c r="T120" s="1" t="s">
        <v>454</v>
      </c>
      <c r="U120" s="5" t="s">
        <v>455</v>
      </c>
      <c r="V120" s="1" t="s">
        <v>456</v>
      </c>
    </row>
    <row r="121" spans="14:22">
      <c r="N121" s="2" t="s">
        <v>569</v>
      </c>
      <c r="O121" s="9" t="s">
        <v>622</v>
      </c>
      <c r="Q121" s="1">
        <v>287.10000000000002</v>
      </c>
      <c r="R121" s="10">
        <f t="shared" ca="1" si="3"/>
        <v>9.3701044386422985E-3</v>
      </c>
      <c r="S121" s="5">
        <f t="shared" si="4"/>
        <v>0</v>
      </c>
      <c r="T121" s="1" t="s">
        <v>454</v>
      </c>
      <c r="U121" s="5" t="s">
        <v>455</v>
      </c>
      <c r="V121" s="1" t="s">
        <v>456</v>
      </c>
    </row>
    <row r="122" spans="14:22">
      <c r="N122" s="2" t="s">
        <v>570</v>
      </c>
      <c r="O122" s="9" t="s">
        <v>622</v>
      </c>
      <c r="Q122" s="1">
        <v>287.10000000000002</v>
      </c>
      <c r="R122" s="10">
        <f t="shared" ca="1" si="3"/>
        <v>9.3701044386422985E-3</v>
      </c>
      <c r="S122" s="5">
        <f t="shared" si="4"/>
        <v>0</v>
      </c>
      <c r="T122" s="1" t="s">
        <v>454</v>
      </c>
      <c r="U122" s="5" t="s">
        <v>455</v>
      </c>
      <c r="V122" s="1" t="s">
        <v>456</v>
      </c>
    </row>
    <row r="123" spans="14:22">
      <c r="N123" s="2" t="s">
        <v>571</v>
      </c>
      <c r="O123" s="9" t="s">
        <v>622</v>
      </c>
      <c r="Q123" s="1">
        <v>287.10000000000002</v>
      </c>
      <c r="R123" s="10">
        <f t="shared" ca="1" si="3"/>
        <v>9.3701044386422985E-3</v>
      </c>
      <c r="S123" s="5">
        <f t="shared" si="4"/>
        <v>0</v>
      </c>
      <c r="T123" s="1" t="s">
        <v>454</v>
      </c>
      <c r="U123" s="5" t="s">
        <v>455</v>
      </c>
      <c r="V123" s="1" t="s">
        <v>456</v>
      </c>
    </row>
    <row r="124" spans="14:22">
      <c r="N124" s="2" t="s">
        <v>572</v>
      </c>
      <c r="O124" s="9" t="s">
        <v>622</v>
      </c>
      <c r="Q124" s="1">
        <v>271.14999999999998</v>
      </c>
      <c r="R124" s="10">
        <f t="shared" ref="R124:R175" ca="1" si="5">Q124/$AC$4</f>
        <v>8.8495430809399471E-3</v>
      </c>
      <c r="S124" s="5">
        <f t="shared" si="4"/>
        <v>0</v>
      </c>
      <c r="T124" s="1" t="s">
        <v>454</v>
      </c>
      <c r="U124" s="5" t="s">
        <v>455</v>
      </c>
      <c r="V124" s="1" t="s">
        <v>456</v>
      </c>
    </row>
    <row r="125" spans="14:22">
      <c r="N125" s="2" t="s">
        <v>573</v>
      </c>
      <c r="O125" s="9" t="s">
        <v>622</v>
      </c>
      <c r="Q125" s="1">
        <v>271.14999999999998</v>
      </c>
      <c r="R125" s="10">
        <f t="shared" ca="1" si="5"/>
        <v>8.8495430809399471E-3</v>
      </c>
      <c r="S125" s="5">
        <f t="shared" si="4"/>
        <v>0</v>
      </c>
      <c r="T125" s="1" t="s">
        <v>454</v>
      </c>
      <c r="U125" s="5" t="s">
        <v>455</v>
      </c>
      <c r="V125" s="1" t="s">
        <v>456</v>
      </c>
    </row>
    <row r="126" spans="14:22">
      <c r="N126" s="2" t="s">
        <v>574</v>
      </c>
      <c r="O126" s="9" t="s">
        <v>622</v>
      </c>
      <c r="Q126" s="1">
        <v>271.14999999999998</v>
      </c>
      <c r="R126" s="10">
        <f t="shared" ca="1" si="5"/>
        <v>8.8495430809399471E-3</v>
      </c>
      <c r="S126" s="5">
        <f t="shared" si="4"/>
        <v>0</v>
      </c>
      <c r="T126" s="1" t="s">
        <v>454</v>
      </c>
      <c r="U126" s="5" t="s">
        <v>455</v>
      </c>
      <c r="V126" s="1" t="s">
        <v>456</v>
      </c>
    </row>
    <row r="127" spans="14:22">
      <c r="N127" s="2" t="s">
        <v>679</v>
      </c>
      <c r="O127" s="9" t="s">
        <v>623</v>
      </c>
      <c r="Q127" s="1">
        <v>287.10000000000002</v>
      </c>
      <c r="R127" s="10">
        <f t="shared" ca="1" si="5"/>
        <v>9.3701044386422985E-3</v>
      </c>
      <c r="S127" s="5">
        <f t="shared" si="4"/>
        <v>0</v>
      </c>
      <c r="T127" s="1" t="s">
        <v>715</v>
      </c>
      <c r="U127" s="5" t="s">
        <v>455</v>
      </c>
      <c r="V127" s="1" t="s">
        <v>456</v>
      </c>
    </row>
    <row r="128" spans="14:22">
      <c r="N128" s="2" t="s">
        <v>680</v>
      </c>
      <c r="O128" s="9" t="s">
        <v>623</v>
      </c>
      <c r="Q128" s="1">
        <v>271.14999999999998</v>
      </c>
      <c r="R128" s="10">
        <f t="shared" ca="1" si="5"/>
        <v>8.8495430809399471E-3</v>
      </c>
      <c r="S128" s="5">
        <f t="shared" si="4"/>
        <v>0</v>
      </c>
      <c r="T128" s="1" t="s">
        <v>715</v>
      </c>
      <c r="U128" s="5" t="s">
        <v>455</v>
      </c>
      <c r="V128" s="1" t="s">
        <v>456</v>
      </c>
    </row>
    <row r="129" spans="14:22">
      <c r="N129" s="2" t="s">
        <v>681</v>
      </c>
      <c r="O129" s="9" t="s">
        <v>623</v>
      </c>
      <c r="Q129" s="1">
        <v>271.14999999999998</v>
      </c>
      <c r="R129" s="10">
        <f t="shared" ca="1" si="5"/>
        <v>8.8495430809399471E-3</v>
      </c>
      <c r="S129" s="5">
        <f t="shared" si="4"/>
        <v>0</v>
      </c>
      <c r="T129" s="1" t="s">
        <v>715</v>
      </c>
      <c r="U129" s="5" t="s">
        <v>455</v>
      </c>
      <c r="V129" s="1" t="s">
        <v>456</v>
      </c>
    </row>
    <row r="130" spans="14:22">
      <c r="N130" s="2" t="s">
        <v>682</v>
      </c>
      <c r="O130" s="9" t="s">
        <v>623</v>
      </c>
      <c r="Q130" s="1">
        <v>271.14999999999998</v>
      </c>
      <c r="R130" s="10">
        <f t="shared" ca="1" si="5"/>
        <v>8.8495430809399471E-3</v>
      </c>
      <c r="S130" s="5">
        <f t="shared" ref="S130:S193" si="6">_xlfn.XLOOKUP(O130,AE:AE,AG:AG)</f>
        <v>0</v>
      </c>
      <c r="T130" s="1" t="s">
        <v>715</v>
      </c>
      <c r="U130" s="5" t="s">
        <v>455</v>
      </c>
      <c r="V130" s="1" t="s">
        <v>456</v>
      </c>
    </row>
    <row r="131" spans="14:22">
      <c r="N131" s="2" t="s">
        <v>683</v>
      </c>
      <c r="O131" s="9" t="s">
        <v>623</v>
      </c>
      <c r="Q131" s="1">
        <v>271.14999999999998</v>
      </c>
      <c r="R131" s="10">
        <f t="shared" ca="1" si="5"/>
        <v>8.8495430809399471E-3</v>
      </c>
      <c r="S131" s="5">
        <f t="shared" si="6"/>
        <v>0</v>
      </c>
      <c r="T131" s="1" t="s">
        <v>715</v>
      </c>
      <c r="U131" s="5" t="s">
        <v>455</v>
      </c>
      <c r="V131" s="1" t="s">
        <v>456</v>
      </c>
    </row>
    <row r="132" spans="14:22">
      <c r="N132" s="2" t="s">
        <v>684</v>
      </c>
      <c r="O132" s="9" t="s">
        <v>623</v>
      </c>
      <c r="Q132" s="1">
        <v>271.14999999999998</v>
      </c>
      <c r="R132" s="10">
        <f t="shared" ca="1" si="5"/>
        <v>8.8495430809399471E-3</v>
      </c>
      <c r="S132" s="5">
        <f t="shared" si="6"/>
        <v>0</v>
      </c>
      <c r="T132" s="1" t="s">
        <v>715</v>
      </c>
      <c r="U132" s="5" t="s">
        <v>455</v>
      </c>
      <c r="V132" s="1" t="s">
        <v>456</v>
      </c>
    </row>
    <row r="133" spans="14:22">
      <c r="N133" s="2" t="s">
        <v>685</v>
      </c>
      <c r="O133" s="9" t="s">
        <v>623</v>
      </c>
      <c r="Q133" s="1">
        <v>191.4</v>
      </c>
      <c r="R133" s="10">
        <f t="shared" ca="1" si="5"/>
        <v>6.246736292428199E-3</v>
      </c>
      <c r="S133" s="5">
        <f t="shared" si="6"/>
        <v>0</v>
      </c>
      <c r="T133" s="1" t="s">
        <v>715</v>
      </c>
      <c r="U133" s="5" t="s">
        <v>455</v>
      </c>
      <c r="V133" s="1" t="s">
        <v>456</v>
      </c>
    </row>
    <row r="134" spans="14:22">
      <c r="N134" s="2" t="s">
        <v>686</v>
      </c>
      <c r="O134" s="9" t="s">
        <v>623</v>
      </c>
      <c r="Q134" s="1">
        <v>191.4</v>
      </c>
      <c r="R134" s="10">
        <f t="shared" ca="1" si="5"/>
        <v>6.246736292428199E-3</v>
      </c>
      <c r="S134" s="5">
        <f t="shared" si="6"/>
        <v>0</v>
      </c>
      <c r="T134" s="1" t="s">
        <v>715</v>
      </c>
      <c r="U134" s="5" t="s">
        <v>455</v>
      </c>
      <c r="V134" s="1" t="s">
        <v>456</v>
      </c>
    </row>
    <row r="135" spans="14:22">
      <c r="N135" s="2" t="s">
        <v>687</v>
      </c>
      <c r="O135" s="9" t="s">
        <v>623</v>
      </c>
      <c r="Q135" s="1">
        <v>223.3</v>
      </c>
      <c r="R135" s="10">
        <f t="shared" ca="1" si="5"/>
        <v>7.2878590078328982E-3</v>
      </c>
      <c r="S135" s="5">
        <f t="shared" si="6"/>
        <v>0</v>
      </c>
      <c r="T135" s="1" t="s">
        <v>715</v>
      </c>
      <c r="U135" s="5" t="s">
        <v>455</v>
      </c>
      <c r="V135" s="1" t="s">
        <v>456</v>
      </c>
    </row>
    <row r="136" spans="14:22">
      <c r="N136" s="2" t="s">
        <v>688</v>
      </c>
      <c r="O136" s="9" t="s">
        <v>623</v>
      </c>
      <c r="Q136" s="1">
        <v>221.27</v>
      </c>
      <c r="R136" s="10">
        <f t="shared" ca="1" si="5"/>
        <v>7.2216057441253263E-3</v>
      </c>
      <c r="S136" s="5">
        <f t="shared" si="6"/>
        <v>0</v>
      </c>
      <c r="T136" s="1" t="s">
        <v>715</v>
      </c>
      <c r="U136" s="5" t="s">
        <v>455</v>
      </c>
      <c r="V136" s="1" t="s">
        <v>456</v>
      </c>
    </row>
    <row r="137" spans="14:22">
      <c r="N137" s="2" t="s">
        <v>689</v>
      </c>
      <c r="O137" s="9" t="s">
        <v>623</v>
      </c>
      <c r="Q137" s="1">
        <v>221.27</v>
      </c>
      <c r="R137" s="10">
        <f t="shared" ca="1" si="5"/>
        <v>7.2216057441253263E-3</v>
      </c>
      <c r="S137" s="5">
        <f t="shared" si="6"/>
        <v>0</v>
      </c>
      <c r="T137" s="1" t="s">
        <v>715</v>
      </c>
      <c r="U137" s="5" t="s">
        <v>455</v>
      </c>
      <c r="V137" s="1" t="s">
        <v>456</v>
      </c>
    </row>
    <row r="138" spans="14:22">
      <c r="N138" s="2" t="s">
        <v>690</v>
      </c>
      <c r="O138" s="9" t="s">
        <v>623</v>
      </c>
      <c r="Q138" s="1">
        <v>221.27</v>
      </c>
      <c r="R138" s="10">
        <f t="shared" ca="1" si="5"/>
        <v>7.2216057441253263E-3</v>
      </c>
      <c r="S138" s="5">
        <f t="shared" si="6"/>
        <v>0</v>
      </c>
      <c r="T138" s="1" t="s">
        <v>715</v>
      </c>
      <c r="U138" s="5" t="s">
        <v>455</v>
      </c>
      <c r="V138" s="1" t="s">
        <v>456</v>
      </c>
    </row>
    <row r="139" spans="14:22">
      <c r="N139" s="2" t="s">
        <v>691</v>
      </c>
      <c r="O139" s="9" t="s">
        <v>623</v>
      </c>
      <c r="Q139" s="1">
        <v>191.4</v>
      </c>
      <c r="R139" s="10">
        <f t="shared" ca="1" si="5"/>
        <v>6.246736292428199E-3</v>
      </c>
      <c r="S139" s="5">
        <f t="shared" si="6"/>
        <v>0</v>
      </c>
      <c r="T139" s="1" t="s">
        <v>715</v>
      </c>
      <c r="U139" s="5" t="s">
        <v>455</v>
      </c>
      <c r="V139" s="1" t="s">
        <v>456</v>
      </c>
    </row>
    <row r="140" spans="14:22">
      <c r="N140" s="2" t="s">
        <v>692</v>
      </c>
      <c r="O140" s="9" t="s">
        <v>623</v>
      </c>
      <c r="Q140" s="1">
        <v>223.3</v>
      </c>
      <c r="R140" s="10">
        <f t="shared" ca="1" si="5"/>
        <v>7.2878590078328982E-3</v>
      </c>
      <c r="S140" s="5">
        <f t="shared" si="6"/>
        <v>0</v>
      </c>
      <c r="T140" s="1" t="s">
        <v>715</v>
      </c>
      <c r="U140" s="5" t="s">
        <v>455</v>
      </c>
      <c r="V140" s="1" t="s">
        <v>456</v>
      </c>
    </row>
    <row r="141" spans="14:22">
      <c r="N141" s="2" t="s">
        <v>693</v>
      </c>
      <c r="O141" s="9" t="s">
        <v>623</v>
      </c>
      <c r="Q141" s="1">
        <v>223.3</v>
      </c>
      <c r="R141" s="10">
        <f t="shared" ca="1" si="5"/>
        <v>7.2878590078328982E-3</v>
      </c>
      <c r="S141" s="5">
        <f t="shared" si="6"/>
        <v>0</v>
      </c>
      <c r="T141" s="1" t="s">
        <v>715</v>
      </c>
      <c r="U141" s="5" t="s">
        <v>455</v>
      </c>
      <c r="V141" s="1" t="s">
        <v>456</v>
      </c>
    </row>
    <row r="142" spans="14:22">
      <c r="N142" s="2" t="s">
        <v>694</v>
      </c>
      <c r="O142" s="9" t="s">
        <v>623</v>
      </c>
      <c r="Q142" s="1">
        <v>223.3</v>
      </c>
      <c r="R142" s="10">
        <f t="shared" ca="1" si="5"/>
        <v>7.2878590078328982E-3</v>
      </c>
      <c r="S142" s="5">
        <f t="shared" si="6"/>
        <v>0</v>
      </c>
      <c r="T142" s="1" t="s">
        <v>715</v>
      </c>
      <c r="U142" s="5" t="s">
        <v>455</v>
      </c>
      <c r="V142" s="1" t="s">
        <v>456</v>
      </c>
    </row>
    <row r="143" spans="14:22">
      <c r="N143" s="2" t="s">
        <v>695</v>
      </c>
      <c r="O143" s="9" t="s">
        <v>623</v>
      </c>
      <c r="Q143" s="1">
        <v>191.4</v>
      </c>
      <c r="R143" s="10">
        <f t="shared" ca="1" si="5"/>
        <v>6.246736292428199E-3</v>
      </c>
      <c r="S143" s="5">
        <f t="shared" si="6"/>
        <v>0</v>
      </c>
      <c r="T143" s="1" t="s">
        <v>715</v>
      </c>
      <c r="U143" s="5" t="s">
        <v>455</v>
      </c>
      <c r="V143" s="1" t="s">
        <v>456</v>
      </c>
    </row>
    <row r="144" spans="14:22">
      <c r="N144" s="2" t="s">
        <v>696</v>
      </c>
      <c r="O144" s="9" t="s">
        <v>623</v>
      </c>
      <c r="Q144" s="1">
        <v>223.3</v>
      </c>
      <c r="R144" s="10">
        <f t="shared" ca="1" si="5"/>
        <v>7.2878590078328982E-3</v>
      </c>
      <c r="S144" s="5">
        <f t="shared" si="6"/>
        <v>0</v>
      </c>
      <c r="T144" s="1" t="s">
        <v>715</v>
      </c>
      <c r="U144" s="5" t="s">
        <v>455</v>
      </c>
      <c r="V144" s="1" t="s">
        <v>456</v>
      </c>
    </row>
    <row r="145" spans="14:22">
      <c r="N145" s="2" t="s">
        <v>697</v>
      </c>
      <c r="O145" s="9" t="s">
        <v>623</v>
      </c>
      <c r="Q145" s="1">
        <v>223.3</v>
      </c>
      <c r="R145" s="10">
        <f t="shared" ca="1" si="5"/>
        <v>7.2878590078328982E-3</v>
      </c>
      <c r="S145" s="5">
        <f t="shared" si="6"/>
        <v>0</v>
      </c>
      <c r="T145" s="1" t="s">
        <v>715</v>
      </c>
      <c r="U145" s="5" t="s">
        <v>455</v>
      </c>
      <c r="V145" s="1" t="s">
        <v>456</v>
      </c>
    </row>
    <row r="146" spans="14:22">
      <c r="N146" s="2" t="s">
        <v>698</v>
      </c>
      <c r="O146" s="9" t="s">
        <v>623</v>
      </c>
      <c r="Q146" s="1">
        <v>223.3</v>
      </c>
      <c r="R146" s="10">
        <f t="shared" ca="1" si="5"/>
        <v>7.2878590078328982E-3</v>
      </c>
      <c r="S146" s="5">
        <f t="shared" si="6"/>
        <v>0</v>
      </c>
      <c r="T146" s="1" t="s">
        <v>715</v>
      </c>
      <c r="U146" s="5" t="s">
        <v>455</v>
      </c>
      <c r="V146" s="1" t="s">
        <v>456</v>
      </c>
    </row>
    <row r="147" spans="14:22">
      <c r="N147" s="2" t="s">
        <v>699</v>
      </c>
      <c r="O147" s="9" t="s">
        <v>623</v>
      </c>
      <c r="Q147" s="1">
        <v>191.4</v>
      </c>
      <c r="R147" s="10">
        <f t="shared" ca="1" si="5"/>
        <v>6.246736292428199E-3</v>
      </c>
      <c r="S147" s="5">
        <f t="shared" si="6"/>
        <v>0</v>
      </c>
      <c r="T147" s="1" t="s">
        <v>715</v>
      </c>
      <c r="U147" s="5" t="s">
        <v>455</v>
      </c>
      <c r="V147" s="1" t="s">
        <v>456</v>
      </c>
    </row>
    <row r="148" spans="14:22">
      <c r="N148" s="2" t="s">
        <v>700</v>
      </c>
      <c r="O148" s="9" t="s">
        <v>623</v>
      </c>
      <c r="Q148" s="1">
        <v>223.3</v>
      </c>
      <c r="R148" s="10">
        <f t="shared" ca="1" si="5"/>
        <v>7.2878590078328982E-3</v>
      </c>
      <c r="S148" s="5">
        <f t="shared" si="6"/>
        <v>0</v>
      </c>
      <c r="T148" s="1" t="s">
        <v>715</v>
      </c>
      <c r="U148" s="5" t="s">
        <v>455</v>
      </c>
      <c r="V148" s="1" t="s">
        <v>456</v>
      </c>
    </row>
    <row r="149" spans="14:22">
      <c r="N149" s="2" t="s">
        <v>701</v>
      </c>
      <c r="O149" s="9" t="s">
        <v>623</v>
      </c>
      <c r="Q149" s="1">
        <v>191.4</v>
      </c>
      <c r="R149" s="10">
        <f t="shared" ca="1" si="5"/>
        <v>6.246736292428199E-3</v>
      </c>
      <c r="S149" s="5">
        <f t="shared" si="6"/>
        <v>0</v>
      </c>
      <c r="T149" s="1" t="s">
        <v>715</v>
      </c>
      <c r="U149" s="5" t="s">
        <v>455</v>
      </c>
      <c r="V149" s="1" t="s">
        <v>456</v>
      </c>
    </row>
    <row r="150" spans="14:22">
      <c r="N150" s="2" t="s">
        <v>702</v>
      </c>
      <c r="O150" s="9" t="s">
        <v>623</v>
      </c>
      <c r="Q150" s="1">
        <v>223.3</v>
      </c>
      <c r="R150" s="10">
        <f t="shared" ca="1" si="5"/>
        <v>7.2878590078328982E-3</v>
      </c>
      <c r="S150" s="5">
        <f t="shared" si="6"/>
        <v>0</v>
      </c>
      <c r="T150" s="1" t="s">
        <v>715</v>
      </c>
      <c r="U150" s="5" t="s">
        <v>455</v>
      </c>
      <c r="V150" s="1" t="s">
        <v>456</v>
      </c>
    </row>
    <row r="151" spans="14:22">
      <c r="N151" s="2" t="s">
        <v>697</v>
      </c>
      <c r="O151" s="9" t="s">
        <v>623</v>
      </c>
      <c r="Q151" s="1">
        <v>223.3</v>
      </c>
      <c r="R151" s="10">
        <f t="shared" ca="1" si="5"/>
        <v>7.2878590078328982E-3</v>
      </c>
      <c r="S151" s="5">
        <f t="shared" si="6"/>
        <v>0</v>
      </c>
      <c r="T151" s="1" t="s">
        <v>715</v>
      </c>
      <c r="U151" s="5" t="s">
        <v>455</v>
      </c>
      <c r="V151" s="1" t="s">
        <v>456</v>
      </c>
    </row>
    <row r="152" spans="14:22">
      <c r="N152" s="2" t="s">
        <v>698</v>
      </c>
      <c r="O152" s="9" t="s">
        <v>623</v>
      </c>
      <c r="Q152" s="1">
        <v>191.4</v>
      </c>
      <c r="R152" s="10">
        <f t="shared" ca="1" si="5"/>
        <v>6.246736292428199E-3</v>
      </c>
      <c r="S152" s="5">
        <f t="shared" si="6"/>
        <v>0</v>
      </c>
      <c r="T152" s="1" t="s">
        <v>715</v>
      </c>
      <c r="U152" s="5" t="s">
        <v>455</v>
      </c>
      <c r="V152" s="1" t="s">
        <v>456</v>
      </c>
    </row>
    <row r="153" spans="14:22">
      <c r="N153" s="2" t="s">
        <v>699</v>
      </c>
      <c r="O153" s="9" t="s">
        <v>623</v>
      </c>
      <c r="Q153" s="1">
        <v>191.4</v>
      </c>
      <c r="R153" s="10">
        <f t="shared" ca="1" si="5"/>
        <v>6.246736292428199E-3</v>
      </c>
      <c r="S153" s="5">
        <f t="shared" si="6"/>
        <v>0</v>
      </c>
      <c r="T153" s="1" t="s">
        <v>715</v>
      </c>
      <c r="U153" s="5" t="s">
        <v>455</v>
      </c>
      <c r="V153" s="1" t="s">
        <v>456</v>
      </c>
    </row>
    <row r="154" spans="14:22">
      <c r="N154" s="2" t="s">
        <v>700</v>
      </c>
      <c r="O154" s="9" t="s">
        <v>623</v>
      </c>
      <c r="Q154" s="1">
        <v>239.25</v>
      </c>
      <c r="R154" s="10">
        <f t="shared" ca="1" si="5"/>
        <v>7.8084203655352478E-3</v>
      </c>
      <c r="S154" s="5">
        <f t="shared" si="6"/>
        <v>0</v>
      </c>
      <c r="T154" s="1" t="s">
        <v>715</v>
      </c>
      <c r="U154" s="5" t="s">
        <v>455</v>
      </c>
      <c r="V154" s="1" t="s">
        <v>456</v>
      </c>
    </row>
    <row r="155" spans="14:22">
      <c r="N155" s="2" t="s">
        <v>701</v>
      </c>
      <c r="O155" s="9" t="s">
        <v>623</v>
      </c>
      <c r="Q155" s="1">
        <v>207.35</v>
      </c>
      <c r="R155" s="10">
        <f t="shared" ca="1" si="5"/>
        <v>6.7672976501305477E-3</v>
      </c>
      <c r="S155" s="5">
        <f t="shared" si="6"/>
        <v>0</v>
      </c>
      <c r="T155" s="1" t="s">
        <v>715</v>
      </c>
      <c r="U155" s="5" t="s">
        <v>455</v>
      </c>
      <c r="V155" s="1" t="s">
        <v>456</v>
      </c>
    </row>
    <row r="156" spans="14:22">
      <c r="N156" s="2" t="s">
        <v>702</v>
      </c>
      <c r="O156" s="9" t="s">
        <v>623</v>
      </c>
      <c r="Q156" s="1">
        <v>223.3</v>
      </c>
      <c r="R156" s="10">
        <f t="shared" ca="1" si="5"/>
        <v>7.2878590078328982E-3</v>
      </c>
      <c r="S156" s="5">
        <f t="shared" si="6"/>
        <v>0</v>
      </c>
      <c r="T156" s="1" t="s">
        <v>715</v>
      </c>
      <c r="U156" s="5" t="s">
        <v>455</v>
      </c>
      <c r="V156" s="1" t="s">
        <v>456</v>
      </c>
    </row>
    <row r="157" spans="14:22">
      <c r="N157" s="2" t="s">
        <v>703</v>
      </c>
      <c r="O157" s="9" t="s">
        <v>623</v>
      </c>
      <c r="Q157" s="1">
        <v>191.4</v>
      </c>
      <c r="R157" s="10">
        <f t="shared" ca="1" si="5"/>
        <v>6.246736292428199E-3</v>
      </c>
      <c r="S157" s="5">
        <f t="shared" si="6"/>
        <v>0</v>
      </c>
      <c r="T157" s="1" t="s">
        <v>715</v>
      </c>
      <c r="U157" s="5" t="s">
        <v>455</v>
      </c>
      <c r="V157" s="1" t="s">
        <v>456</v>
      </c>
    </row>
    <row r="158" spans="14:22">
      <c r="N158" s="2" t="s">
        <v>704</v>
      </c>
      <c r="O158" s="9" t="s">
        <v>623</v>
      </c>
      <c r="Q158" s="1">
        <v>223.3</v>
      </c>
      <c r="R158" s="10">
        <f t="shared" ca="1" si="5"/>
        <v>7.2878590078328982E-3</v>
      </c>
      <c r="S158" s="5">
        <f t="shared" si="6"/>
        <v>0</v>
      </c>
      <c r="T158" s="1" t="s">
        <v>715</v>
      </c>
      <c r="U158" s="5" t="s">
        <v>455</v>
      </c>
      <c r="V158" s="1" t="s">
        <v>456</v>
      </c>
    </row>
    <row r="159" spans="14:22">
      <c r="N159" s="2" t="s">
        <v>705</v>
      </c>
      <c r="O159" s="9" t="s">
        <v>623</v>
      </c>
      <c r="Q159" s="1">
        <v>223.3</v>
      </c>
      <c r="R159" s="10">
        <f t="shared" ca="1" si="5"/>
        <v>7.2878590078328982E-3</v>
      </c>
      <c r="S159" s="5">
        <f t="shared" si="6"/>
        <v>0</v>
      </c>
      <c r="T159" s="1" t="s">
        <v>715</v>
      </c>
      <c r="U159" s="5" t="s">
        <v>455</v>
      </c>
      <c r="V159" s="1" t="s">
        <v>456</v>
      </c>
    </row>
    <row r="160" spans="14:22">
      <c r="N160" s="2" t="s">
        <v>706</v>
      </c>
      <c r="O160" s="9" t="s">
        <v>623</v>
      </c>
      <c r="Q160" s="1">
        <v>223.3</v>
      </c>
      <c r="R160" s="10">
        <f t="shared" ca="1" si="5"/>
        <v>7.2878590078328982E-3</v>
      </c>
      <c r="S160" s="5">
        <f t="shared" si="6"/>
        <v>0</v>
      </c>
      <c r="T160" s="1" t="s">
        <v>715</v>
      </c>
      <c r="U160" s="5" t="s">
        <v>455</v>
      </c>
      <c r="V160" s="1" t="s">
        <v>456</v>
      </c>
    </row>
    <row r="161" spans="14:22">
      <c r="N161" s="2" t="s">
        <v>707</v>
      </c>
      <c r="O161" s="9" t="s">
        <v>623</v>
      </c>
      <c r="Q161" s="1">
        <v>223.3</v>
      </c>
      <c r="R161" s="10">
        <f t="shared" ca="1" si="5"/>
        <v>7.2878590078328982E-3</v>
      </c>
      <c r="S161" s="5">
        <f t="shared" si="6"/>
        <v>0</v>
      </c>
      <c r="T161" s="1" t="s">
        <v>715</v>
      </c>
      <c r="U161" s="5" t="s">
        <v>455</v>
      </c>
      <c r="V161" s="1" t="s">
        <v>456</v>
      </c>
    </row>
    <row r="162" spans="14:22">
      <c r="N162" s="2" t="s">
        <v>708</v>
      </c>
      <c r="O162" s="9" t="s">
        <v>623</v>
      </c>
      <c r="Q162" s="1">
        <v>191.4</v>
      </c>
      <c r="R162" s="10">
        <f t="shared" ca="1" si="5"/>
        <v>6.246736292428199E-3</v>
      </c>
      <c r="S162" s="5">
        <f t="shared" si="6"/>
        <v>0</v>
      </c>
      <c r="T162" s="1" t="s">
        <v>715</v>
      </c>
      <c r="U162" s="5" t="s">
        <v>455</v>
      </c>
      <c r="V162" s="1" t="s">
        <v>456</v>
      </c>
    </row>
    <row r="163" spans="14:22">
      <c r="N163" s="2" t="s">
        <v>709</v>
      </c>
      <c r="O163" s="9" t="s">
        <v>623</v>
      </c>
      <c r="Q163" s="1">
        <v>191.4</v>
      </c>
      <c r="R163" s="10">
        <f t="shared" ca="1" si="5"/>
        <v>6.246736292428199E-3</v>
      </c>
      <c r="S163" s="5">
        <f t="shared" si="6"/>
        <v>0</v>
      </c>
      <c r="T163" s="1" t="s">
        <v>715</v>
      </c>
      <c r="U163" s="5" t="s">
        <v>455</v>
      </c>
      <c r="V163" s="1" t="s">
        <v>456</v>
      </c>
    </row>
    <row r="164" spans="14:22">
      <c r="N164" s="2" t="s">
        <v>710</v>
      </c>
      <c r="O164" s="9" t="s">
        <v>623</v>
      </c>
      <c r="Q164" s="1">
        <v>223.3</v>
      </c>
      <c r="R164" s="10">
        <f t="shared" ca="1" si="5"/>
        <v>7.2878590078328982E-3</v>
      </c>
      <c r="S164" s="5">
        <f t="shared" si="6"/>
        <v>0</v>
      </c>
      <c r="T164" s="1" t="s">
        <v>715</v>
      </c>
      <c r="U164" s="5" t="s">
        <v>455</v>
      </c>
      <c r="V164" s="1" t="s">
        <v>456</v>
      </c>
    </row>
    <row r="165" spans="14:22">
      <c r="N165" s="2" t="s">
        <v>711</v>
      </c>
      <c r="O165" s="9" t="s">
        <v>623</v>
      </c>
      <c r="Q165" s="1">
        <v>223.3</v>
      </c>
      <c r="R165" s="10">
        <f t="shared" ca="1" si="5"/>
        <v>7.2878590078328982E-3</v>
      </c>
      <c r="S165" s="5">
        <f t="shared" si="6"/>
        <v>0</v>
      </c>
      <c r="T165" s="1" t="s">
        <v>715</v>
      </c>
      <c r="U165" s="5" t="s">
        <v>455</v>
      </c>
      <c r="V165" s="1" t="s">
        <v>456</v>
      </c>
    </row>
    <row r="166" spans="14:22">
      <c r="N166" s="2" t="s">
        <v>712</v>
      </c>
      <c r="O166" s="9" t="s">
        <v>623</v>
      </c>
      <c r="Q166" s="1">
        <v>191.4</v>
      </c>
      <c r="R166" s="10">
        <f t="shared" ca="1" si="5"/>
        <v>6.246736292428199E-3</v>
      </c>
      <c r="S166" s="5">
        <f t="shared" si="6"/>
        <v>0</v>
      </c>
      <c r="T166" s="1" t="s">
        <v>715</v>
      </c>
      <c r="U166" s="5" t="s">
        <v>455</v>
      </c>
      <c r="V166" s="1" t="s">
        <v>456</v>
      </c>
    </row>
    <row r="167" spans="14:22">
      <c r="N167" s="2" t="s">
        <v>713</v>
      </c>
      <c r="O167" s="9" t="s">
        <v>623</v>
      </c>
      <c r="Q167" s="1">
        <v>223.3</v>
      </c>
      <c r="R167" s="10">
        <f t="shared" ca="1" si="5"/>
        <v>7.2878590078328982E-3</v>
      </c>
      <c r="S167" s="5">
        <f t="shared" si="6"/>
        <v>0</v>
      </c>
      <c r="T167" s="1" t="s">
        <v>715</v>
      </c>
      <c r="U167" s="5" t="s">
        <v>455</v>
      </c>
      <c r="V167" s="1" t="s">
        <v>456</v>
      </c>
    </row>
    <row r="168" spans="14:22">
      <c r="N168" s="2" t="s">
        <v>714</v>
      </c>
      <c r="O168" s="9" t="s">
        <v>623</v>
      </c>
      <c r="Q168" s="1">
        <v>223.3</v>
      </c>
      <c r="R168" s="10">
        <f t="shared" ca="1" si="5"/>
        <v>7.2878590078328982E-3</v>
      </c>
      <c r="S168" s="5">
        <f t="shared" si="6"/>
        <v>0</v>
      </c>
      <c r="T168" s="1" t="s">
        <v>715</v>
      </c>
      <c r="U168" s="5" t="s">
        <v>455</v>
      </c>
      <c r="V168" s="1" t="s">
        <v>456</v>
      </c>
    </row>
    <row r="169" spans="14:22">
      <c r="N169" s="2" t="s">
        <v>452</v>
      </c>
      <c r="Q169" s="1">
        <v>15.805</v>
      </c>
      <c r="R169" s="10">
        <f t="shared" ca="1" si="5"/>
        <v>5.1582898172323761E-4</v>
      </c>
      <c r="S169" s="5">
        <f t="shared" si="6"/>
        <v>0</v>
      </c>
      <c r="T169" s="1"/>
      <c r="U169" s="5"/>
    </row>
    <row r="170" spans="14:22">
      <c r="N170" s="2" t="s">
        <v>263</v>
      </c>
      <c r="Q170" s="1">
        <v>15.95</v>
      </c>
      <c r="R170" s="10">
        <f t="shared" ca="1" si="5"/>
        <v>5.2056135770234984E-4</v>
      </c>
      <c r="S170" s="5">
        <f t="shared" si="6"/>
        <v>0</v>
      </c>
      <c r="T170" s="1"/>
      <c r="U170" s="5"/>
    </row>
    <row r="171" spans="14:22">
      <c r="N171" s="2" t="s">
        <v>293</v>
      </c>
      <c r="Q171" s="1">
        <v>31.61</v>
      </c>
      <c r="R171" s="10">
        <f t="shared" ca="1" si="5"/>
        <v>1.0316579634464752E-3</v>
      </c>
      <c r="S171" s="5">
        <f t="shared" si="6"/>
        <v>0</v>
      </c>
      <c r="T171" s="1"/>
      <c r="U171" s="5"/>
    </row>
    <row r="172" spans="14:22">
      <c r="N172" s="2" t="s">
        <v>284</v>
      </c>
      <c r="Q172" s="1">
        <v>31.9</v>
      </c>
      <c r="R172" s="10">
        <f t="shared" ca="1" si="5"/>
        <v>1.0411227154046997E-3</v>
      </c>
      <c r="S172" s="5">
        <f t="shared" si="6"/>
        <v>0</v>
      </c>
      <c r="T172" s="1"/>
      <c r="U172" s="5"/>
    </row>
    <row r="173" spans="14:22">
      <c r="N173" s="2" t="s">
        <v>284</v>
      </c>
      <c r="R173" s="10">
        <f t="shared" ca="1" si="5"/>
        <v>0</v>
      </c>
      <c r="S173" s="5">
        <f t="shared" si="6"/>
        <v>0</v>
      </c>
      <c r="T173" s="1"/>
      <c r="U173" s="5"/>
    </row>
    <row r="174" spans="14:22">
      <c r="N174" s="2" t="s">
        <v>453</v>
      </c>
      <c r="R174" s="10">
        <f t="shared" ca="1" si="5"/>
        <v>0</v>
      </c>
      <c r="S174" s="5">
        <f t="shared" si="6"/>
        <v>0</v>
      </c>
      <c r="T174" s="1"/>
      <c r="U174" s="5"/>
    </row>
    <row r="175" spans="14:22">
      <c r="N175" s="2" t="s">
        <v>460</v>
      </c>
      <c r="R175" s="10">
        <f t="shared" ca="1" si="5"/>
        <v>0</v>
      </c>
      <c r="S175" s="5">
        <f t="shared" si="6"/>
        <v>0</v>
      </c>
      <c r="T175" s="1"/>
      <c r="U175" s="5"/>
    </row>
    <row r="176" spans="14:22">
      <c r="N176" s="2" t="s">
        <v>464</v>
      </c>
      <c r="R176" s="10">
        <f t="shared" ref="R176:R239" ca="1" si="7">Q176/$AC$4</f>
        <v>0</v>
      </c>
      <c r="S176" s="5">
        <f t="shared" si="6"/>
        <v>0</v>
      </c>
      <c r="T176" s="1"/>
      <c r="U176" s="5"/>
    </row>
    <row r="177" spans="14:21">
      <c r="N177" s="2" t="s">
        <v>467</v>
      </c>
      <c r="R177" s="10">
        <f t="shared" ca="1" si="7"/>
        <v>0</v>
      </c>
      <c r="S177" s="5">
        <f t="shared" si="6"/>
        <v>0</v>
      </c>
      <c r="T177" s="1"/>
      <c r="U177" s="5"/>
    </row>
    <row r="178" spans="14:21">
      <c r="N178" s="2" t="s">
        <v>468</v>
      </c>
      <c r="R178" s="10">
        <f t="shared" ca="1" si="7"/>
        <v>0</v>
      </c>
      <c r="S178" s="5">
        <f t="shared" si="6"/>
        <v>0</v>
      </c>
      <c r="T178" s="1"/>
      <c r="U178" s="5"/>
    </row>
    <row r="179" spans="14:21">
      <c r="N179" s="2" t="s">
        <v>470</v>
      </c>
      <c r="R179" s="10">
        <f t="shared" ca="1" si="7"/>
        <v>0</v>
      </c>
      <c r="S179" s="5">
        <f t="shared" si="6"/>
        <v>0</v>
      </c>
      <c r="T179" s="1"/>
      <c r="U179" s="5"/>
    </row>
    <row r="180" spans="14:21">
      <c r="N180" s="2" t="s">
        <v>472</v>
      </c>
      <c r="R180" s="10">
        <f t="shared" ca="1" si="7"/>
        <v>0</v>
      </c>
      <c r="S180" s="5">
        <f t="shared" si="6"/>
        <v>0</v>
      </c>
      <c r="T180" s="1"/>
      <c r="U180" s="5"/>
    </row>
    <row r="181" spans="14:21">
      <c r="N181" s="2" t="s">
        <v>474</v>
      </c>
      <c r="R181" s="10">
        <f t="shared" ca="1" si="7"/>
        <v>0</v>
      </c>
      <c r="S181" s="5">
        <f t="shared" si="6"/>
        <v>0</v>
      </c>
      <c r="T181" s="1"/>
      <c r="U181" s="5"/>
    </row>
    <row r="182" spans="14:21">
      <c r="N182" s="2" t="s">
        <v>475</v>
      </c>
      <c r="R182" s="10">
        <f t="shared" ca="1" si="7"/>
        <v>0</v>
      </c>
      <c r="S182" s="5">
        <f t="shared" si="6"/>
        <v>0</v>
      </c>
      <c r="T182" s="1"/>
      <c r="U182" s="5"/>
    </row>
    <row r="183" spans="14:21">
      <c r="R183" s="10">
        <f t="shared" ca="1" si="7"/>
        <v>0</v>
      </c>
      <c r="S183" s="5">
        <f t="shared" si="6"/>
        <v>0</v>
      </c>
      <c r="T183" s="1"/>
      <c r="U183" s="5"/>
    </row>
    <row r="184" spans="14:21">
      <c r="R184" s="10">
        <f t="shared" ca="1" si="7"/>
        <v>0</v>
      </c>
      <c r="S184" s="5">
        <f t="shared" si="6"/>
        <v>0</v>
      </c>
      <c r="T184" s="1"/>
      <c r="U184" s="5"/>
    </row>
    <row r="185" spans="14:21">
      <c r="R185" s="10">
        <f t="shared" ca="1" si="7"/>
        <v>0</v>
      </c>
      <c r="S185" s="5">
        <f t="shared" si="6"/>
        <v>0</v>
      </c>
      <c r="T185" s="1"/>
      <c r="U185" s="5"/>
    </row>
    <row r="186" spans="14:21">
      <c r="R186" s="10">
        <f t="shared" ca="1" si="7"/>
        <v>0</v>
      </c>
      <c r="S186" s="5">
        <f t="shared" si="6"/>
        <v>0</v>
      </c>
      <c r="T186" s="1"/>
      <c r="U186" s="5"/>
    </row>
    <row r="187" spans="14:21">
      <c r="R187" s="10">
        <f t="shared" ca="1" si="7"/>
        <v>0</v>
      </c>
      <c r="S187" s="5">
        <f t="shared" si="6"/>
        <v>0</v>
      </c>
      <c r="T187" s="1"/>
      <c r="U187" s="5"/>
    </row>
    <row r="188" spans="14:21">
      <c r="R188" s="10">
        <f t="shared" ca="1" si="7"/>
        <v>0</v>
      </c>
      <c r="S188" s="5">
        <f t="shared" si="6"/>
        <v>0</v>
      </c>
      <c r="T188" s="1"/>
      <c r="U188" s="5"/>
    </row>
    <row r="189" spans="14:21">
      <c r="R189" s="10">
        <f t="shared" ca="1" si="7"/>
        <v>0</v>
      </c>
      <c r="S189" s="5">
        <f t="shared" si="6"/>
        <v>0</v>
      </c>
      <c r="T189" s="1"/>
      <c r="U189" s="5"/>
    </row>
    <row r="190" spans="14:21">
      <c r="R190" s="10">
        <f t="shared" ca="1" si="7"/>
        <v>0</v>
      </c>
      <c r="S190" s="5">
        <f t="shared" si="6"/>
        <v>0</v>
      </c>
      <c r="T190" s="1"/>
      <c r="U190" s="5"/>
    </row>
    <row r="191" spans="14:21">
      <c r="R191" s="10">
        <f t="shared" ca="1" si="7"/>
        <v>0</v>
      </c>
      <c r="S191" s="5">
        <f t="shared" si="6"/>
        <v>0</v>
      </c>
      <c r="T191" s="1"/>
      <c r="U191" s="5"/>
    </row>
    <row r="192" spans="14:21">
      <c r="R192" s="10">
        <f t="shared" ca="1" si="7"/>
        <v>0</v>
      </c>
      <c r="S192" s="5">
        <f t="shared" si="6"/>
        <v>0</v>
      </c>
      <c r="T192" s="1"/>
      <c r="U192" s="5"/>
    </row>
    <row r="193" spans="18:21">
      <c r="R193" s="10">
        <f t="shared" ca="1" si="7"/>
        <v>0</v>
      </c>
      <c r="S193" s="5">
        <f t="shared" si="6"/>
        <v>0</v>
      </c>
      <c r="T193" s="1"/>
      <c r="U193" s="5"/>
    </row>
    <row r="194" spans="18:21">
      <c r="R194" s="10">
        <f t="shared" ca="1" si="7"/>
        <v>0</v>
      </c>
      <c r="S194" s="5">
        <f t="shared" ref="S194:S257" si="8">_xlfn.XLOOKUP(O194,AE:AE,AG:AG)</f>
        <v>0</v>
      </c>
      <c r="T194" s="1"/>
      <c r="U194" s="5"/>
    </row>
    <row r="195" spans="18:21">
      <c r="R195" s="10">
        <f t="shared" ca="1" si="7"/>
        <v>0</v>
      </c>
      <c r="S195" s="5">
        <f t="shared" si="8"/>
        <v>0</v>
      </c>
      <c r="T195" s="1"/>
      <c r="U195" s="5"/>
    </row>
    <row r="196" spans="18:21">
      <c r="R196" s="10">
        <f t="shared" ca="1" si="7"/>
        <v>0</v>
      </c>
      <c r="S196" s="5">
        <f t="shared" si="8"/>
        <v>0</v>
      </c>
      <c r="T196" s="1"/>
      <c r="U196" s="5"/>
    </row>
    <row r="197" spans="18:21">
      <c r="R197" s="10">
        <f t="shared" ca="1" si="7"/>
        <v>0</v>
      </c>
      <c r="S197" s="5">
        <f t="shared" si="8"/>
        <v>0</v>
      </c>
      <c r="T197" s="1"/>
      <c r="U197" s="5"/>
    </row>
    <row r="198" spans="18:21">
      <c r="R198" s="10">
        <f t="shared" ca="1" si="7"/>
        <v>0</v>
      </c>
      <c r="S198" s="5">
        <f t="shared" si="8"/>
        <v>0</v>
      </c>
      <c r="T198" s="1"/>
      <c r="U198" s="5"/>
    </row>
    <row r="199" spans="18:21">
      <c r="R199" s="10">
        <f t="shared" ca="1" si="7"/>
        <v>0</v>
      </c>
      <c r="S199" s="5">
        <f t="shared" si="8"/>
        <v>0</v>
      </c>
      <c r="T199" s="1"/>
      <c r="U199" s="5"/>
    </row>
    <row r="200" spans="18:21">
      <c r="R200" s="10">
        <f t="shared" ca="1" si="7"/>
        <v>0</v>
      </c>
      <c r="S200" s="5">
        <f t="shared" si="8"/>
        <v>0</v>
      </c>
      <c r="T200" s="1"/>
      <c r="U200" s="5"/>
    </row>
    <row r="201" spans="18:21">
      <c r="R201" s="10">
        <f t="shared" ca="1" si="7"/>
        <v>0</v>
      </c>
      <c r="S201" s="5">
        <f t="shared" si="8"/>
        <v>0</v>
      </c>
      <c r="T201" s="1"/>
      <c r="U201" s="5"/>
    </row>
    <row r="202" spans="18:21">
      <c r="R202" s="10">
        <f t="shared" ca="1" si="7"/>
        <v>0</v>
      </c>
      <c r="S202" s="5">
        <f t="shared" si="8"/>
        <v>0</v>
      </c>
      <c r="T202" s="1"/>
      <c r="U202" s="5"/>
    </row>
    <row r="203" spans="18:21">
      <c r="R203" s="10">
        <f t="shared" ca="1" si="7"/>
        <v>0</v>
      </c>
      <c r="S203" s="5">
        <f t="shared" si="8"/>
        <v>0</v>
      </c>
      <c r="T203" s="1"/>
      <c r="U203" s="5"/>
    </row>
    <row r="204" spans="18:21">
      <c r="R204" s="10">
        <f t="shared" ca="1" si="7"/>
        <v>0</v>
      </c>
      <c r="S204" s="5">
        <f t="shared" si="8"/>
        <v>0</v>
      </c>
      <c r="T204" s="1"/>
      <c r="U204" s="5"/>
    </row>
    <row r="205" spans="18:21">
      <c r="R205" s="10">
        <f t="shared" ca="1" si="7"/>
        <v>0</v>
      </c>
      <c r="S205" s="5">
        <f t="shared" si="8"/>
        <v>0</v>
      </c>
      <c r="T205" s="1"/>
      <c r="U205" s="5"/>
    </row>
    <row r="206" spans="18:21">
      <c r="R206" s="10">
        <f t="shared" ca="1" si="7"/>
        <v>0</v>
      </c>
      <c r="S206" s="5">
        <f t="shared" si="8"/>
        <v>0</v>
      </c>
      <c r="T206" s="1"/>
      <c r="U206" s="5"/>
    </row>
    <row r="207" spans="18:21">
      <c r="R207" s="10">
        <f t="shared" ca="1" si="7"/>
        <v>0</v>
      </c>
      <c r="S207" s="5">
        <f t="shared" si="8"/>
        <v>0</v>
      </c>
      <c r="T207" s="1"/>
      <c r="U207" s="5"/>
    </row>
    <row r="208" spans="18:21">
      <c r="R208" s="10">
        <f t="shared" ca="1" si="7"/>
        <v>0</v>
      </c>
      <c r="S208" s="5">
        <f t="shared" si="8"/>
        <v>0</v>
      </c>
      <c r="T208" s="1"/>
      <c r="U208" s="5"/>
    </row>
    <row r="209" spans="18:21">
      <c r="R209" s="10">
        <f t="shared" ca="1" si="7"/>
        <v>0</v>
      </c>
      <c r="S209" s="5">
        <f t="shared" si="8"/>
        <v>0</v>
      </c>
      <c r="T209" s="1"/>
      <c r="U209" s="5"/>
    </row>
    <row r="210" spans="18:21">
      <c r="R210" s="10">
        <f t="shared" ca="1" si="7"/>
        <v>0</v>
      </c>
      <c r="S210" s="5">
        <f t="shared" si="8"/>
        <v>0</v>
      </c>
      <c r="T210" s="1"/>
      <c r="U210" s="5"/>
    </row>
    <row r="211" spans="18:21">
      <c r="R211" s="10">
        <f t="shared" ca="1" si="7"/>
        <v>0</v>
      </c>
      <c r="S211" s="5">
        <f t="shared" si="8"/>
        <v>0</v>
      </c>
      <c r="T211" s="1"/>
      <c r="U211" s="5"/>
    </row>
    <row r="212" spans="18:21">
      <c r="R212" s="10">
        <f t="shared" ca="1" si="7"/>
        <v>0</v>
      </c>
      <c r="S212" s="5">
        <f t="shared" si="8"/>
        <v>0</v>
      </c>
      <c r="T212" s="1"/>
      <c r="U212" s="5"/>
    </row>
    <row r="213" spans="18:21">
      <c r="R213" s="10">
        <f t="shared" ca="1" si="7"/>
        <v>0</v>
      </c>
      <c r="S213" s="5">
        <f t="shared" si="8"/>
        <v>0</v>
      </c>
      <c r="T213" s="1"/>
      <c r="U213" s="5"/>
    </row>
    <row r="214" spans="18:21">
      <c r="R214" s="10">
        <f t="shared" ca="1" si="7"/>
        <v>0</v>
      </c>
      <c r="S214" s="5">
        <f t="shared" si="8"/>
        <v>0</v>
      </c>
      <c r="T214" s="1"/>
      <c r="U214" s="5"/>
    </row>
    <row r="215" spans="18:21">
      <c r="R215" s="10">
        <f t="shared" ca="1" si="7"/>
        <v>0</v>
      </c>
      <c r="S215" s="5">
        <f t="shared" si="8"/>
        <v>0</v>
      </c>
      <c r="T215" s="1"/>
      <c r="U215" s="5"/>
    </row>
    <row r="216" spans="18:21">
      <c r="R216" s="10">
        <f t="shared" ca="1" si="7"/>
        <v>0</v>
      </c>
      <c r="S216" s="5">
        <f t="shared" si="8"/>
        <v>0</v>
      </c>
      <c r="T216" s="1"/>
      <c r="U216" s="5"/>
    </row>
    <row r="217" spans="18:21">
      <c r="R217" s="10">
        <f t="shared" ca="1" si="7"/>
        <v>0</v>
      </c>
      <c r="S217" s="5">
        <f t="shared" si="8"/>
        <v>0</v>
      </c>
      <c r="T217" s="1"/>
      <c r="U217" s="5"/>
    </row>
    <row r="218" spans="18:21">
      <c r="R218" s="10">
        <f t="shared" ca="1" si="7"/>
        <v>0</v>
      </c>
      <c r="S218" s="5">
        <f t="shared" si="8"/>
        <v>0</v>
      </c>
      <c r="T218" s="1"/>
      <c r="U218" s="5"/>
    </row>
    <row r="219" spans="18:21">
      <c r="R219" s="10">
        <f t="shared" ca="1" si="7"/>
        <v>0</v>
      </c>
      <c r="S219" s="5">
        <f t="shared" si="8"/>
        <v>0</v>
      </c>
      <c r="T219" s="1"/>
      <c r="U219" s="5"/>
    </row>
    <row r="220" spans="18:21">
      <c r="R220" s="10">
        <f t="shared" ca="1" si="7"/>
        <v>0</v>
      </c>
      <c r="S220" s="5">
        <f t="shared" si="8"/>
        <v>0</v>
      </c>
      <c r="T220" s="1"/>
      <c r="U220" s="5"/>
    </row>
    <row r="221" spans="18:21">
      <c r="R221" s="10">
        <f t="shared" ca="1" si="7"/>
        <v>0</v>
      </c>
      <c r="S221" s="5">
        <f t="shared" si="8"/>
        <v>0</v>
      </c>
      <c r="T221" s="1"/>
      <c r="U221" s="5"/>
    </row>
    <row r="222" spans="18:21">
      <c r="R222" s="10">
        <f t="shared" ca="1" si="7"/>
        <v>0</v>
      </c>
      <c r="S222" s="5">
        <f t="shared" si="8"/>
        <v>0</v>
      </c>
      <c r="T222" s="1"/>
      <c r="U222" s="5"/>
    </row>
    <row r="223" spans="18:21">
      <c r="R223" s="10">
        <f t="shared" ca="1" si="7"/>
        <v>0</v>
      </c>
      <c r="S223" s="5">
        <f t="shared" si="8"/>
        <v>0</v>
      </c>
      <c r="T223" s="1"/>
      <c r="U223" s="5"/>
    </row>
    <row r="224" spans="18:21">
      <c r="R224" s="10">
        <f t="shared" ca="1" si="7"/>
        <v>0</v>
      </c>
      <c r="S224" s="5">
        <f t="shared" si="8"/>
        <v>0</v>
      </c>
      <c r="T224" s="1"/>
      <c r="U224" s="5"/>
    </row>
    <row r="225" spans="18:21">
      <c r="R225" s="10">
        <f t="shared" ca="1" si="7"/>
        <v>0</v>
      </c>
      <c r="S225" s="5">
        <f t="shared" si="8"/>
        <v>0</v>
      </c>
      <c r="T225" s="1"/>
      <c r="U225" s="5"/>
    </row>
    <row r="226" spans="18:21">
      <c r="R226" s="10">
        <f t="shared" ca="1" si="7"/>
        <v>0</v>
      </c>
      <c r="S226" s="5">
        <f t="shared" si="8"/>
        <v>0</v>
      </c>
      <c r="T226" s="1"/>
      <c r="U226" s="5"/>
    </row>
    <row r="227" spans="18:21">
      <c r="R227" s="10">
        <f t="shared" ca="1" si="7"/>
        <v>0</v>
      </c>
      <c r="S227" s="5">
        <f t="shared" si="8"/>
        <v>0</v>
      </c>
      <c r="T227" s="1"/>
      <c r="U227" s="5"/>
    </row>
    <row r="228" spans="18:21">
      <c r="R228" s="10">
        <f t="shared" ca="1" si="7"/>
        <v>0</v>
      </c>
      <c r="S228" s="5">
        <f t="shared" si="8"/>
        <v>0</v>
      </c>
      <c r="T228" s="1"/>
      <c r="U228" s="5"/>
    </row>
    <row r="229" spans="18:21">
      <c r="R229" s="10">
        <f t="shared" ca="1" si="7"/>
        <v>0</v>
      </c>
      <c r="S229" s="5">
        <f t="shared" si="8"/>
        <v>0</v>
      </c>
      <c r="T229" s="1"/>
      <c r="U229" s="5"/>
    </row>
    <row r="230" spans="18:21">
      <c r="R230" s="10">
        <f t="shared" ca="1" si="7"/>
        <v>0</v>
      </c>
      <c r="S230" s="5">
        <f t="shared" si="8"/>
        <v>0</v>
      </c>
      <c r="T230" s="1"/>
      <c r="U230" s="5"/>
    </row>
    <row r="231" spans="18:21">
      <c r="R231" s="10">
        <f t="shared" ca="1" si="7"/>
        <v>0</v>
      </c>
      <c r="S231" s="5">
        <f t="shared" si="8"/>
        <v>0</v>
      </c>
      <c r="T231" s="1"/>
      <c r="U231" s="5"/>
    </row>
    <row r="232" spans="18:21">
      <c r="R232" s="10">
        <f t="shared" ca="1" si="7"/>
        <v>0</v>
      </c>
      <c r="S232" s="5">
        <f t="shared" si="8"/>
        <v>0</v>
      </c>
      <c r="T232" s="1"/>
      <c r="U232" s="5"/>
    </row>
    <row r="233" spans="18:21">
      <c r="R233" s="10">
        <f t="shared" ca="1" si="7"/>
        <v>0</v>
      </c>
      <c r="S233" s="5">
        <f t="shared" si="8"/>
        <v>0</v>
      </c>
      <c r="T233" s="1"/>
      <c r="U233" s="5"/>
    </row>
    <row r="234" spans="18:21">
      <c r="R234" s="10">
        <f t="shared" ca="1" si="7"/>
        <v>0</v>
      </c>
      <c r="S234" s="5">
        <f t="shared" si="8"/>
        <v>0</v>
      </c>
      <c r="T234" s="1"/>
      <c r="U234" s="5"/>
    </row>
    <row r="235" spans="18:21">
      <c r="R235" s="10">
        <f t="shared" ca="1" si="7"/>
        <v>0</v>
      </c>
      <c r="S235" s="5">
        <f t="shared" si="8"/>
        <v>0</v>
      </c>
      <c r="T235" s="1"/>
      <c r="U235" s="5"/>
    </row>
    <row r="236" spans="18:21">
      <c r="R236" s="10">
        <f t="shared" ca="1" si="7"/>
        <v>0</v>
      </c>
      <c r="S236" s="5">
        <f t="shared" si="8"/>
        <v>0</v>
      </c>
      <c r="T236" s="1"/>
      <c r="U236" s="5"/>
    </row>
    <row r="237" spans="18:21">
      <c r="R237" s="10">
        <f t="shared" ca="1" si="7"/>
        <v>0</v>
      </c>
      <c r="S237" s="5">
        <f t="shared" si="8"/>
        <v>0</v>
      </c>
      <c r="T237" s="1"/>
      <c r="U237" s="5"/>
    </row>
    <row r="238" spans="18:21">
      <c r="R238" s="10">
        <f t="shared" ca="1" si="7"/>
        <v>0</v>
      </c>
      <c r="S238" s="5">
        <f t="shared" si="8"/>
        <v>0</v>
      </c>
      <c r="T238" s="1"/>
      <c r="U238" s="5"/>
    </row>
    <row r="239" spans="18:21">
      <c r="R239" s="10">
        <f t="shared" ca="1" si="7"/>
        <v>0</v>
      </c>
      <c r="S239" s="5">
        <f t="shared" si="8"/>
        <v>0</v>
      </c>
      <c r="T239" s="1"/>
      <c r="U239" s="5"/>
    </row>
    <row r="240" spans="18:21">
      <c r="R240" s="10">
        <f t="shared" ref="R240:R304" ca="1" si="9">Q240/$AC$4</f>
        <v>0</v>
      </c>
      <c r="S240" s="5">
        <f t="shared" si="8"/>
        <v>0</v>
      </c>
      <c r="T240" s="1"/>
      <c r="U240" s="5"/>
    </row>
    <row r="241" spans="18:21">
      <c r="R241" s="10">
        <f t="shared" ca="1" si="9"/>
        <v>0</v>
      </c>
      <c r="S241" s="5">
        <f t="shared" si="8"/>
        <v>0</v>
      </c>
      <c r="T241" s="1"/>
      <c r="U241" s="5"/>
    </row>
    <row r="242" spans="18:21">
      <c r="R242" s="10">
        <f t="shared" ca="1" si="9"/>
        <v>0</v>
      </c>
      <c r="S242" s="5">
        <f t="shared" si="8"/>
        <v>0</v>
      </c>
      <c r="T242" s="1"/>
      <c r="U242" s="5"/>
    </row>
    <row r="243" spans="18:21">
      <c r="R243" s="10">
        <f t="shared" ca="1" si="9"/>
        <v>0</v>
      </c>
      <c r="S243" s="5">
        <f t="shared" si="8"/>
        <v>0</v>
      </c>
      <c r="T243" s="1"/>
      <c r="U243" s="5"/>
    </row>
    <row r="244" spans="18:21">
      <c r="R244" s="10">
        <f t="shared" ca="1" si="9"/>
        <v>0</v>
      </c>
      <c r="S244" s="5">
        <f t="shared" si="8"/>
        <v>0</v>
      </c>
      <c r="T244" s="1"/>
      <c r="U244" s="5"/>
    </row>
    <row r="245" spans="18:21">
      <c r="R245" s="10">
        <f t="shared" ca="1" si="9"/>
        <v>0</v>
      </c>
      <c r="S245" s="5">
        <f t="shared" si="8"/>
        <v>0</v>
      </c>
      <c r="T245" s="1"/>
      <c r="U245" s="5"/>
    </row>
    <row r="246" spans="18:21">
      <c r="R246" s="10">
        <f t="shared" ca="1" si="9"/>
        <v>0</v>
      </c>
      <c r="S246" s="5">
        <f t="shared" si="8"/>
        <v>0</v>
      </c>
      <c r="T246" s="1"/>
      <c r="U246" s="5"/>
    </row>
    <row r="247" spans="18:21">
      <c r="R247" s="10">
        <f t="shared" ca="1" si="9"/>
        <v>0</v>
      </c>
      <c r="S247" s="5">
        <f t="shared" si="8"/>
        <v>0</v>
      </c>
      <c r="T247" s="1"/>
      <c r="U247" s="5"/>
    </row>
    <row r="248" spans="18:21">
      <c r="R248" s="10">
        <f t="shared" ca="1" si="9"/>
        <v>0</v>
      </c>
      <c r="S248" s="5">
        <f t="shared" si="8"/>
        <v>0</v>
      </c>
      <c r="T248" s="1"/>
      <c r="U248" s="5"/>
    </row>
    <row r="249" spans="18:21">
      <c r="R249" s="10">
        <f t="shared" ca="1" si="9"/>
        <v>0</v>
      </c>
      <c r="S249" s="5">
        <f t="shared" si="8"/>
        <v>0</v>
      </c>
      <c r="T249" s="1"/>
      <c r="U249" s="5"/>
    </row>
    <row r="250" spans="18:21">
      <c r="R250" s="10">
        <f t="shared" ca="1" si="9"/>
        <v>0</v>
      </c>
      <c r="S250" s="5">
        <f t="shared" si="8"/>
        <v>0</v>
      </c>
      <c r="T250" s="1"/>
      <c r="U250" s="5"/>
    </row>
    <row r="251" spans="18:21">
      <c r="R251" s="10">
        <f t="shared" ca="1" si="9"/>
        <v>0</v>
      </c>
      <c r="S251" s="5">
        <f t="shared" si="8"/>
        <v>0</v>
      </c>
      <c r="T251" s="1"/>
      <c r="U251" s="5"/>
    </row>
    <row r="252" spans="18:21">
      <c r="R252" s="10">
        <f t="shared" ca="1" si="9"/>
        <v>0</v>
      </c>
      <c r="S252" s="5">
        <f t="shared" si="8"/>
        <v>0</v>
      </c>
      <c r="T252" s="1"/>
      <c r="U252" s="5"/>
    </row>
    <row r="253" spans="18:21">
      <c r="R253" s="10">
        <f t="shared" ca="1" si="9"/>
        <v>0</v>
      </c>
      <c r="S253" s="5">
        <f t="shared" si="8"/>
        <v>0</v>
      </c>
      <c r="T253" s="1"/>
      <c r="U253" s="5"/>
    </row>
    <row r="254" spans="18:21">
      <c r="R254" s="10">
        <f t="shared" ca="1" si="9"/>
        <v>0</v>
      </c>
      <c r="S254" s="5">
        <f t="shared" si="8"/>
        <v>0</v>
      </c>
      <c r="T254" s="1"/>
      <c r="U254" s="5"/>
    </row>
    <row r="255" spans="18:21">
      <c r="R255" s="10">
        <f t="shared" ca="1" si="9"/>
        <v>0</v>
      </c>
      <c r="S255" s="5">
        <f t="shared" si="8"/>
        <v>0</v>
      </c>
      <c r="T255" s="1"/>
      <c r="U255" s="5"/>
    </row>
    <row r="256" spans="18:21">
      <c r="R256" s="10">
        <f t="shared" ca="1" si="9"/>
        <v>0</v>
      </c>
      <c r="S256" s="5">
        <f t="shared" si="8"/>
        <v>0</v>
      </c>
      <c r="T256" s="1"/>
      <c r="U256" s="5"/>
    </row>
    <row r="257" spans="18:21">
      <c r="R257" s="10">
        <f t="shared" ca="1" si="9"/>
        <v>0</v>
      </c>
      <c r="S257" s="5">
        <f t="shared" si="8"/>
        <v>0</v>
      </c>
      <c r="T257" s="1"/>
      <c r="U257" s="5"/>
    </row>
    <row r="258" spans="18:21">
      <c r="R258" s="10">
        <f t="shared" ca="1" si="9"/>
        <v>0</v>
      </c>
      <c r="S258" s="5">
        <f t="shared" ref="S258:S321" si="10">_xlfn.XLOOKUP(O258,AE:AE,AG:AG)</f>
        <v>0</v>
      </c>
      <c r="T258" s="1"/>
      <c r="U258" s="5"/>
    </row>
    <row r="259" spans="18:21">
      <c r="R259" s="10">
        <f t="shared" ca="1" si="9"/>
        <v>0</v>
      </c>
      <c r="S259" s="5">
        <f t="shared" si="10"/>
        <v>0</v>
      </c>
      <c r="T259" s="1"/>
      <c r="U259" s="5"/>
    </row>
    <row r="260" spans="18:21">
      <c r="R260" s="10">
        <f t="shared" ca="1" si="9"/>
        <v>0</v>
      </c>
      <c r="S260" s="5">
        <f t="shared" si="10"/>
        <v>0</v>
      </c>
      <c r="T260" s="1"/>
      <c r="U260" s="5"/>
    </row>
    <row r="261" spans="18:21">
      <c r="R261" s="10">
        <f t="shared" ca="1" si="9"/>
        <v>0</v>
      </c>
      <c r="S261" s="5">
        <f t="shared" si="10"/>
        <v>0</v>
      </c>
      <c r="T261" s="1"/>
      <c r="U261" s="5"/>
    </row>
    <row r="262" spans="18:21">
      <c r="R262" s="10">
        <f t="shared" ca="1" si="9"/>
        <v>0</v>
      </c>
      <c r="S262" s="5">
        <f t="shared" si="10"/>
        <v>0</v>
      </c>
      <c r="T262" s="1"/>
      <c r="U262" s="5"/>
    </row>
    <row r="263" spans="18:21">
      <c r="R263" s="10">
        <f t="shared" ca="1" si="9"/>
        <v>0</v>
      </c>
      <c r="S263" s="5">
        <f t="shared" si="10"/>
        <v>0</v>
      </c>
      <c r="T263" s="1"/>
      <c r="U263" s="5"/>
    </row>
    <row r="264" spans="18:21">
      <c r="R264" s="10">
        <f t="shared" ca="1" si="9"/>
        <v>0</v>
      </c>
      <c r="S264" s="5">
        <f t="shared" si="10"/>
        <v>0</v>
      </c>
      <c r="T264" s="1"/>
      <c r="U264" s="5"/>
    </row>
    <row r="265" spans="18:21">
      <c r="R265" s="10">
        <f t="shared" ca="1" si="9"/>
        <v>0</v>
      </c>
      <c r="S265" s="5">
        <f t="shared" si="10"/>
        <v>0</v>
      </c>
      <c r="T265" s="1"/>
      <c r="U265" s="5"/>
    </row>
    <row r="266" spans="18:21">
      <c r="R266" s="10">
        <f t="shared" ca="1" si="9"/>
        <v>0</v>
      </c>
      <c r="S266" s="5">
        <f t="shared" si="10"/>
        <v>0</v>
      </c>
      <c r="T266" s="1"/>
      <c r="U266" s="5"/>
    </row>
    <row r="267" spans="18:21">
      <c r="R267" s="10">
        <f t="shared" ca="1" si="9"/>
        <v>0</v>
      </c>
      <c r="S267" s="5">
        <f t="shared" si="10"/>
        <v>0</v>
      </c>
      <c r="T267" s="1"/>
      <c r="U267" s="5"/>
    </row>
    <row r="268" spans="18:21">
      <c r="R268" s="10">
        <f t="shared" ca="1" si="9"/>
        <v>0</v>
      </c>
      <c r="S268" s="5">
        <f t="shared" si="10"/>
        <v>0</v>
      </c>
      <c r="T268" s="1"/>
      <c r="U268" s="5"/>
    </row>
    <row r="269" spans="18:21">
      <c r="R269" s="10">
        <f t="shared" ca="1" si="9"/>
        <v>0</v>
      </c>
      <c r="S269" s="5">
        <f t="shared" si="10"/>
        <v>0</v>
      </c>
      <c r="T269" s="1"/>
      <c r="U269" s="5"/>
    </row>
    <row r="270" spans="18:21">
      <c r="R270" s="10">
        <f t="shared" ca="1" si="9"/>
        <v>0</v>
      </c>
      <c r="S270" s="5">
        <f t="shared" si="10"/>
        <v>0</v>
      </c>
      <c r="T270" s="1"/>
      <c r="U270" s="5"/>
    </row>
    <row r="271" spans="18:21">
      <c r="R271" s="10">
        <f t="shared" ca="1" si="9"/>
        <v>0</v>
      </c>
      <c r="S271" s="5">
        <f t="shared" si="10"/>
        <v>0</v>
      </c>
      <c r="T271" s="1"/>
      <c r="U271" s="5"/>
    </row>
    <row r="272" spans="18:21">
      <c r="R272" s="10">
        <f t="shared" ca="1" si="9"/>
        <v>0</v>
      </c>
      <c r="S272" s="5">
        <f t="shared" si="10"/>
        <v>0</v>
      </c>
      <c r="T272" s="1"/>
      <c r="U272" s="5"/>
    </row>
    <row r="273" spans="18:21">
      <c r="R273" s="10">
        <f t="shared" ca="1" si="9"/>
        <v>0</v>
      </c>
      <c r="S273" s="5">
        <f t="shared" si="10"/>
        <v>0</v>
      </c>
      <c r="T273" s="1"/>
      <c r="U273" s="5"/>
    </row>
    <row r="274" spans="18:21">
      <c r="R274" s="10">
        <f t="shared" ca="1" si="9"/>
        <v>0</v>
      </c>
      <c r="S274" s="5">
        <f t="shared" si="10"/>
        <v>0</v>
      </c>
      <c r="T274" s="1"/>
      <c r="U274" s="5"/>
    </row>
    <row r="275" spans="18:21">
      <c r="R275" s="10">
        <f t="shared" ca="1" si="9"/>
        <v>0</v>
      </c>
      <c r="S275" s="5">
        <f t="shared" si="10"/>
        <v>0</v>
      </c>
      <c r="T275" s="1"/>
      <c r="U275" s="5"/>
    </row>
    <row r="276" spans="18:21">
      <c r="R276" s="10">
        <f t="shared" ca="1" si="9"/>
        <v>0</v>
      </c>
      <c r="S276" s="5">
        <f t="shared" si="10"/>
        <v>0</v>
      </c>
      <c r="T276" s="1"/>
      <c r="U276" s="5"/>
    </row>
    <row r="277" spans="18:21">
      <c r="R277" s="10">
        <f t="shared" ca="1" si="9"/>
        <v>0</v>
      </c>
      <c r="S277" s="5">
        <f t="shared" si="10"/>
        <v>0</v>
      </c>
      <c r="T277" s="1"/>
      <c r="U277" s="5"/>
    </row>
    <row r="278" spans="18:21">
      <c r="R278" s="10">
        <f t="shared" ca="1" si="9"/>
        <v>0</v>
      </c>
      <c r="S278" s="5">
        <f t="shared" si="10"/>
        <v>0</v>
      </c>
      <c r="T278" s="1"/>
      <c r="U278" s="5"/>
    </row>
    <row r="279" spans="18:21">
      <c r="R279" s="10">
        <f t="shared" ca="1" si="9"/>
        <v>0</v>
      </c>
      <c r="S279" s="5">
        <f t="shared" si="10"/>
        <v>0</v>
      </c>
      <c r="T279" s="1"/>
      <c r="U279" s="5"/>
    </row>
    <row r="280" spans="18:21">
      <c r="R280" s="10">
        <f t="shared" ca="1" si="9"/>
        <v>0</v>
      </c>
      <c r="S280" s="5">
        <f t="shared" si="10"/>
        <v>0</v>
      </c>
      <c r="T280" s="1"/>
      <c r="U280" s="5"/>
    </row>
    <row r="281" spans="18:21">
      <c r="R281" s="10">
        <f t="shared" ca="1" si="9"/>
        <v>0</v>
      </c>
      <c r="S281" s="5">
        <f t="shared" si="10"/>
        <v>0</v>
      </c>
      <c r="T281" s="1"/>
      <c r="U281" s="5"/>
    </row>
    <row r="282" spans="18:21">
      <c r="R282" s="10">
        <f t="shared" ca="1" si="9"/>
        <v>0</v>
      </c>
      <c r="S282" s="5">
        <f t="shared" si="10"/>
        <v>0</v>
      </c>
      <c r="T282" s="1"/>
      <c r="U282" s="5"/>
    </row>
    <row r="283" spans="18:21">
      <c r="R283" s="10">
        <f t="shared" ca="1" si="9"/>
        <v>0</v>
      </c>
      <c r="S283" s="5">
        <f t="shared" si="10"/>
        <v>0</v>
      </c>
      <c r="T283" s="1"/>
      <c r="U283" s="5"/>
    </row>
    <row r="284" spans="18:21">
      <c r="R284" s="10">
        <f t="shared" ca="1" si="9"/>
        <v>0</v>
      </c>
      <c r="S284" s="5">
        <f t="shared" si="10"/>
        <v>0</v>
      </c>
      <c r="T284" s="1"/>
      <c r="U284" s="5"/>
    </row>
    <row r="285" spans="18:21">
      <c r="R285" s="10">
        <f t="shared" ca="1" si="9"/>
        <v>0</v>
      </c>
      <c r="S285" s="5">
        <f t="shared" si="10"/>
        <v>0</v>
      </c>
      <c r="T285" s="1"/>
      <c r="U285" s="5"/>
    </row>
    <row r="286" spans="18:21">
      <c r="R286" s="10">
        <f t="shared" ca="1" si="9"/>
        <v>0</v>
      </c>
      <c r="S286" s="5">
        <f t="shared" si="10"/>
        <v>0</v>
      </c>
      <c r="T286" s="1"/>
      <c r="U286" s="5"/>
    </row>
    <row r="287" spans="18:21">
      <c r="R287" s="10">
        <f t="shared" ca="1" si="9"/>
        <v>0</v>
      </c>
      <c r="S287" s="5">
        <f t="shared" si="10"/>
        <v>0</v>
      </c>
      <c r="T287" s="1"/>
      <c r="U287" s="5"/>
    </row>
    <row r="288" spans="18:21">
      <c r="R288" s="10">
        <f t="shared" ca="1" si="9"/>
        <v>0</v>
      </c>
      <c r="S288" s="5">
        <f t="shared" si="10"/>
        <v>0</v>
      </c>
      <c r="T288" s="1"/>
      <c r="U288" s="5"/>
    </row>
    <row r="289" spans="18:21">
      <c r="R289" s="10">
        <f t="shared" ca="1" si="9"/>
        <v>0</v>
      </c>
      <c r="S289" s="5">
        <f t="shared" si="10"/>
        <v>0</v>
      </c>
      <c r="T289" s="1"/>
      <c r="U289" s="5"/>
    </row>
    <row r="290" spans="18:21">
      <c r="R290" s="10">
        <f t="shared" ca="1" si="9"/>
        <v>0</v>
      </c>
      <c r="S290" s="5">
        <f t="shared" si="10"/>
        <v>0</v>
      </c>
      <c r="T290" s="1"/>
      <c r="U290" s="5"/>
    </row>
    <row r="291" spans="18:21">
      <c r="R291" s="10">
        <f t="shared" ca="1" si="9"/>
        <v>0</v>
      </c>
      <c r="S291" s="5">
        <f t="shared" si="10"/>
        <v>0</v>
      </c>
      <c r="T291" s="1"/>
      <c r="U291" s="5"/>
    </row>
    <row r="292" spans="18:21">
      <c r="R292" s="10">
        <f t="shared" ca="1" si="9"/>
        <v>0</v>
      </c>
      <c r="S292" s="5">
        <f t="shared" si="10"/>
        <v>0</v>
      </c>
      <c r="T292" s="1"/>
      <c r="U292" s="5"/>
    </row>
    <row r="293" spans="18:21">
      <c r="R293" s="10">
        <f t="shared" ca="1" si="9"/>
        <v>0</v>
      </c>
      <c r="S293" s="5">
        <f t="shared" si="10"/>
        <v>0</v>
      </c>
      <c r="T293" s="1"/>
      <c r="U293" s="5"/>
    </row>
    <row r="294" spans="18:21">
      <c r="R294" s="10">
        <f t="shared" ca="1" si="9"/>
        <v>0</v>
      </c>
      <c r="S294" s="5">
        <f t="shared" si="10"/>
        <v>0</v>
      </c>
      <c r="T294" s="1"/>
      <c r="U294" s="5"/>
    </row>
    <row r="295" spans="18:21">
      <c r="R295" s="10">
        <f t="shared" ca="1" si="9"/>
        <v>0</v>
      </c>
      <c r="S295" s="5">
        <f t="shared" si="10"/>
        <v>0</v>
      </c>
      <c r="T295" s="1"/>
      <c r="U295" s="5"/>
    </row>
    <row r="296" spans="18:21">
      <c r="R296" s="10">
        <f t="shared" ca="1" si="9"/>
        <v>0</v>
      </c>
      <c r="S296" s="5">
        <f t="shared" si="10"/>
        <v>0</v>
      </c>
      <c r="T296" s="1"/>
      <c r="U296" s="5"/>
    </row>
    <row r="297" spans="18:21">
      <c r="R297" s="10">
        <f t="shared" ca="1" si="9"/>
        <v>0</v>
      </c>
      <c r="S297" s="5">
        <f t="shared" si="10"/>
        <v>0</v>
      </c>
      <c r="T297" s="1"/>
      <c r="U297" s="5"/>
    </row>
    <row r="298" spans="18:21">
      <c r="R298" s="10">
        <f t="shared" ca="1" si="9"/>
        <v>0</v>
      </c>
      <c r="S298" s="5">
        <f t="shared" si="10"/>
        <v>0</v>
      </c>
      <c r="T298" s="1"/>
      <c r="U298" s="5"/>
    </row>
    <row r="299" spans="18:21">
      <c r="R299" s="10">
        <f t="shared" ca="1" si="9"/>
        <v>0</v>
      </c>
      <c r="S299" s="5">
        <f t="shared" si="10"/>
        <v>0</v>
      </c>
      <c r="T299" s="1"/>
      <c r="U299" s="5"/>
    </row>
    <row r="300" spans="18:21">
      <c r="R300" s="10">
        <f t="shared" ca="1" si="9"/>
        <v>0</v>
      </c>
      <c r="S300" s="5">
        <f t="shared" si="10"/>
        <v>0</v>
      </c>
      <c r="T300" s="1"/>
      <c r="U300" s="5"/>
    </row>
    <row r="301" spans="18:21">
      <c r="R301" s="10">
        <f t="shared" ca="1" si="9"/>
        <v>0</v>
      </c>
      <c r="S301" s="5">
        <f t="shared" si="10"/>
        <v>0</v>
      </c>
      <c r="T301" s="1"/>
      <c r="U301" s="5"/>
    </row>
    <row r="302" spans="18:21">
      <c r="R302" s="10">
        <f t="shared" ca="1" si="9"/>
        <v>0</v>
      </c>
      <c r="S302" s="5">
        <f t="shared" si="10"/>
        <v>0</v>
      </c>
      <c r="T302" s="1"/>
      <c r="U302" s="5"/>
    </row>
    <row r="303" spans="18:21">
      <c r="R303" s="10">
        <f t="shared" ca="1" si="9"/>
        <v>0</v>
      </c>
      <c r="S303" s="5">
        <f t="shared" si="10"/>
        <v>0</v>
      </c>
      <c r="T303" s="1"/>
      <c r="U303" s="5"/>
    </row>
    <row r="304" spans="18:21">
      <c r="R304" s="10">
        <f t="shared" ca="1" si="9"/>
        <v>0</v>
      </c>
      <c r="S304" s="5">
        <f t="shared" si="10"/>
        <v>0</v>
      </c>
      <c r="T304" s="1"/>
      <c r="U304" s="5"/>
    </row>
    <row r="305" spans="18:21">
      <c r="R305" s="10">
        <f t="shared" ref="R305:R657" ca="1" si="11">Q305/$AC$4</f>
        <v>0</v>
      </c>
      <c r="S305" s="5">
        <f t="shared" si="10"/>
        <v>0</v>
      </c>
      <c r="T305" s="1"/>
      <c r="U305" s="5"/>
    </row>
    <row r="306" spans="18:21">
      <c r="R306" s="10">
        <f t="shared" ca="1" si="11"/>
        <v>0</v>
      </c>
      <c r="S306" s="5">
        <f t="shared" si="10"/>
        <v>0</v>
      </c>
      <c r="T306" s="1"/>
      <c r="U306" s="5"/>
    </row>
    <row r="307" spans="18:21">
      <c r="R307" s="10">
        <f t="shared" ca="1" si="11"/>
        <v>0</v>
      </c>
      <c r="S307" s="5">
        <f t="shared" si="10"/>
        <v>0</v>
      </c>
      <c r="T307" s="1"/>
      <c r="U307" s="5"/>
    </row>
    <row r="308" spans="18:21">
      <c r="R308" s="10">
        <f t="shared" ca="1" si="11"/>
        <v>0</v>
      </c>
      <c r="S308" s="5">
        <f t="shared" si="10"/>
        <v>0</v>
      </c>
      <c r="T308" s="1"/>
      <c r="U308" s="5"/>
    </row>
    <row r="309" spans="18:21">
      <c r="R309" s="10">
        <f t="shared" ca="1" si="11"/>
        <v>0</v>
      </c>
      <c r="S309" s="5">
        <f t="shared" si="10"/>
        <v>0</v>
      </c>
      <c r="T309" s="1"/>
      <c r="U309" s="5"/>
    </row>
    <row r="310" spans="18:21">
      <c r="R310" s="10">
        <f t="shared" ca="1" si="11"/>
        <v>0</v>
      </c>
      <c r="S310" s="5">
        <f t="shared" si="10"/>
        <v>0</v>
      </c>
      <c r="T310" s="1"/>
      <c r="U310" s="5"/>
    </row>
    <row r="311" spans="18:21">
      <c r="R311" s="10">
        <f t="shared" ca="1" si="11"/>
        <v>0</v>
      </c>
      <c r="S311" s="5">
        <f t="shared" si="10"/>
        <v>0</v>
      </c>
      <c r="T311" s="1"/>
      <c r="U311" s="5"/>
    </row>
    <row r="312" spans="18:21">
      <c r="R312" s="10">
        <f t="shared" ca="1" si="11"/>
        <v>0</v>
      </c>
      <c r="S312" s="5">
        <f t="shared" si="10"/>
        <v>0</v>
      </c>
      <c r="T312" s="1"/>
      <c r="U312" s="5"/>
    </row>
    <row r="313" spans="18:21">
      <c r="R313" s="10">
        <f t="shared" ca="1" si="11"/>
        <v>0</v>
      </c>
      <c r="S313" s="5">
        <f t="shared" si="10"/>
        <v>0</v>
      </c>
      <c r="T313" s="1"/>
      <c r="U313" s="5"/>
    </row>
    <row r="314" spans="18:21">
      <c r="R314" s="10">
        <f t="shared" ca="1" si="11"/>
        <v>0</v>
      </c>
      <c r="S314" s="5">
        <f t="shared" si="10"/>
        <v>0</v>
      </c>
      <c r="T314" s="1"/>
      <c r="U314" s="5"/>
    </row>
    <row r="315" spans="18:21">
      <c r="R315" s="10">
        <f t="shared" ca="1" si="11"/>
        <v>0</v>
      </c>
      <c r="S315" s="5">
        <f t="shared" si="10"/>
        <v>0</v>
      </c>
      <c r="T315" s="1"/>
      <c r="U315" s="5"/>
    </row>
    <row r="316" spans="18:21">
      <c r="R316" s="10">
        <f t="shared" ca="1" si="11"/>
        <v>0</v>
      </c>
      <c r="S316" s="5">
        <f t="shared" si="10"/>
        <v>0</v>
      </c>
      <c r="T316" s="1"/>
      <c r="U316" s="5"/>
    </row>
    <row r="317" spans="18:21">
      <c r="R317" s="10">
        <f t="shared" ca="1" si="11"/>
        <v>0</v>
      </c>
      <c r="S317" s="5">
        <f t="shared" si="10"/>
        <v>0</v>
      </c>
      <c r="T317" s="1"/>
      <c r="U317" s="5"/>
    </row>
    <row r="318" spans="18:21">
      <c r="R318" s="10">
        <f t="shared" ca="1" si="11"/>
        <v>0</v>
      </c>
      <c r="S318" s="5">
        <f t="shared" si="10"/>
        <v>0</v>
      </c>
      <c r="T318" s="1"/>
      <c r="U318" s="5"/>
    </row>
    <row r="319" spans="18:21">
      <c r="R319" s="10">
        <f t="shared" ca="1" si="11"/>
        <v>0</v>
      </c>
      <c r="S319" s="5">
        <f t="shared" si="10"/>
        <v>0</v>
      </c>
      <c r="T319" s="1"/>
      <c r="U319" s="5"/>
    </row>
    <row r="320" spans="18:21">
      <c r="R320" s="10">
        <f t="shared" ca="1" si="11"/>
        <v>0</v>
      </c>
      <c r="S320" s="5">
        <f t="shared" si="10"/>
        <v>0</v>
      </c>
      <c r="T320" s="1"/>
      <c r="U320" s="5"/>
    </row>
    <row r="321" spans="18:21">
      <c r="R321" s="10">
        <f t="shared" ca="1" si="11"/>
        <v>0</v>
      </c>
      <c r="S321" s="5">
        <f t="shared" si="10"/>
        <v>0</v>
      </c>
      <c r="T321" s="1"/>
      <c r="U321" s="5"/>
    </row>
    <row r="322" spans="18:21">
      <c r="R322" s="10">
        <f t="shared" ca="1" si="11"/>
        <v>0</v>
      </c>
      <c r="S322" s="5">
        <f t="shared" ref="S322:S385" si="12">_xlfn.XLOOKUP(O322,AE:AE,AG:AG)</f>
        <v>0</v>
      </c>
      <c r="T322" s="1"/>
      <c r="U322" s="5"/>
    </row>
    <row r="323" spans="18:21">
      <c r="R323" s="10">
        <f t="shared" ca="1" si="11"/>
        <v>0</v>
      </c>
      <c r="S323" s="5">
        <f t="shared" si="12"/>
        <v>0</v>
      </c>
      <c r="T323" s="1"/>
      <c r="U323" s="5"/>
    </row>
    <row r="324" spans="18:21">
      <c r="R324" s="10">
        <f t="shared" ca="1" si="11"/>
        <v>0</v>
      </c>
      <c r="S324" s="5">
        <f t="shared" si="12"/>
        <v>0</v>
      </c>
      <c r="T324" s="1"/>
      <c r="U324" s="5"/>
    </row>
    <row r="325" spans="18:21">
      <c r="R325" s="10">
        <f t="shared" ca="1" si="11"/>
        <v>0</v>
      </c>
      <c r="S325" s="5">
        <f t="shared" si="12"/>
        <v>0</v>
      </c>
      <c r="T325" s="1"/>
      <c r="U325" s="5"/>
    </row>
    <row r="326" spans="18:21">
      <c r="R326" s="10">
        <f t="shared" ca="1" si="11"/>
        <v>0</v>
      </c>
      <c r="S326" s="5">
        <f t="shared" si="12"/>
        <v>0</v>
      </c>
      <c r="T326" s="1"/>
      <c r="U326" s="5"/>
    </row>
    <row r="327" spans="18:21">
      <c r="R327" s="10">
        <f t="shared" ca="1" si="11"/>
        <v>0</v>
      </c>
      <c r="S327" s="5">
        <f t="shared" si="12"/>
        <v>0</v>
      </c>
      <c r="T327" s="1"/>
      <c r="U327" s="5"/>
    </row>
    <row r="328" spans="18:21">
      <c r="R328" s="10">
        <f t="shared" ca="1" si="11"/>
        <v>0</v>
      </c>
      <c r="S328" s="5">
        <f t="shared" si="12"/>
        <v>0</v>
      </c>
      <c r="T328" s="1"/>
      <c r="U328" s="5"/>
    </row>
    <row r="329" spans="18:21">
      <c r="R329" s="10">
        <f t="shared" ca="1" si="11"/>
        <v>0</v>
      </c>
      <c r="S329" s="5">
        <f t="shared" si="12"/>
        <v>0</v>
      </c>
      <c r="T329" s="1"/>
      <c r="U329" s="5"/>
    </row>
    <row r="330" spans="18:21">
      <c r="R330" s="10">
        <f t="shared" ca="1" si="11"/>
        <v>0</v>
      </c>
      <c r="S330" s="5">
        <f t="shared" si="12"/>
        <v>0</v>
      </c>
      <c r="T330" s="1"/>
      <c r="U330" s="5"/>
    </row>
    <row r="331" spans="18:21">
      <c r="R331" s="10">
        <f t="shared" ca="1" si="11"/>
        <v>0</v>
      </c>
      <c r="S331" s="5">
        <f t="shared" si="12"/>
        <v>0</v>
      </c>
      <c r="T331" s="1"/>
      <c r="U331" s="5"/>
    </row>
    <row r="332" spans="18:21">
      <c r="R332" s="10">
        <f t="shared" ca="1" si="11"/>
        <v>0</v>
      </c>
      <c r="S332" s="5">
        <f t="shared" si="12"/>
        <v>0</v>
      </c>
      <c r="T332" s="1"/>
      <c r="U332" s="5"/>
    </row>
    <row r="333" spans="18:21">
      <c r="R333" s="10">
        <f t="shared" ca="1" si="11"/>
        <v>0</v>
      </c>
      <c r="S333" s="5">
        <f t="shared" si="12"/>
        <v>0</v>
      </c>
      <c r="T333" s="1"/>
      <c r="U333" s="5"/>
    </row>
    <row r="334" spans="18:21">
      <c r="R334" s="10">
        <f t="shared" ca="1" si="11"/>
        <v>0</v>
      </c>
      <c r="S334" s="5">
        <f t="shared" si="12"/>
        <v>0</v>
      </c>
      <c r="T334" s="1"/>
      <c r="U334" s="5"/>
    </row>
    <row r="335" spans="18:21">
      <c r="R335" s="10">
        <f t="shared" ca="1" si="11"/>
        <v>0</v>
      </c>
      <c r="S335" s="5">
        <f t="shared" si="12"/>
        <v>0</v>
      </c>
      <c r="T335" s="1"/>
      <c r="U335" s="5"/>
    </row>
    <row r="336" spans="18:21">
      <c r="R336" s="10">
        <f t="shared" ca="1" si="11"/>
        <v>0</v>
      </c>
      <c r="S336" s="5">
        <f t="shared" si="12"/>
        <v>0</v>
      </c>
      <c r="T336" s="1"/>
      <c r="U336" s="5"/>
    </row>
    <row r="337" spans="18:21">
      <c r="R337" s="10">
        <f t="shared" ca="1" si="11"/>
        <v>0</v>
      </c>
      <c r="S337" s="5">
        <f t="shared" si="12"/>
        <v>0</v>
      </c>
      <c r="T337" s="1"/>
      <c r="U337" s="5"/>
    </row>
    <row r="338" spans="18:21">
      <c r="R338" s="10">
        <f t="shared" ca="1" si="11"/>
        <v>0</v>
      </c>
      <c r="S338" s="5">
        <f t="shared" si="12"/>
        <v>0</v>
      </c>
      <c r="T338" s="1"/>
      <c r="U338" s="5"/>
    </row>
    <row r="339" spans="18:21">
      <c r="R339" s="10">
        <f t="shared" ca="1" si="11"/>
        <v>0</v>
      </c>
      <c r="S339" s="5">
        <f t="shared" si="12"/>
        <v>0</v>
      </c>
      <c r="T339" s="1"/>
      <c r="U339" s="5"/>
    </row>
    <row r="340" spans="18:21">
      <c r="R340" s="10">
        <f t="shared" ca="1" si="11"/>
        <v>0</v>
      </c>
      <c r="S340" s="5">
        <f t="shared" si="12"/>
        <v>0</v>
      </c>
      <c r="T340" s="1"/>
      <c r="U340" s="5"/>
    </row>
    <row r="341" spans="18:21">
      <c r="R341" s="10">
        <f t="shared" ca="1" si="11"/>
        <v>0</v>
      </c>
      <c r="S341" s="5">
        <f t="shared" si="12"/>
        <v>0</v>
      </c>
      <c r="T341" s="1"/>
      <c r="U341" s="5"/>
    </row>
    <row r="342" spans="18:21">
      <c r="R342" s="10">
        <f t="shared" ca="1" si="11"/>
        <v>0</v>
      </c>
      <c r="S342" s="5">
        <f t="shared" si="12"/>
        <v>0</v>
      </c>
      <c r="T342" s="1"/>
      <c r="U342" s="5"/>
    </row>
    <row r="343" spans="18:21">
      <c r="R343" s="10">
        <f t="shared" ca="1" si="11"/>
        <v>0</v>
      </c>
      <c r="S343" s="5">
        <f t="shared" si="12"/>
        <v>0</v>
      </c>
      <c r="T343" s="1"/>
      <c r="U343" s="5"/>
    </row>
    <row r="344" spans="18:21">
      <c r="R344" s="10">
        <f t="shared" ca="1" si="11"/>
        <v>0</v>
      </c>
      <c r="S344" s="5">
        <f t="shared" si="12"/>
        <v>0</v>
      </c>
      <c r="T344" s="1"/>
      <c r="U344" s="5"/>
    </row>
    <row r="345" spans="18:21">
      <c r="R345" s="10">
        <f t="shared" ca="1" si="11"/>
        <v>0</v>
      </c>
      <c r="S345" s="5">
        <f t="shared" si="12"/>
        <v>0</v>
      </c>
      <c r="T345" s="1"/>
      <c r="U345" s="5"/>
    </row>
    <row r="346" spans="18:21">
      <c r="R346" s="10">
        <f t="shared" ca="1" si="11"/>
        <v>0</v>
      </c>
      <c r="S346" s="5">
        <f t="shared" si="12"/>
        <v>0</v>
      </c>
      <c r="T346" s="1"/>
      <c r="U346" s="5"/>
    </row>
    <row r="347" spans="18:21">
      <c r="R347" s="10">
        <f t="shared" ca="1" si="11"/>
        <v>0</v>
      </c>
      <c r="S347" s="5">
        <f t="shared" si="12"/>
        <v>0</v>
      </c>
      <c r="T347" s="1"/>
      <c r="U347" s="5"/>
    </row>
    <row r="348" spans="18:21">
      <c r="R348" s="10">
        <f t="shared" ca="1" si="11"/>
        <v>0</v>
      </c>
      <c r="S348" s="5">
        <f t="shared" si="12"/>
        <v>0</v>
      </c>
      <c r="T348" s="1"/>
      <c r="U348" s="5"/>
    </row>
    <row r="349" spans="18:21">
      <c r="R349" s="10">
        <f t="shared" ca="1" si="11"/>
        <v>0</v>
      </c>
      <c r="S349" s="5">
        <f t="shared" si="12"/>
        <v>0</v>
      </c>
      <c r="T349" s="1"/>
      <c r="U349" s="5"/>
    </row>
    <row r="350" spans="18:21">
      <c r="R350" s="10">
        <f t="shared" ca="1" si="11"/>
        <v>0</v>
      </c>
      <c r="S350" s="5">
        <f t="shared" si="12"/>
        <v>0</v>
      </c>
      <c r="T350" s="1"/>
      <c r="U350" s="5"/>
    </row>
    <row r="351" spans="18:21">
      <c r="R351" s="10">
        <f t="shared" ca="1" si="11"/>
        <v>0</v>
      </c>
      <c r="S351" s="5">
        <f t="shared" si="12"/>
        <v>0</v>
      </c>
      <c r="T351" s="1"/>
      <c r="U351" s="5"/>
    </row>
    <row r="352" spans="18:21">
      <c r="R352" s="10">
        <f t="shared" ca="1" si="11"/>
        <v>0</v>
      </c>
      <c r="S352" s="5">
        <f t="shared" si="12"/>
        <v>0</v>
      </c>
      <c r="T352" s="1"/>
      <c r="U352" s="5"/>
    </row>
    <row r="353" spans="15:21">
      <c r="R353" s="10">
        <f t="shared" ca="1" si="11"/>
        <v>0</v>
      </c>
      <c r="S353" s="5">
        <f t="shared" si="12"/>
        <v>0</v>
      </c>
      <c r="T353" s="1"/>
      <c r="U353" s="5"/>
    </row>
    <row r="354" spans="15:21">
      <c r="R354" s="10">
        <f t="shared" ca="1" si="11"/>
        <v>0</v>
      </c>
      <c r="S354" s="5">
        <f t="shared" si="12"/>
        <v>0</v>
      </c>
      <c r="T354" s="1"/>
      <c r="U354" s="5"/>
    </row>
    <row r="355" spans="15:21">
      <c r="O355" s="9"/>
      <c r="R355" s="10">
        <f t="shared" ca="1" si="11"/>
        <v>0</v>
      </c>
      <c r="S355" s="5">
        <f t="shared" si="12"/>
        <v>0</v>
      </c>
      <c r="T355" s="1"/>
      <c r="U355" s="5"/>
    </row>
    <row r="356" spans="15:21">
      <c r="O356" s="9"/>
      <c r="R356" s="10">
        <f t="shared" ref="R356:R419" ca="1" si="13">Q356/$AC$4</f>
        <v>0</v>
      </c>
      <c r="S356" s="5">
        <f t="shared" si="12"/>
        <v>0</v>
      </c>
      <c r="T356" s="1"/>
      <c r="U356" s="5"/>
    </row>
    <row r="357" spans="15:21">
      <c r="O357" s="9"/>
      <c r="R357" s="10">
        <f t="shared" ca="1" si="13"/>
        <v>0</v>
      </c>
      <c r="S357" s="5">
        <f t="shared" si="12"/>
        <v>0</v>
      </c>
      <c r="T357" s="1"/>
      <c r="U357" s="5"/>
    </row>
    <row r="358" spans="15:21">
      <c r="O358" s="9"/>
      <c r="R358" s="10">
        <f t="shared" ca="1" si="13"/>
        <v>0</v>
      </c>
      <c r="S358" s="5">
        <f t="shared" si="12"/>
        <v>0</v>
      </c>
      <c r="T358" s="1"/>
      <c r="U358" s="5"/>
    </row>
    <row r="359" spans="15:21">
      <c r="O359" s="9"/>
      <c r="R359" s="10">
        <f t="shared" ca="1" si="13"/>
        <v>0</v>
      </c>
      <c r="S359" s="5">
        <f t="shared" si="12"/>
        <v>0</v>
      </c>
      <c r="T359" s="1"/>
      <c r="U359" s="5"/>
    </row>
    <row r="360" spans="15:21">
      <c r="O360" s="9"/>
      <c r="R360" s="10">
        <f t="shared" ca="1" si="13"/>
        <v>0</v>
      </c>
      <c r="S360" s="5">
        <f t="shared" si="12"/>
        <v>0</v>
      </c>
      <c r="T360" s="1"/>
      <c r="U360" s="5"/>
    </row>
    <row r="361" spans="15:21">
      <c r="O361" s="9"/>
      <c r="R361" s="10">
        <f t="shared" ca="1" si="13"/>
        <v>0</v>
      </c>
      <c r="S361" s="5">
        <f t="shared" si="12"/>
        <v>0</v>
      </c>
      <c r="T361" s="1"/>
      <c r="U361" s="5"/>
    </row>
    <row r="362" spans="15:21">
      <c r="O362" s="9"/>
      <c r="R362" s="10">
        <f t="shared" ca="1" si="13"/>
        <v>0</v>
      </c>
      <c r="S362" s="5">
        <f t="shared" si="12"/>
        <v>0</v>
      </c>
      <c r="T362" s="1"/>
      <c r="U362" s="5"/>
    </row>
    <row r="363" spans="15:21">
      <c r="O363" s="9"/>
      <c r="R363" s="10">
        <f t="shared" ca="1" si="13"/>
        <v>0</v>
      </c>
      <c r="S363" s="5">
        <f t="shared" si="12"/>
        <v>0</v>
      </c>
      <c r="T363" s="1"/>
      <c r="U363" s="5"/>
    </row>
    <row r="364" spans="15:21">
      <c r="O364" s="9"/>
      <c r="R364" s="10">
        <f t="shared" ca="1" si="13"/>
        <v>0</v>
      </c>
      <c r="S364" s="5">
        <f t="shared" si="12"/>
        <v>0</v>
      </c>
      <c r="T364" s="1"/>
      <c r="U364" s="5"/>
    </row>
    <row r="365" spans="15:21">
      <c r="O365" s="9"/>
      <c r="R365" s="10">
        <f t="shared" ca="1" si="13"/>
        <v>0</v>
      </c>
      <c r="S365" s="5">
        <f t="shared" si="12"/>
        <v>0</v>
      </c>
      <c r="T365" s="1"/>
      <c r="U365" s="5"/>
    </row>
    <row r="366" spans="15:21">
      <c r="O366" s="9"/>
      <c r="R366" s="10">
        <f t="shared" ca="1" si="13"/>
        <v>0</v>
      </c>
      <c r="S366" s="5">
        <f t="shared" si="12"/>
        <v>0</v>
      </c>
      <c r="T366" s="1"/>
      <c r="U366" s="5"/>
    </row>
    <row r="367" spans="15:21">
      <c r="O367" s="9"/>
      <c r="R367" s="10">
        <f t="shared" ca="1" si="13"/>
        <v>0</v>
      </c>
      <c r="S367" s="5">
        <f t="shared" si="12"/>
        <v>0</v>
      </c>
      <c r="T367" s="1"/>
      <c r="U367" s="5"/>
    </row>
    <row r="368" spans="15:21">
      <c r="O368" s="9"/>
      <c r="R368" s="10">
        <f t="shared" ca="1" si="13"/>
        <v>0</v>
      </c>
      <c r="S368" s="5">
        <f t="shared" si="12"/>
        <v>0</v>
      </c>
      <c r="T368" s="1"/>
      <c r="U368" s="5"/>
    </row>
    <row r="369" spans="15:21">
      <c r="O369" s="9"/>
      <c r="R369" s="10">
        <f t="shared" ca="1" si="13"/>
        <v>0</v>
      </c>
      <c r="S369" s="5">
        <f t="shared" si="12"/>
        <v>0</v>
      </c>
      <c r="T369" s="1"/>
      <c r="U369" s="5"/>
    </row>
    <row r="370" spans="15:21">
      <c r="O370" s="9"/>
      <c r="R370" s="10">
        <f t="shared" ca="1" si="13"/>
        <v>0</v>
      </c>
      <c r="S370" s="5">
        <f t="shared" si="12"/>
        <v>0</v>
      </c>
      <c r="T370" s="1"/>
      <c r="U370" s="5"/>
    </row>
    <row r="371" spans="15:21">
      <c r="O371" s="9"/>
      <c r="R371" s="10">
        <f t="shared" ca="1" si="13"/>
        <v>0</v>
      </c>
      <c r="S371" s="5">
        <f t="shared" si="12"/>
        <v>0</v>
      </c>
      <c r="T371" s="1"/>
      <c r="U371" s="5"/>
    </row>
    <row r="372" spans="15:21">
      <c r="O372" s="9"/>
      <c r="R372" s="10">
        <f t="shared" ca="1" si="13"/>
        <v>0</v>
      </c>
      <c r="S372" s="5">
        <f t="shared" si="12"/>
        <v>0</v>
      </c>
      <c r="T372" s="1"/>
      <c r="U372" s="5"/>
    </row>
    <row r="373" spans="15:21">
      <c r="O373" s="9"/>
      <c r="R373" s="10">
        <f t="shared" ca="1" si="13"/>
        <v>0</v>
      </c>
      <c r="S373" s="5">
        <f t="shared" si="12"/>
        <v>0</v>
      </c>
      <c r="T373" s="1"/>
      <c r="U373" s="5"/>
    </row>
    <row r="374" spans="15:21">
      <c r="O374" s="9"/>
      <c r="R374" s="10">
        <f t="shared" ca="1" si="13"/>
        <v>0</v>
      </c>
      <c r="S374" s="5">
        <f t="shared" si="12"/>
        <v>0</v>
      </c>
      <c r="T374" s="1"/>
      <c r="U374" s="5"/>
    </row>
    <row r="375" spans="15:21">
      <c r="O375" s="9"/>
      <c r="R375" s="10">
        <f t="shared" ca="1" si="13"/>
        <v>0</v>
      </c>
      <c r="S375" s="5">
        <f t="shared" si="12"/>
        <v>0</v>
      </c>
      <c r="T375" s="1"/>
      <c r="U375" s="5"/>
    </row>
    <row r="376" spans="15:21">
      <c r="O376" s="9"/>
      <c r="R376" s="10">
        <f t="shared" ca="1" si="13"/>
        <v>0</v>
      </c>
      <c r="S376" s="5">
        <f t="shared" si="12"/>
        <v>0</v>
      </c>
      <c r="T376" s="1"/>
      <c r="U376" s="5"/>
    </row>
    <row r="377" spans="15:21">
      <c r="O377" s="9"/>
      <c r="R377" s="10">
        <f t="shared" ca="1" si="13"/>
        <v>0</v>
      </c>
      <c r="S377" s="5">
        <f t="shared" si="12"/>
        <v>0</v>
      </c>
      <c r="T377" s="1"/>
      <c r="U377" s="5"/>
    </row>
    <row r="378" spans="15:21">
      <c r="O378" s="9"/>
      <c r="R378" s="10">
        <f t="shared" ca="1" si="13"/>
        <v>0</v>
      </c>
      <c r="S378" s="5">
        <f t="shared" si="12"/>
        <v>0</v>
      </c>
      <c r="T378" s="1"/>
      <c r="U378" s="5"/>
    </row>
    <row r="379" spans="15:21">
      <c r="O379" s="9"/>
      <c r="R379" s="10">
        <f t="shared" ca="1" si="13"/>
        <v>0</v>
      </c>
      <c r="S379" s="5">
        <f t="shared" si="12"/>
        <v>0</v>
      </c>
      <c r="T379" s="1"/>
      <c r="U379" s="5"/>
    </row>
    <row r="380" spans="15:21">
      <c r="O380" s="9"/>
      <c r="R380" s="10">
        <f t="shared" ca="1" si="13"/>
        <v>0</v>
      </c>
      <c r="S380" s="5">
        <f t="shared" si="12"/>
        <v>0</v>
      </c>
      <c r="T380" s="1"/>
      <c r="U380" s="5"/>
    </row>
    <row r="381" spans="15:21">
      <c r="O381" s="9"/>
      <c r="R381" s="10">
        <f t="shared" ca="1" si="13"/>
        <v>0</v>
      </c>
      <c r="S381" s="5">
        <f t="shared" si="12"/>
        <v>0</v>
      </c>
      <c r="T381" s="1"/>
      <c r="U381" s="5"/>
    </row>
    <row r="382" spans="15:21">
      <c r="O382" s="9"/>
      <c r="R382" s="10">
        <f t="shared" ca="1" si="13"/>
        <v>0</v>
      </c>
      <c r="S382" s="5">
        <f t="shared" si="12"/>
        <v>0</v>
      </c>
      <c r="T382" s="1"/>
      <c r="U382" s="5"/>
    </row>
    <row r="383" spans="15:21">
      <c r="O383" s="9"/>
      <c r="R383" s="10">
        <f t="shared" ca="1" si="13"/>
        <v>0</v>
      </c>
      <c r="S383" s="5">
        <f t="shared" si="12"/>
        <v>0</v>
      </c>
      <c r="T383" s="1"/>
      <c r="U383" s="5"/>
    </row>
    <row r="384" spans="15:21">
      <c r="O384" s="9"/>
      <c r="R384" s="10">
        <f t="shared" ca="1" si="13"/>
        <v>0</v>
      </c>
      <c r="S384" s="5">
        <f t="shared" si="12"/>
        <v>0</v>
      </c>
      <c r="T384" s="1"/>
      <c r="U384" s="5"/>
    </row>
    <row r="385" spans="15:21">
      <c r="O385" s="9"/>
      <c r="R385" s="10">
        <f t="shared" ca="1" si="13"/>
        <v>0</v>
      </c>
      <c r="S385" s="5">
        <f t="shared" si="12"/>
        <v>0</v>
      </c>
      <c r="T385" s="1"/>
      <c r="U385" s="5"/>
    </row>
    <row r="386" spans="15:21">
      <c r="O386" s="9"/>
      <c r="R386" s="10">
        <f t="shared" ca="1" si="13"/>
        <v>0</v>
      </c>
      <c r="S386" s="5">
        <f t="shared" ref="S386:S449" si="14">_xlfn.XLOOKUP(O386,AE:AE,AG:AG)</f>
        <v>0</v>
      </c>
      <c r="T386" s="1"/>
      <c r="U386" s="5"/>
    </row>
    <row r="387" spans="15:21">
      <c r="O387" s="9"/>
      <c r="R387" s="10">
        <f t="shared" ca="1" si="13"/>
        <v>0</v>
      </c>
      <c r="S387" s="5">
        <f t="shared" si="14"/>
        <v>0</v>
      </c>
      <c r="T387" s="1"/>
      <c r="U387" s="5"/>
    </row>
    <row r="388" spans="15:21">
      <c r="O388" s="9"/>
      <c r="R388" s="10">
        <f t="shared" ca="1" si="13"/>
        <v>0</v>
      </c>
      <c r="S388" s="5">
        <f t="shared" si="14"/>
        <v>0</v>
      </c>
      <c r="T388" s="1"/>
      <c r="U388" s="5"/>
    </row>
    <row r="389" spans="15:21">
      <c r="O389" s="9"/>
      <c r="R389" s="10">
        <f t="shared" ca="1" si="13"/>
        <v>0</v>
      </c>
      <c r="S389" s="5">
        <f t="shared" si="14"/>
        <v>0</v>
      </c>
      <c r="T389" s="1"/>
      <c r="U389" s="5"/>
    </row>
    <row r="390" spans="15:21">
      <c r="O390" s="9"/>
      <c r="R390" s="10">
        <f t="shared" ca="1" si="13"/>
        <v>0</v>
      </c>
      <c r="S390" s="5">
        <f t="shared" si="14"/>
        <v>0</v>
      </c>
      <c r="T390" s="1"/>
      <c r="U390" s="5"/>
    </row>
    <row r="391" spans="15:21">
      <c r="O391" s="9"/>
      <c r="R391" s="10">
        <f t="shared" ca="1" si="13"/>
        <v>0</v>
      </c>
      <c r="S391" s="5">
        <f t="shared" si="14"/>
        <v>0</v>
      </c>
      <c r="T391" s="1"/>
      <c r="U391" s="5"/>
    </row>
    <row r="392" spans="15:21">
      <c r="O392" s="9"/>
      <c r="R392" s="10">
        <f t="shared" ca="1" si="13"/>
        <v>0</v>
      </c>
      <c r="S392" s="5">
        <f t="shared" si="14"/>
        <v>0</v>
      </c>
      <c r="T392" s="1"/>
      <c r="U392" s="5"/>
    </row>
    <row r="393" spans="15:21">
      <c r="O393" s="9"/>
      <c r="R393" s="10">
        <f t="shared" ca="1" si="13"/>
        <v>0</v>
      </c>
      <c r="S393" s="5">
        <f t="shared" si="14"/>
        <v>0</v>
      </c>
      <c r="T393" s="1"/>
      <c r="U393" s="5"/>
    </row>
    <row r="394" spans="15:21">
      <c r="O394" s="9"/>
      <c r="R394" s="10">
        <f t="shared" ca="1" si="13"/>
        <v>0</v>
      </c>
      <c r="S394" s="5">
        <f t="shared" si="14"/>
        <v>0</v>
      </c>
      <c r="T394" s="1"/>
      <c r="U394" s="5"/>
    </row>
    <row r="395" spans="15:21">
      <c r="O395" s="9"/>
      <c r="R395" s="10">
        <f t="shared" ca="1" si="13"/>
        <v>0</v>
      </c>
      <c r="S395" s="5">
        <f t="shared" si="14"/>
        <v>0</v>
      </c>
      <c r="T395" s="1"/>
      <c r="U395" s="5"/>
    </row>
    <row r="396" spans="15:21">
      <c r="O396" s="9"/>
      <c r="R396" s="10">
        <f t="shared" ca="1" si="13"/>
        <v>0</v>
      </c>
      <c r="S396" s="5">
        <f t="shared" si="14"/>
        <v>0</v>
      </c>
      <c r="T396" s="1"/>
      <c r="U396" s="5"/>
    </row>
    <row r="397" spans="15:21">
      <c r="O397" s="9"/>
      <c r="R397" s="10">
        <f t="shared" ca="1" si="13"/>
        <v>0</v>
      </c>
      <c r="S397" s="5">
        <f t="shared" si="14"/>
        <v>0</v>
      </c>
      <c r="T397" s="1"/>
      <c r="U397" s="5"/>
    </row>
    <row r="398" spans="15:21">
      <c r="O398" s="9"/>
      <c r="R398" s="10">
        <f t="shared" ca="1" si="13"/>
        <v>0</v>
      </c>
      <c r="S398" s="5">
        <f t="shared" si="14"/>
        <v>0</v>
      </c>
      <c r="T398" s="1"/>
      <c r="U398" s="5"/>
    </row>
    <row r="399" spans="15:21">
      <c r="O399" s="9"/>
      <c r="R399" s="10">
        <f t="shared" ca="1" si="13"/>
        <v>0</v>
      </c>
      <c r="S399" s="5">
        <f t="shared" si="14"/>
        <v>0</v>
      </c>
      <c r="T399" s="1"/>
      <c r="U399" s="5"/>
    </row>
    <row r="400" spans="15:21">
      <c r="O400" s="9"/>
      <c r="R400" s="10">
        <f t="shared" ca="1" si="13"/>
        <v>0</v>
      </c>
      <c r="S400" s="5">
        <f t="shared" si="14"/>
        <v>0</v>
      </c>
      <c r="T400" s="1"/>
      <c r="U400" s="5"/>
    </row>
    <row r="401" spans="15:21">
      <c r="O401" s="9"/>
      <c r="R401" s="10">
        <f t="shared" ca="1" si="13"/>
        <v>0</v>
      </c>
      <c r="S401" s="5">
        <f t="shared" si="14"/>
        <v>0</v>
      </c>
      <c r="T401" s="1"/>
      <c r="U401" s="5"/>
    </row>
    <row r="402" spans="15:21">
      <c r="O402" s="9"/>
      <c r="R402" s="10">
        <f t="shared" ca="1" si="13"/>
        <v>0</v>
      </c>
      <c r="S402" s="5">
        <f t="shared" si="14"/>
        <v>0</v>
      </c>
      <c r="T402" s="1"/>
      <c r="U402" s="5"/>
    </row>
    <row r="403" spans="15:21">
      <c r="O403" s="9"/>
      <c r="R403" s="10">
        <f t="shared" ca="1" si="13"/>
        <v>0</v>
      </c>
      <c r="S403" s="5">
        <f t="shared" si="14"/>
        <v>0</v>
      </c>
      <c r="T403" s="1"/>
      <c r="U403" s="5"/>
    </row>
    <row r="404" spans="15:21">
      <c r="O404" s="9"/>
      <c r="R404" s="10">
        <f t="shared" ca="1" si="13"/>
        <v>0</v>
      </c>
      <c r="S404" s="5">
        <f t="shared" si="14"/>
        <v>0</v>
      </c>
      <c r="T404" s="1"/>
      <c r="U404" s="5"/>
    </row>
    <row r="405" spans="15:21">
      <c r="O405" s="9"/>
      <c r="R405" s="10">
        <f t="shared" ca="1" si="13"/>
        <v>0</v>
      </c>
      <c r="S405" s="5">
        <f t="shared" si="14"/>
        <v>0</v>
      </c>
      <c r="T405" s="1"/>
      <c r="U405" s="5"/>
    </row>
    <row r="406" spans="15:21">
      <c r="O406" s="9"/>
      <c r="R406" s="10">
        <f t="shared" ca="1" si="13"/>
        <v>0</v>
      </c>
      <c r="S406" s="5">
        <f t="shared" si="14"/>
        <v>0</v>
      </c>
      <c r="T406" s="1"/>
      <c r="U406" s="5"/>
    </row>
    <row r="407" spans="15:21">
      <c r="O407" s="9"/>
      <c r="R407" s="10">
        <f t="shared" ca="1" si="13"/>
        <v>0</v>
      </c>
      <c r="S407" s="5">
        <f t="shared" si="14"/>
        <v>0</v>
      </c>
      <c r="T407" s="1"/>
      <c r="U407" s="5"/>
    </row>
    <row r="408" spans="15:21">
      <c r="O408" s="9"/>
      <c r="R408" s="10">
        <f t="shared" ca="1" si="13"/>
        <v>0</v>
      </c>
      <c r="S408" s="5">
        <f t="shared" si="14"/>
        <v>0</v>
      </c>
      <c r="T408" s="1"/>
      <c r="U408" s="5"/>
    </row>
    <row r="409" spans="15:21">
      <c r="O409" s="9"/>
      <c r="R409" s="10">
        <f t="shared" ca="1" si="13"/>
        <v>0</v>
      </c>
      <c r="S409" s="5">
        <f t="shared" si="14"/>
        <v>0</v>
      </c>
      <c r="T409" s="1"/>
      <c r="U409" s="5"/>
    </row>
    <row r="410" spans="15:21">
      <c r="O410" s="9"/>
      <c r="R410" s="10">
        <f t="shared" ca="1" si="13"/>
        <v>0</v>
      </c>
      <c r="S410" s="5">
        <f t="shared" si="14"/>
        <v>0</v>
      </c>
      <c r="T410" s="1"/>
      <c r="U410" s="5"/>
    </row>
    <row r="411" spans="15:21">
      <c r="O411" s="9"/>
      <c r="R411" s="10">
        <f t="shared" ca="1" si="13"/>
        <v>0</v>
      </c>
      <c r="S411" s="5">
        <f t="shared" si="14"/>
        <v>0</v>
      </c>
      <c r="T411" s="1"/>
      <c r="U411" s="5"/>
    </row>
    <row r="412" spans="15:21">
      <c r="O412" s="9"/>
      <c r="R412" s="10">
        <f t="shared" ca="1" si="13"/>
        <v>0</v>
      </c>
      <c r="S412" s="5">
        <f t="shared" si="14"/>
        <v>0</v>
      </c>
      <c r="T412" s="1"/>
      <c r="U412" s="5"/>
    </row>
    <row r="413" spans="15:21">
      <c r="O413" s="9"/>
      <c r="R413" s="10">
        <f t="shared" ca="1" si="13"/>
        <v>0</v>
      </c>
      <c r="S413" s="5">
        <f t="shared" si="14"/>
        <v>0</v>
      </c>
      <c r="T413" s="1"/>
      <c r="U413" s="5"/>
    </row>
    <row r="414" spans="15:21">
      <c r="O414" s="9"/>
      <c r="R414" s="10">
        <f t="shared" ca="1" si="13"/>
        <v>0</v>
      </c>
      <c r="S414" s="5">
        <f t="shared" si="14"/>
        <v>0</v>
      </c>
      <c r="T414" s="1"/>
      <c r="U414" s="5"/>
    </row>
    <row r="415" spans="15:21">
      <c r="O415" s="9"/>
      <c r="R415" s="10">
        <f t="shared" ca="1" si="13"/>
        <v>0</v>
      </c>
      <c r="S415" s="5">
        <f t="shared" si="14"/>
        <v>0</v>
      </c>
      <c r="T415" s="1"/>
      <c r="U415" s="5"/>
    </row>
    <row r="416" spans="15:21">
      <c r="O416" s="9"/>
      <c r="R416" s="10">
        <f t="shared" ca="1" si="13"/>
        <v>0</v>
      </c>
      <c r="S416" s="5">
        <f t="shared" si="14"/>
        <v>0</v>
      </c>
      <c r="T416" s="1"/>
      <c r="U416" s="5"/>
    </row>
    <row r="417" spans="15:21">
      <c r="O417" s="9"/>
      <c r="R417" s="10">
        <f t="shared" ca="1" si="13"/>
        <v>0</v>
      </c>
      <c r="S417" s="5">
        <f t="shared" si="14"/>
        <v>0</v>
      </c>
      <c r="T417" s="1"/>
      <c r="U417" s="5"/>
    </row>
    <row r="418" spans="15:21">
      <c r="O418" s="9"/>
      <c r="R418" s="10">
        <f t="shared" ca="1" si="13"/>
        <v>0</v>
      </c>
      <c r="S418" s="5">
        <f t="shared" si="14"/>
        <v>0</v>
      </c>
      <c r="T418" s="1"/>
      <c r="U418" s="5"/>
    </row>
    <row r="419" spans="15:21">
      <c r="O419" s="9"/>
      <c r="R419" s="10">
        <f t="shared" ca="1" si="13"/>
        <v>0</v>
      </c>
      <c r="S419" s="5">
        <f t="shared" si="14"/>
        <v>0</v>
      </c>
      <c r="T419" s="1"/>
      <c r="U419" s="5"/>
    </row>
    <row r="420" spans="15:21">
      <c r="O420" s="9"/>
      <c r="R420" s="10">
        <f t="shared" ref="R420:R483" ca="1" si="15">Q420/$AC$4</f>
        <v>0</v>
      </c>
      <c r="S420" s="5">
        <f t="shared" si="14"/>
        <v>0</v>
      </c>
      <c r="T420" s="1"/>
      <c r="U420" s="5"/>
    </row>
    <row r="421" spans="15:21">
      <c r="O421" s="9"/>
      <c r="R421" s="10">
        <f t="shared" ca="1" si="15"/>
        <v>0</v>
      </c>
      <c r="S421" s="5">
        <f t="shared" si="14"/>
        <v>0</v>
      </c>
      <c r="T421" s="1"/>
      <c r="U421" s="5"/>
    </row>
    <row r="422" spans="15:21">
      <c r="O422" s="9"/>
      <c r="R422" s="10">
        <f t="shared" ca="1" si="15"/>
        <v>0</v>
      </c>
      <c r="S422" s="5">
        <f t="shared" si="14"/>
        <v>0</v>
      </c>
      <c r="T422" s="1"/>
      <c r="U422" s="5"/>
    </row>
    <row r="423" spans="15:21">
      <c r="O423" s="9"/>
      <c r="R423" s="10">
        <f t="shared" ca="1" si="15"/>
        <v>0</v>
      </c>
      <c r="S423" s="5">
        <f t="shared" si="14"/>
        <v>0</v>
      </c>
      <c r="T423" s="1"/>
      <c r="U423" s="5"/>
    </row>
    <row r="424" spans="15:21">
      <c r="O424" s="9"/>
      <c r="R424" s="10">
        <f t="shared" ca="1" si="15"/>
        <v>0</v>
      </c>
      <c r="S424" s="5">
        <f t="shared" si="14"/>
        <v>0</v>
      </c>
      <c r="T424" s="1"/>
      <c r="U424" s="5"/>
    </row>
    <row r="425" spans="15:21">
      <c r="O425" s="9"/>
      <c r="R425" s="10">
        <f t="shared" ca="1" si="15"/>
        <v>0</v>
      </c>
      <c r="S425" s="5">
        <f t="shared" si="14"/>
        <v>0</v>
      </c>
      <c r="T425" s="1"/>
      <c r="U425" s="5"/>
    </row>
    <row r="426" spans="15:21">
      <c r="O426" s="9"/>
      <c r="R426" s="10">
        <f t="shared" ca="1" si="15"/>
        <v>0</v>
      </c>
      <c r="S426" s="5">
        <f t="shared" si="14"/>
        <v>0</v>
      </c>
      <c r="T426" s="1"/>
      <c r="U426" s="5"/>
    </row>
    <row r="427" spans="15:21">
      <c r="O427" s="9"/>
      <c r="R427" s="10">
        <f t="shared" ca="1" si="15"/>
        <v>0</v>
      </c>
      <c r="S427" s="5">
        <f t="shared" si="14"/>
        <v>0</v>
      </c>
      <c r="T427" s="1"/>
      <c r="U427" s="5"/>
    </row>
    <row r="428" spans="15:21">
      <c r="O428" s="9"/>
      <c r="R428" s="10">
        <f t="shared" ca="1" si="15"/>
        <v>0</v>
      </c>
      <c r="S428" s="5">
        <f t="shared" si="14"/>
        <v>0</v>
      </c>
      <c r="T428" s="1"/>
      <c r="U428" s="5"/>
    </row>
    <row r="429" spans="15:21">
      <c r="O429" s="9"/>
      <c r="R429" s="10">
        <f t="shared" ca="1" si="15"/>
        <v>0</v>
      </c>
      <c r="S429" s="5">
        <f t="shared" si="14"/>
        <v>0</v>
      </c>
      <c r="T429" s="1"/>
      <c r="U429" s="5"/>
    </row>
    <row r="430" spans="15:21">
      <c r="O430" s="9"/>
      <c r="R430" s="10">
        <f t="shared" ca="1" si="15"/>
        <v>0</v>
      </c>
      <c r="S430" s="5">
        <f t="shared" si="14"/>
        <v>0</v>
      </c>
      <c r="T430" s="1"/>
      <c r="U430" s="5"/>
    </row>
    <row r="431" spans="15:21">
      <c r="O431" s="9"/>
      <c r="R431" s="10">
        <f t="shared" ca="1" si="15"/>
        <v>0</v>
      </c>
      <c r="S431" s="5">
        <f t="shared" si="14"/>
        <v>0</v>
      </c>
      <c r="T431" s="1"/>
      <c r="U431" s="5"/>
    </row>
    <row r="432" spans="15:21">
      <c r="O432" s="9"/>
      <c r="R432" s="10">
        <f t="shared" ca="1" si="15"/>
        <v>0</v>
      </c>
      <c r="S432" s="5">
        <f t="shared" si="14"/>
        <v>0</v>
      </c>
      <c r="T432" s="1"/>
      <c r="U432" s="5"/>
    </row>
    <row r="433" spans="15:21">
      <c r="O433" s="9"/>
      <c r="R433" s="10">
        <f t="shared" ca="1" si="15"/>
        <v>0</v>
      </c>
      <c r="S433" s="5">
        <f t="shared" si="14"/>
        <v>0</v>
      </c>
      <c r="T433" s="1"/>
      <c r="U433" s="5"/>
    </row>
    <row r="434" spans="15:21">
      <c r="O434" s="9"/>
      <c r="R434" s="10">
        <f t="shared" ca="1" si="15"/>
        <v>0</v>
      </c>
      <c r="S434" s="5">
        <f t="shared" si="14"/>
        <v>0</v>
      </c>
      <c r="T434" s="1"/>
      <c r="U434" s="5"/>
    </row>
    <row r="435" spans="15:21">
      <c r="O435" s="9"/>
      <c r="R435" s="10">
        <f t="shared" ca="1" si="15"/>
        <v>0</v>
      </c>
      <c r="S435" s="5">
        <f t="shared" si="14"/>
        <v>0</v>
      </c>
      <c r="T435" s="1"/>
      <c r="U435" s="5"/>
    </row>
    <row r="436" spans="15:21">
      <c r="O436" s="9"/>
      <c r="R436" s="10">
        <f t="shared" ca="1" si="15"/>
        <v>0</v>
      </c>
      <c r="S436" s="5">
        <f t="shared" si="14"/>
        <v>0</v>
      </c>
      <c r="T436" s="1"/>
      <c r="U436" s="5"/>
    </row>
    <row r="437" spans="15:21">
      <c r="O437" s="9"/>
      <c r="R437" s="10">
        <f t="shared" ca="1" si="15"/>
        <v>0</v>
      </c>
      <c r="S437" s="5">
        <f t="shared" si="14"/>
        <v>0</v>
      </c>
      <c r="T437" s="1"/>
      <c r="U437" s="5"/>
    </row>
    <row r="438" spans="15:21">
      <c r="O438" s="9"/>
      <c r="R438" s="10">
        <f t="shared" ca="1" si="15"/>
        <v>0</v>
      </c>
      <c r="S438" s="5">
        <f t="shared" si="14"/>
        <v>0</v>
      </c>
      <c r="T438" s="1"/>
      <c r="U438" s="5"/>
    </row>
    <row r="439" spans="15:21">
      <c r="O439" s="9"/>
      <c r="R439" s="10">
        <f t="shared" ca="1" si="15"/>
        <v>0</v>
      </c>
      <c r="S439" s="5">
        <f t="shared" si="14"/>
        <v>0</v>
      </c>
      <c r="T439" s="1"/>
      <c r="U439" s="5"/>
    </row>
    <row r="440" spans="15:21">
      <c r="O440" s="9"/>
      <c r="R440" s="10">
        <f t="shared" ca="1" si="15"/>
        <v>0</v>
      </c>
      <c r="S440" s="5">
        <f t="shared" si="14"/>
        <v>0</v>
      </c>
      <c r="T440" s="1"/>
      <c r="U440" s="5"/>
    </row>
    <row r="441" spans="15:21">
      <c r="O441" s="9"/>
      <c r="R441" s="10">
        <f t="shared" ca="1" si="15"/>
        <v>0</v>
      </c>
      <c r="S441" s="5">
        <f t="shared" si="14"/>
        <v>0</v>
      </c>
      <c r="T441" s="1"/>
      <c r="U441" s="5"/>
    </row>
    <row r="442" spans="15:21">
      <c r="O442" s="9"/>
      <c r="R442" s="10">
        <f t="shared" ca="1" si="15"/>
        <v>0</v>
      </c>
      <c r="S442" s="5">
        <f t="shared" si="14"/>
        <v>0</v>
      </c>
      <c r="T442" s="1"/>
      <c r="U442" s="5"/>
    </row>
    <row r="443" spans="15:21">
      <c r="O443" s="9"/>
      <c r="R443" s="10">
        <f t="shared" ca="1" si="15"/>
        <v>0</v>
      </c>
      <c r="S443" s="5">
        <f t="shared" si="14"/>
        <v>0</v>
      </c>
      <c r="T443" s="1"/>
      <c r="U443" s="5"/>
    </row>
    <row r="444" spans="15:21">
      <c r="O444" s="9"/>
      <c r="R444" s="10">
        <f t="shared" ca="1" si="15"/>
        <v>0</v>
      </c>
      <c r="S444" s="5">
        <f t="shared" si="14"/>
        <v>0</v>
      </c>
      <c r="T444" s="1"/>
      <c r="U444" s="5"/>
    </row>
    <row r="445" spans="15:21">
      <c r="O445" s="9"/>
      <c r="R445" s="10">
        <f t="shared" ca="1" si="15"/>
        <v>0</v>
      </c>
      <c r="S445" s="5">
        <f t="shared" si="14"/>
        <v>0</v>
      </c>
      <c r="T445" s="1"/>
      <c r="U445" s="5"/>
    </row>
    <row r="446" spans="15:21">
      <c r="O446" s="9"/>
      <c r="R446" s="10">
        <f t="shared" ca="1" si="15"/>
        <v>0</v>
      </c>
      <c r="S446" s="5">
        <f t="shared" si="14"/>
        <v>0</v>
      </c>
      <c r="T446" s="1"/>
      <c r="U446" s="5"/>
    </row>
    <row r="447" spans="15:21">
      <c r="O447" s="9"/>
      <c r="R447" s="10">
        <f t="shared" ca="1" si="15"/>
        <v>0</v>
      </c>
      <c r="S447" s="5">
        <f t="shared" si="14"/>
        <v>0</v>
      </c>
      <c r="T447" s="1"/>
      <c r="U447" s="5"/>
    </row>
    <row r="448" spans="15:21">
      <c r="O448" s="9"/>
      <c r="R448" s="10">
        <f t="shared" ca="1" si="15"/>
        <v>0</v>
      </c>
      <c r="S448" s="5">
        <f t="shared" si="14"/>
        <v>0</v>
      </c>
      <c r="T448" s="1"/>
      <c r="U448" s="5"/>
    </row>
    <row r="449" spans="15:21">
      <c r="O449" s="9"/>
      <c r="R449" s="10">
        <f t="shared" ca="1" si="15"/>
        <v>0</v>
      </c>
      <c r="S449" s="5">
        <f t="shared" si="14"/>
        <v>0</v>
      </c>
      <c r="T449" s="1"/>
      <c r="U449" s="5"/>
    </row>
    <row r="450" spans="15:21">
      <c r="O450" s="9"/>
      <c r="R450" s="10">
        <f t="shared" ca="1" si="15"/>
        <v>0</v>
      </c>
      <c r="S450" s="5">
        <f t="shared" ref="S450:S513" si="16">_xlfn.XLOOKUP(O450,AE:AE,AG:AG)</f>
        <v>0</v>
      </c>
      <c r="T450" s="1"/>
      <c r="U450" s="5"/>
    </row>
    <row r="451" spans="15:21">
      <c r="O451" s="9"/>
      <c r="R451" s="10">
        <f t="shared" ca="1" si="15"/>
        <v>0</v>
      </c>
      <c r="S451" s="5">
        <f t="shared" si="16"/>
        <v>0</v>
      </c>
      <c r="T451" s="1"/>
      <c r="U451" s="5"/>
    </row>
    <row r="452" spans="15:21">
      <c r="O452" s="9"/>
      <c r="R452" s="10">
        <f t="shared" ca="1" si="15"/>
        <v>0</v>
      </c>
      <c r="S452" s="5">
        <f t="shared" si="16"/>
        <v>0</v>
      </c>
      <c r="T452" s="1"/>
      <c r="U452" s="5"/>
    </row>
    <row r="453" spans="15:21">
      <c r="O453" s="9"/>
      <c r="R453" s="10">
        <f t="shared" ca="1" si="15"/>
        <v>0</v>
      </c>
      <c r="S453" s="5">
        <f t="shared" si="16"/>
        <v>0</v>
      </c>
      <c r="T453" s="1"/>
      <c r="U453" s="5"/>
    </row>
    <row r="454" spans="15:21">
      <c r="O454" s="9"/>
      <c r="R454" s="10">
        <f t="shared" ca="1" si="15"/>
        <v>0</v>
      </c>
      <c r="S454" s="5">
        <f t="shared" si="16"/>
        <v>0</v>
      </c>
      <c r="T454" s="1"/>
      <c r="U454" s="5"/>
    </row>
    <row r="455" spans="15:21">
      <c r="O455" s="9"/>
      <c r="R455" s="10">
        <f t="shared" ca="1" si="15"/>
        <v>0</v>
      </c>
      <c r="S455" s="5">
        <f t="shared" si="16"/>
        <v>0</v>
      </c>
      <c r="T455" s="1"/>
      <c r="U455" s="5"/>
    </row>
    <row r="456" spans="15:21">
      <c r="O456" s="9"/>
      <c r="R456" s="10">
        <f t="shared" ca="1" si="15"/>
        <v>0</v>
      </c>
      <c r="S456" s="5">
        <f t="shared" si="16"/>
        <v>0</v>
      </c>
      <c r="T456" s="1"/>
      <c r="U456" s="5"/>
    </row>
    <row r="457" spans="15:21">
      <c r="O457" s="9"/>
      <c r="R457" s="10">
        <f t="shared" ca="1" si="15"/>
        <v>0</v>
      </c>
      <c r="S457" s="5">
        <f t="shared" si="16"/>
        <v>0</v>
      </c>
      <c r="T457" s="1"/>
      <c r="U457" s="5"/>
    </row>
    <row r="458" spans="15:21">
      <c r="O458" s="9"/>
      <c r="R458" s="10">
        <f t="shared" ca="1" si="15"/>
        <v>0</v>
      </c>
      <c r="S458" s="5">
        <f t="shared" si="16"/>
        <v>0</v>
      </c>
      <c r="T458" s="1"/>
      <c r="U458" s="5"/>
    </row>
    <row r="459" spans="15:21">
      <c r="O459" s="9"/>
      <c r="R459" s="10">
        <f t="shared" ca="1" si="15"/>
        <v>0</v>
      </c>
      <c r="S459" s="5">
        <f t="shared" si="16"/>
        <v>0</v>
      </c>
      <c r="T459" s="1"/>
      <c r="U459" s="5"/>
    </row>
    <row r="460" spans="15:21">
      <c r="O460" s="9"/>
      <c r="R460" s="10">
        <f t="shared" ca="1" si="15"/>
        <v>0</v>
      </c>
      <c r="S460" s="5">
        <f t="shared" si="16"/>
        <v>0</v>
      </c>
      <c r="T460" s="1"/>
      <c r="U460" s="5"/>
    </row>
    <row r="461" spans="15:21">
      <c r="O461" s="9"/>
      <c r="R461" s="10">
        <f t="shared" ca="1" si="15"/>
        <v>0</v>
      </c>
      <c r="S461" s="5">
        <f t="shared" si="16"/>
        <v>0</v>
      </c>
      <c r="T461" s="1"/>
      <c r="U461" s="5"/>
    </row>
    <row r="462" spans="15:21">
      <c r="O462" s="9"/>
      <c r="R462" s="10">
        <f t="shared" ca="1" si="15"/>
        <v>0</v>
      </c>
      <c r="S462" s="5">
        <f t="shared" si="16"/>
        <v>0</v>
      </c>
      <c r="T462" s="1"/>
      <c r="U462" s="5"/>
    </row>
    <row r="463" spans="15:21">
      <c r="O463" s="9"/>
      <c r="R463" s="10">
        <f t="shared" ca="1" si="15"/>
        <v>0</v>
      </c>
      <c r="S463" s="5">
        <f t="shared" si="16"/>
        <v>0</v>
      </c>
      <c r="T463" s="1"/>
      <c r="U463" s="5"/>
    </row>
    <row r="464" spans="15:21">
      <c r="O464" s="9"/>
      <c r="R464" s="10">
        <f t="shared" ca="1" si="15"/>
        <v>0</v>
      </c>
      <c r="S464" s="5">
        <f t="shared" si="16"/>
        <v>0</v>
      </c>
      <c r="T464" s="1"/>
      <c r="U464" s="5"/>
    </row>
    <row r="465" spans="15:21">
      <c r="O465" s="9"/>
      <c r="R465" s="10">
        <f t="shared" ca="1" si="15"/>
        <v>0</v>
      </c>
      <c r="S465" s="5">
        <f t="shared" si="16"/>
        <v>0</v>
      </c>
      <c r="T465" s="1"/>
      <c r="U465" s="5"/>
    </row>
    <row r="466" spans="15:21">
      <c r="O466" s="9"/>
      <c r="R466" s="10">
        <f t="shared" ca="1" si="15"/>
        <v>0</v>
      </c>
      <c r="S466" s="5">
        <f t="shared" si="16"/>
        <v>0</v>
      </c>
      <c r="T466" s="1"/>
      <c r="U466" s="5"/>
    </row>
    <row r="467" spans="15:21">
      <c r="O467" s="9"/>
      <c r="R467" s="10">
        <f t="shared" ca="1" si="15"/>
        <v>0</v>
      </c>
      <c r="S467" s="5">
        <f t="shared" si="16"/>
        <v>0</v>
      </c>
      <c r="T467" s="1"/>
      <c r="U467" s="5"/>
    </row>
    <row r="468" spans="15:21">
      <c r="O468" s="9"/>
      <c r="R468" s="10">
        <f t="shared" ca="1" si="15"/>
        <v>0</v>
      </c>
      <c r="S468" s="5">
        <f t="shared" si="16"/>
        <v>0</v>
      </c>
      <c r="T468" s="1"/>
      <c r="U468" s="5"/>
    </row>
    <row r="469" spans="15:21">
      <c r="O469" s="9"/>
      <c r="R469" s="10">
        <f t="shared" ca="1" si="15"/>
        <v>0</v>
      </c>
      <c r="S469" s="5">
        <f t="shared" si="16"/>
        <v>0</v>
      </c>
      <c r="T469" s="1"/>
      <c r="U469" s="5"/>
    </row>
    <row r="470" spans="15:21">
      <c r="O470" s="9"/>
      <c r="R470" s="10">
        <f t="shared" ca="1" si="15"/>
        <v>0</v>
      </c>
      <c r="S470" s="5">
        <f t="shared" si="16"/>
        <v>0</v>
      </c>
      <c r="T470" s="1"/>
      <c r="U470" s="5"/>
    </row>
    <row r="471" spans="15:21">
      <c r="O471" s="9"/>
      <c r="R471" s="10">
        <f t="shared" ca="1" si="15"/>
        <v>0</v>
      </c>
      <c r="S471" s="5">
        <f t="shared" si="16"/>
        <v>0</v>
      </c>
      <c r="T471" s="1"/>
      <c r="U471" s="5"/>
    </row>
    <row r="472" spans="15:21">
      <c r="O472" s="9"/>
      <c r="R472" s="10">
        <f t="shared" ca="1" si="15"/>
        <v>0</v>
      </c>
      <c r="S472" s="5">
        <f t="shared" si="16"/>
        <v>0</v>
      </c>
      <c r="T472" s="1"/>
      <c r="U472" s="5"/>
    </row>
    <row r="473" spans="15:21">
      <c r="O473" s="9"/>
      <c r="R473" s="10">
        <f t="shared" ca="1" si="15"/>
        <v>0</v>
      </c>
      <c r="S473" s="5">
        <f t="shared" si="16"/>
        <v>0</v>
      </c>
      <c r="T473" s="1"/>
      <c r="U473" s="5"/>
    </row>
    <row r="474" spans="15:21">
      <c r="O474" s="9"/>
      <c r="R474" s="10">
        <f t="shared" ca="1" si="15"/>
        <v>0</v>
      </c>
      <c r="S474" s="5">
        <f t="shared" si="16"/>
        <v>0</v>
      </c>
      <c r="T474" s="1"/>
      <c r="U474" s="5"/>
    </row>
    <row r="475" spans="15:21">
      <c r="O475" s="9"/>
      <c r="R475" s="10">
        <f t="shared" ca="1" si="15"/>
        <v>0</v>
      </c>
      <c r="S475" s="5">
        <f t="shared" si="16"/>
        <v>0</v>
      </c>
      <c r="T475" s="1"/>
      <c r="U475" s="5"/>
    </row>
    <row r="476" spans="15:21">
      <c r="O476" s="9"/>
      <c r="R476" s="10">
        <f t="shared" ca="1" si="15"/>
        <v>0</v>
      </c>
      <c r="S476" s="5">
        <f t="shared" si="16"/>
        <v>0</v>
      </c>
      <c r="T476" s="1"/>
      <c r="U476" s="5"/>
    </row>
    <row r="477" spans="15:21">
      <c r="O477" s="9"/>
      <c r="R477" s="10">
        <f t="shared" ca="1" si="15"/>
        <v>0</v>
      </c>
      <c r="S477" s="5">
        <f t="shared" si="16"/>
        <v>0</v>
      </c>
      <c r="T477" s="1"/>
      <c r="U477" s="5"/>
    </row>
    <row r="478" spans="15:21">
      <c r="O478" s="9"/>
      <c r="R478" s="10">
        <f t="shared" ca="1" si="15"/>
        <v>0</v>
      </c>
      <c r="S478" s="5">
        <f t="shared" si="16"/>
        <v>0</v>
      </c>
      <c r="T478" s="1"/>
      <c r="U478" s="5"/>
    </row>
    <row r="479" spans="15:21">
      <c r="O479" s="9"/>
      <c r="R479" s="10">
        <f t="shared" ca="1" si="15"/>
        <v>0</v>
      </c>
      <c r="S479" s="5">
        <f t="shared" si="16"/>
        <v>0</v>
      </c>
      <c r="T479" s="1"/>
      <c r="U479" s="5"/>
    </row>
    <row r="480" spans="15:21">
      <c r="O480" s="9"/>
      <c r="R480" s="10">
        <f t="shared" ca="1" si="15"/>
        <v>0</v>
      </c>
      <c r="S480" s="5">
        <f t="shared" si="16"/>
        <v>0</v>
      </c>
      <c r="T480" s="1"/>
      <c r="U480" s="5"/>
    </row>
    <row r="481" spans="15:21">
      <c r="O481" s="9"/>
      <c r="R481" s="10">
        <f t="shared" ca="1" si="15"/>
        <v>0</v>
      </c>
      <c r="S481" s="5">
        <f t="shared" si="16"/>
        <v>0</v>
      </c>
      <c r="T481" s="1"/>
      <c r="U481" s="5"/>
    </row>
    <row r="482" spans="15:21">
      <c r="O482" s="9"/>
      <c r="R482" s="10">
        <f t="shared" ca="1" si="15"/>
        <v>0</v>
      </c>
      <c r="S482" s="5">
        <f t="shared" si="16"/>
        <v>0</v>
      </c>
      <c r="T482" s="1"/>
      <c r="U482" s="5"/>
    </row>
    <row r="483" spans="15:21">
      <c r="O483" s="9"/>
      <c r="R483" s="10">
        <f t="shared" ca="1" si="15"/>
        <v>0</v>
      </c>
      <c r="S483" s="5">
        <f t="shared" si="16"/>
        <v>0</v>
      </c>
      <c r="T483" s="1"/>
      <c r="U483" s="5"/>
    </row>
    <row r="484" spans="15:21">
      <c r="O484" s="9"/>
      <c r="R484" s="10">
        <f t="shared" ref="R484:R498" ca="1" si="17">Q484/$AC$4</f>
        <v>0</v>
      </c>
      <c r="S484" s="5">
        <f t="shared" si="16"/>
        <v>0</v>
      </c>
      <c r="T484" s="1"/>
      <c r="U484" s="5"/>
    </row>
    <row r="485" spans="15:21">
      <c r="O485" s="9"/>
      <c r="R485" s="10">
        <f t="shared" ca="1" si="17"/>
        <v>0</v>
      </c>
      <c r="S485" s="5">
        <f t="shared" si="16"/>
        <v>0</v>
      </c>
      <c r="T485" s="1"/>
      <c r="U485" s="5"/>
    </row>
    <row r="486" spans="15:21">
      <c r="O486" s="9"/>
      <c r="R486" s="10">
        <f t="shared" ca="1" si="17"/>
        <v>0</v>
      </c>
      <c r="S486" s="5">
        <f t="shared" si="16"/>
        <v>0</v>
      </c>
      <c r="T486" s="1"/>
      <c r="U486" s="5"/>
    </row>
    <row r="487" spans="15:21">
      <c r="O487" s="9"/>
      <c r="R487" s="10">
        <f t="shared" ca="1" si="17"/>
        <v>0</v>
      </c>
      <c r="S487" s="5">
        <f t="shared" si="16"/>
        <v>0</v>
      </c>
      <c r="T487" s="1"/>
      <c r="U487" s="5"/>
    </row>
    <row r="488" spans="15:21">
      <c r="O488" s="9"/>
      <c r="R488" s="10">
        <f t="shared" ca="1" si="17"/>
        <v>0</v>
      </c>
      <c r="S488" s="5">
        <f t="shared" si="16"/>
        <v>0</v>
      </c>
      <c r="T488" s="1"/>
      <c r="U488" s="5"/>
    </row>
    <row r="489" spans="15:21">
      <c r="O489" s="9"/>
      <c r="R489" s="10">
        <f t="shared" ca="1" si="17"/>
        <v>0</v>
      </c>
      <c r="S489" s="5">
        <f t="shared" si="16"/>
        <v>0</v>
      </c>
      <c r="T489" s="1"/>
      <c r="U489" s="5"/>
    </row>
    <row r="490" spans="15:21">
      <c r="O490" s="9"/>
      <c r="R490" s="10">
        <f t="shared" ca="1" si="17"/>
        <v>0</v>
      </c>
      <c r="S490" s="5">
        <f t="shared" si="16"/>
        <v>0</v>
      </c>
      <c r="T490" s="1"/>
      <c r="U490" s="5"/>
    </row>
    <row r="491" spans="15:21">
      <c r="O491" s="9"/>
      <c r="R491" s="10">
        <f t="shared" ca="1" si="17"/>
        <v>0</v>
      </c>
      <c r="S491" s="5">
        <f t="shared" si="16"/>
        <v>0</v>
      </c>
      <c r="T491" s="1"/>
      <c r="U491" s="5"/>
    </row>
    <row r="492" spans="15:21">
      <c r="O492" s="9"/>
      <c r="R492" s="10">
        <f t="shared" ca="1" si="17"/>
        <v>0</v>
      </c>
      <c r="S492" s="5">
        <f t="shared" si="16"/>
        <v>0</v>
      </c>
      <c r="T492" s="1"/>
      <c r="U492" s="5"/>
    </row>
    <row r="493" spans="15:21">
      <c r="O493" s="9"/>
      <c r="R493" s="10">
        <f t="shared" ca="1" si="17"/>
        <v>0</v>
      </c>
      <c r="S493" s="5">
        <f t="shared" si="16"/>
        <v>0</v>
      </c>
      <c r="T493" s="1"/>
      <c r="U493" s="5"/>
    </row>
    <row r="494" spans="15:21">
      <c r="O494" s="9"/>
      <c r="R494" s="10">
        <f t="shared" ca="1" si="17"/>
        <v>0</v>
      </c>
      <c r="S494" s="5">
        <f t="shared" si="16"/>
        <v>0</v>
      </c>
      <c r="T494" s="1"/>
      <c r="U494" s="5"/>
    </row>
    <row r="495" spans="15:21">
      <c r="O495" s="9"/>
      <c r="R495" s="10">
        <f t="shared" ca="1" si="17"/>
        <v>0</v>
      </c>
      <c r="S495" s="5">
        <f t="shared" si="16"/>
        <v>0</v>
      </c>
      <c r="T495" s="1"/>
      <c r="U495" s="5"/>
    </row>
    <row r="496" spans="15:21">
      <c r="O496" s="9"/>
      <c r="R496" s="10">
        <f t="shared" ca="1" si="17"/>
        <v>0</v>
      </c>
      <c r="S496" s="5">
        <f t="shared" si="16"/>
        <v>0</v>
      </c>
      <c r="T496" s="1"/>
      <c r="U496" s="5"/>
    </row>
    <row r="497" spans="15:21">
      <c r="O497" s="9"/>
      <c r="R497" s="10">
        <f t="shared" ca="1" si="17"/>
        <v>0</v>
      </c>
      <c r="S497" s="5">
        <f t="shared" si="16"/>
        <v>0</v>
      </c>
      <c r="T497" s="1"/>
      <c r="U497" s="5"/>
    </row>
    <row r="498" spans="15:21">
      <c r="O498" s="9"/>
      <c r="R498" s="10">
        <f t="shared" ca="1" si="17"/>
        <v>0</v>
      </c>
      <c r="S498" s="5">
        <f t="shared" si="16"/>
        <v>0</v>
      </c>
      <c r="T498" s="1"/>
      <c r="U498" s="5"/>
    </row>
    <row r="499" spans="15:21">
      <c r="O499" s="9"/>
      <c r="R499" s="10">
        <f t="shared" ref="R499:R506" ca="1" si="18">Q499/$AC$4</f>
        <v>0</v>
      </c>
      <c r="S499" s="5">
        <f t="shared" si="16"/>
        <v>0</v>
      </c>
      <c r="T499" s="1"/>
      <c r="U499" s="5"/>
    </row>
    <row r="500" spans="15:21">
      <c r="O500" s="9"/>
      <c r="R500" s="10">
        <f t="shared" ca="1" si="18"/>
        <v>0</v>
      </c>
      <c r="S500" s="5">
        <f t="shared" si="16"/>
        <v>0</v>
      </c>
      <c r="T500" s="1"/>
      <c r="U500" s="5"/>
    </row>
    <row r="501" spans="15:21">
      <c r="O501" s="9"/>
      <c r="R501" s="10">
        <f t="shared" ca="1" si="18"/>
        <v>0</v>
      </c>
      <c r="S501" s="5">
        <f t="shared" si="16"/>
        <v>0</v>
      </c>
      <c r="T501" s="1"/>
      <c r="U501" s="5"/>
    </row>
    <row r="502" spans="15:21">
      <c r="O502" s="9"/>
      <c r="R502" s="10">
        <f t="shared" ca="1" si="18"/>
        <v>0</v>
      </c>
      <c r="S502" s="5">
        <f t="shared" si="16"/>
        <v>0</v>
      </c>
      <c r="T502" s="1"/>
      <c r="U502" s="5"/>
    </row>
    <row r="503" spans="15:21">
      <c r="O503" s="9"/>
      <c r="R503" s="10">
        <f t="shared" ca="1" si="18"/>
        <v>0</v>
      </c>
      <c r="S503" s="5">
        <f t="shared" si="16"/>
        <v>0</v>
      </c>
      <c r="T503" s="1"/>
      <c r="U503" s="5"/>
    </row>
    <row r="504" spans="15:21">
      <c r="O504" s="9"/>
      <c r="R504" s="10">
        <f t="shared" ca="1" si="18"/>
        <v>0</v>
      </c>
      <c r="S504" s="5">
        <f t="shared" si="16"/>
        <v>0</v>
      </c>
      <c r="T504" s="1"/>
      <c r="U504" s="5"/>
    </row>
    <row r="505" spans="15:21">
      <c r="O505" s="9"/>
      <c r="R505" s="10">
        <f t="shared" ca="1" si="18"/>
        <v>0</v>
      </c>
      <c r="S505" s="5">
        <f t="shared" si="16"/>
        <v>0</v>
      </c>
      <c r="T505" s="1"/>
      <c r="U505" s="5"/>
    </row>
    <row r="506" spans="15:21">
      <c r="O506" s="9"/>
      <c r="R506" s="10">
        <f t="shared" ca="1" si="18"/>
        <v>0</v>
      </c>
      <c r="S506" s="5">
        <f t="shared" si="16"/>
        <v>0</v>
      </c>
      <c r="T506" s="1"/>
      <c r="U506" s="5"/>
    </row>
    <row r="507" spans="15:21">
      <c r="O507" s="9"/>
      <c r="R507" s="10">
        <f t="shared" ref="R507:R530" ca="1" si="19">Q507/$AC$4</f>
        <v>0</v>
      </c>
      <c r="S507" s="5">
        <f t="shared" si="16"/>
        <v>0</v>
      </c>
      <c r="T507" s="1"/>
      <c r="U507" s="5"/>
    </row>
    <row r="508" spans="15:21">
      <c r="O508" s="9"/>
      <c r="R508" s="10">
        <f t="shared" ca="1" si="19"/>
        <v>0</v>
      </c>
      <c r="S508" s="5">
        <f t="shared" si="16"/>
        <v>0</v>
      </c>
      <c r="T508" s="1"/>
      <c r="U508" s="5"/>
    </row>
    <row r="509" spans="15:21">
      <c r="O509" s="9"/>
      <c r="R509" s="10">
        <f t="shared" ca="1" si="19"/>
        <v>0</v>
      </c>
      <c r="S509" s="5">
        <f t="shared" si="16"/>
        <v>0</v>
      </c>
      <c r="T509" s="1"/>
      <c r="U509" s="5"/>
    </row>
    <row r="510" spans="15:21">
      <c r="O510" s="9"/>
      <c r="R510" s="10">
        <f t="shared" ca="1" si="19"/>
        <v>0</v>
      </c>
      <c r="S510" s="5">
        <f t="shared" si="16"/>
        <v>0</v>
      </c>
      <c r="T510" s="1"/>
      <c r="U510" s="5"/>
    </row>
    <row r="511" spans="15:21">
      <c r="O511" s="9"/>
      <c r="R511" s="10">
        <f t="shared" ca="1" si="19"/>
        <v>0</v>
      </c>
      <c r="S511" s="5">
        <f t="shared" si="16"/>
        <v>0</v>
      </c>
      <c r="T511" s="1"/>
      <c r="U511" s="5"/>
    </row>
    <row r="512" spans="15:21">
      <c r="O512" s="9"/>
      <c r="R512" s="10">
        <f t="shared" ca="1" si="19"/>
        <v>0</v>
      </c>
      <c r="S512" s="5">
        <f t="shared" si="16"/>
        <v>0</v>
      </c>
      <c r="T512" s="1"/>
      <c r="U512" s="5"/>
    </row>
    <row r="513" spans="15:21">
      <c r="O513" s="9"/>
      <c r="R513" s="10">
        <f t="shared" ca="1" si="19"/>
        <v>0</v>
      </c>
      <c r="S513" s="5">
        <f t="shared" si="16"/>
        <v>0</v>
      </c>
      <c r="T513" s="1"/>
      <c r="U513" s="5"/>
    </row>
    <row r="514" spans="15:21">
      <c r="O514" s="9"/>
      <c r="R514" s="10">
        <f t="shared" ca="1" si="19"/>
        <v>0</v>
      </c>
      <c r="S514" s="5">
        <f t="shared" ref="S514:S577" si="20">_xlfn.XLOOKUP(O514,AE:AE,AG:AG)</f>
        <v>0</v>
      </c>
      <c r="T514" s="1"/>
      <c r="U514" s="5"/>
    </row>
    <row r="515" spans="15:21">
      <c r="O515" s="9"/>
      <c r="R515" s="10">
        <f t="shared" ca="1" si="19"/>
        <v>0</v>
      </c>
      <c r="S515" s="5">
        <f t="shared" si="20"/>
        <v>0</v>
      </c>
      <c r="T515" s="1"/>
      <c r="U515" s="5"/>
    </row>
    <row r="516" spans="15:21">
      <c r="O516" s="9"/>
      <c r="R516" s="10">
        <f t="shared" ca="1" si="19"/>
        <v>0</v>
      </c>
      <c r="S516" s="5">
        <f t="shared" si="20"/>
        <v>0</v>
      </c>
      <c r="T516" s="1"/>
      <c r="U516" s="5"/>
    </row>
    <row r="517" spans="15:21">
      <c r="O517" s="9"/>
      <c r="R517" s="10">
        <f t="shared" ca="1" si="19"/>
        <v>0</v>
      </c>
      <c r="S517" s="5">
        <f t="shared" si="20"/>
        <v>0</v>
      </c>
      <c r="T517" s="1"/>
      <c r="U517" s="5"/>
    </row>
    <row r="518" spans="15:21">
      <c r="O518" s="9"/>
      <c r="R518" s="10">
        <f t="shared" ca="1" si="19"/>
        <v>0</v>
      </c>
      <c r="S518" s="5">
        <f t="shared" si="20"/>
        <v>0</v>
      </c>
      <c r="T518" s="1"/>
      <c r="U518" s="5"/>
    </row>
    <row r="519" spans="15:21">
      <c r="O519" s="9"/>
      <c r="R519" s="10">
        <f t="shared" ca="1" si="19"/>
        <v>0</v>
      </c>
      <c r="S519" s="5">
        <f t="shared" si="20"/>
        <v>0</v>
      </c>
      <c r="T519" s="1"/>
      <c r="U519" s="5"/>
    </row>
    <row r="520" spans="15:21">
      <c r="O520" s="9"/>
      <c r="R520" s="10">
        <f t="shared" ca="1" si="19"/>
        <v>0</v>
      </c>
      <c r="S520" s="5">
        <f t="shared" si="20"/>
        <v>0</v>
      </c>
      <c r="T520" s="1"/>
      <c r="U520" s="5"/>
    </row>
    <row r="521" spans="15:21">
      <c r="O521" s="9"/>
      <c r="R521" s="10">
        <f t="shared" ca="1" si="19"/>
        <v>0</v>
      </c>
      <c r="S521" s="5">
        <f t="shared" si="20"/>
        <v>0</v>
      </c>
      <c r="T521" s="1"/>
      <c r="U521" s="5"/>
    </row>
    <row r="522" spans="15:21">
      <c r="O522" s="9"/>
      <c r="R522" s="10">
        <f t="shared" ca="1" si="19"/>
        <v>0</v>
      </c>
      <c r="S522" s="5">
        <f t="shared" si="20"/>
        <v>0</v>
      </c>
      <c r="T522" s="1"/>
      <c r="U522" s="5"/>
    </row>
    <row r="523" spans="15:21">
      <c r="O523" s="9"/>
      <c r="R523" s="10">
        <f t="shared" ca="1" si="19"/>
        <v>0</v>
      </c>
      <c r="S523" s="5">
        <f t="shared" si="20"/>
        <v>0</v>
      </c>
      <c r="T523" s="1"/>
      <c r="U523" s="5"/>
    </row>
    <row r="524" spans="15:21">
      <c r="O524" s="9"/>
      <c r="R524" s="10">
        <f t="shared" ca="1" si="19"/>
        <v>0</v>
      </c>
      <c r="S524" s="5">
        <f t="shared" si="20"/>
        <v>0</v>
      </c>
      <c r="T524" s="1"/>
      <c r="U524" s="5"/>
    </row>
    <row r="525" spans="15:21">
      <c r="O525" s="9"/>
      <c r="R525" s="10">
        <f t="shared" ca="1" si="19"/>
        <v>0</v>
      </c>
      <c r="S525" s="5">
        <f t="shared" si="20"/>
        <v>0</v>
      </c>
      <c r="T525" s="1"/>
      <c r="U525" s="5"/>
    </row>
    <row r="526" spans="15:21">
      <c r="O526" s="9"/>
      <c r="R526" s="10">
        <f t="shared" ca="1" si="19"/>
        <v>0</v>
      </c>
      <c r="S526" s="5">
        <f t="shared" si="20"/>
        <v>0</v>
      </c>
      <c r="T526" s="1"/>
      <c r="U526" s="5"/>
    </row>
    <row r="527" spans="15:21">
      <c r="O527" s="9"/>
      <c r="R527" s="10">
        <f t="shared" ca="1" si="19"/>
        <v>0</v>
      </c>
      <c r="S527" s="5">
        <f t="shared" si="20"/>
        <v>0</v>
      </c>
      <c r="T527" s="1"/>
      <c r="U527" s="5"/>
    </row>
    <row r="528" spans="15:21">
      <c r="O528" s="9"/>
      <c r="R528" s="10">
        <f t="shared" ca="1" si="19"/>
        <v>0</v>
      </c>
      <c r="S528" s="5">
        <f t="shared" si="20"/>
        <v>0</v>
      </c>
      <c r="T528" s="1"/>
      <c r="U528" s="5"/>
    </row>
    <row r="529" spans="15:21">
      <c r="O529" s="9"/>
      <c r="R529" s="10">
        <f t="shared" ca="1" si="19"/>
        <v>0</v>
      </c>
      <c r="S529" s="5">
        <f t="shared" si="20"/>
        <v>0</v>
      </c>
      <c r="T529" s="1"/>
      <c r="U529" s="5"/>
    </row>
    <row r="530" spans="15:21">
      <c r="O530" s="9"/>
      <c r="R530" s="10">
        <f t="shared" ca="1" si="19"/>
        <v>0</v>
      </c>
      <c r="S530" s="5">
        <f t="shared" si="20"/>
        <v>0</v>
      </c>
      <c r="T530" s="1"/>
      <c r="U530" s="5"/>
    </row>
    <row r="531" spans="15:21">
      <c r="O531" s="9"/>
      <c r="R531" s="10">
        <f t="shared" ref="R531:R594" ca="1" si="21">Q531/$AC$4</f>
        <v>0</v>
      </c>
      <c r="S531" s="5">
        <f t="shared" si="20"/>
        <v>0</v>
      </c>
      <c r="T531" s="1"/>
      <c r="U531" s="5"/>
    </row>
    <row r="532" spans="15:21">
      <c r="O532" s="9"/>
      <c r="R532" s="10">
        <f t="shared" ca="1" si="21"/>
        <v>0</v>
      </c>
      <c r="S532" s="5">
        <f t="shared" si="20"/>
        <v>0</v>
      </c>
      <c r="T532" s="1"/>
      <c r="U532" s="5"/>
    </row>
    <row r="533" spans="15:21">
      <c r="O533" s="9"/>
      <c r="R533" s="10">
        <f t="shared" ca="1" si="21"/>
        <v>0</v>
      </c>
      <c r="S533" s="5">
        <f t="shared" si="20"/>
        <v>0</v>
      </c>
      <c r="T533" s="1"/>
      <c r="U533" s="5"/>
    </row>
    <row r="534" spans="15:21">
      <c r="O534" s="9"/>
      <c r="R534" s="10">
        <f t="shared" ca="1" si="21"/>
        <v>0</v>
      </c>
      <c r="S534" s="5">
        <f t="shared" si="20"/>
        <v>0</v>
      </c>
      <c r="T534" s="1"/>
      <c r="U534" s="5"/>
    </row>
    <row r="535" spans="15:21">
      <c r="O535" s="9"/>
      <c r="R535" s="10">
        <f t="shared" ca="1" si="21"/>
        <v>0</v>
      </c>
      <c r="S535" s="5">
        <f t="shared" si="20"/>
        <v>0</v>
      </c>
      <c r="T535" s="1"/>
      <c r="U535" s="5"/>
    </row>
    <row r="536" spans="15:21">
      <c r="O536" s="9"/>
      <c r="R536" s="10">
        <f t="shared" ca="1" si="21"/>
        <v>0</v>
      </c>
      <c r="S536" s="5">
        <f t="shared" si="20"/>
        <v>0</v>
      </c>
      <c r="T536" s="1"/>
      <c r="U536" s="5"/>
    </row>
    <row r="537" spans="15:21">
      <c r="O537" s="9"/>
      <c r="R537" s="10">
        <f t="shared" ca="1" si="21"/>
        <v>0</v>
      </c>
      <c r="S537" s="5">
        <f t="shared" si="20"/>
        <v>0</v>
      </c>
      <c r="T537" s="1"/>
      <c r="U537" s="5"/>
    </row>
    <row r="538" spans="15:21">
      <c r="O538" s="9"/>
      <c r="R538" s="10">
        <f t="shared" ca="1" si="21"/>
        <v>0</v>
      </c>
      <c r="S538" s="5">
        <f t="shared" si="20"/>
        <v>0</v>
      </c>
      <c r="T538" s="1"/>
      <c r="U538" s="5"/>
    </row>
    <row r="539" spans="15:21">
      <c r="O539" s="9"/>
      <c r="R539" s="10">
        <f t="shared" ca="1" si="21"/>
        <v>0</v>
      </c>
      <c r="S539" s="5">
        <f t="shared" si="20"/>
        <v>0</v>
      </c>
      <c r="T539" s="1"/>
      <c r="U539" s="5"/>
    </row>
    <row r="540" spans="15:21">
      <c r="O540" s="9"/>
      <c r="R540" s="10">
        <f t="shared" ca="1" si="21"/>
        <v>0</v>
      </c>
      <c r="S540" s="5">
        <f t="shared" si="20"/>
        <v>0</v>
      </c>
      <c r="T540" s="1"/>
      <c r="U540" s="5"/>
    </row>
    <row r="541" spans="15:21">
      <c r="O541" s="9"/>
      <c r="R541" s="10">
        <f t="shared" ca="1" si="21"/>
        <v>0</v>
      </c>
      <c r="S541" s="5">
        <f t="shared" si="20"/>
        <v>0</v>
      </c>
      <c r="T541" s="1"/>
      <c r="U541" s="5"/>
    </row>
    <row r="542" spans="15:21">
      <c r="O542" s="9"/>
      <c r="R542" s="10">
        <f t="shared" ca="1" si="21"/>
        <v>0</v>
      </c>
      <c r="S542" s="5">
        <f t="shared" si="20"/>
        <v>0</v>
      </c>
      <c r="T542" s="1"/>
      <c r="U542" s="5"/>
    </row>
    <row r="543" spans="15:21">
      <c r="O543" s="9"/>
      <c r="R543" s="10">
        <f t="shared" ca="1" si="21"/>
        <v>0</v>
      </c>
      <c r="S543" s="5">
        <f t="shared" si="20"/>
        <v>0</v>
      </c>
      <c r="T543" s="1"/>
      <c r="U543" s="5"/>
    </row>
    <row r="544" spans="15:21">
      <c r="O544" s="9"/>
      <c r="R544" s="10">
        <f t="shared" ca="1" si="21"/>
        <v>0</v>
      </c>
      <c r="S544" s="5">
        <f t="shared" si="20"/>
        <v>0</v>
      </c>
      <c r="T544" s="1"/>
      <c r="U544" s="5"/>
    </row>
    <row r="545" spans="15:21">
      <c r="O545" s="9"/>
      <c r="R545" s="10">
        <f t="shared" ca="1" si="21"/>
        <v>0</v>
      </c>
      <c r="S545" s="5">
        <f t="shared" si="20"/>
        <v>0</v>
      </c>
      <c r="T545" s="1"/>
      <c r="U545" s="5"/>
    </row>
    <row r="546" spans="15:21">
      <c r="O546" s="9"/>
      <c r="R546" s="10">
        <f t="shared" ca="1" si="21"/>
        <v>0</v>
      </c>
      <c r="S546" s="5">
        <f t="shared" si="20"/>
        <v>0</v>
      </c>
      <c r="T546" s="1"/>
      <c r="U546" s="5"/>
    </row>
    <row r="547" spans="15:21">
      <c r="R547" s="10">
        <f t="shared" ca="1" si="21"/>
        <v>0</v>
      </c>
      <c r="S547" s="5">
        <f t="shared" si="20"/>
        <v>0</v>
      </c>
      <c r="T547" s="1"/>
      <c r="U547" s="5"/>
    </row>
    <row r="548" spans="15:21">
      <c r="R548" s="10">
        <f t="shared" ca="1" si="21"/>
        <v>0</v>
      </c>
      <c r="S548" s="5">
        <f t="shared" si="20"/>
        <v>0</v>
      </c>
      <c r="T548" s="1"/>
      <c r="U548" s="5"/>
    </row>
    <row r="549" spans="15:21">
      <c r="R549" s="10">
        <f t="shared" ca="1" si="21"/>
        <v>0</v>
      </c>
      <c r="S549" s="5">
        <f t="shared" si="20"/>
        <v>0</v>
      </c>
      <c r="T549" s="1"/>
      <c r="U549" s="5"/>
    </row>
    <row r="550" spans="15:21">
      <c r="R550" s="10">
        <f t="shared" ca="1" si="21"/>
        <v>0</v>
      </c>
      <c r="S550" s="5">
        <f t="shared" si="20"/>
        <v>0</v>
      </c>
      <c r="T550" s="1"/>
      <c r="U550" s="5"/>
    </row>
    <row r="551" spans="15:21">
      <c r="R551" s="10">
        <f t="shared" ca="1" si="21"/>
        <v>0</v>
      </c>
      <c r="S551" s="5">
        <f t="shared" si="20"/>
        <v>0</v>
      </c>
      <c r="T551" s="1"/>
      <c r="U551" s="5"/>
    </row>
    <row r="552" spans="15:21">
      <c r="R552" s="10">
        <f t="shared" ca="1" si="21"/>
        <v>0</v>
      </c>
      <c r="S552" s="5">
        <f t="shared" si="20"/>
        <v>0</v>
      </c>
      <c r="T552" s="1"/>
      <c r="U552" s="5"/>
    </row>
    <row r="553" spans="15:21">
      <c r="R553" s="10">
        <f t="shared" ca="1" si="21"/>
        <v>0</v>
      </c>
      <c r="S553" s="5">
        <f t="shared" si="20"/>
        <v>0</v>
      </c>
      <c r="T553" s="1"/>
      <c r="U553" s="5"/>
    </row>
    <row r="554" spans="15:21">
      <c r="R554" s="10">
        <f t="shared" ca="1" si="21"/>
        <v>0</v>
      </c>
      <c r="S554" s="5">
        <f t="shared" si="20"/>
        <v>0</v>
      </c>
      <c r="T554" s="1"/>
      <c r="U554" s="5"/>
    </row>
    <row r="555" spans="15:21">
      <c r="R555" s="10">
        <f t="shared" ca="1" si="21"/>
        <v>0</v>
      </c>
      <c r="S555" s="5">
        <f t="shared" si="20"/>
        <v>0</v>
      </c>
      <c r="T555" s="1"/>
      <c r="U555" s="5"/>
    </row>
    <row r="556" spans="15:21">
      <c r="R556" s="10">
        <f t="shared" ca="1" si="21"/>
        <v>0</v>
      </c>
      <c r="S556" s="5">
        <f t="shared" si="20"/>
        <v>0</v>
      </c>
      <c r="T556" s="1"/>
      <c r="U556" s="5"/>
    </row>
    <row r="557" spans="15:21">
      <c r="R557" s="10">
        <f t="shared" ca="1" si="21"/>
        <v>0</v>
      </c>
      <c r="S557" s="5">
        <f t="shared" si="20"/>
        <v>0</v>
      </c>
      <c r="T557" s="1"/>
      <c r="U557" s="5"/>
    </row>
    <row r="558" spans="15:21">
      <c r="R558" s="10">
        <f t="shared" ca="1" si="21"/>
        <v>0</v>
      </c>
      <c r="S558" s="5">
        <f t="shared" si="20"/>
        <v>0</v>
      </c>
      <c r="T558" s="1"/>
      <c r="U558" s="5"/>
    </row>
    <row r="559" spans="15:21">
      <c r="R559" s="10">
        <f t="shared" ca="1" si="21"/>
        <v>0</v>
      </c>
      <c r="S559" s="5">
        <f t="shared" si="20"/>
        <v>0</v>
      </c>
      <c r="T559" s="1"/>
      <c r="U559" s="5"/>
    </row>
    <row r="560" spans="15:21">
      <c r="R560" s="10">
        <f t="shared" ca="1" si="21"/>
        <v>0</v>
      </c>
      <c r="S560" s="5">
        <f t="shared" si="20"/>
        <v>0</v>
      </c>
      <c r="T560" s="1"/>
      <c r="U560" s="5"/>
    </row>
    <row r="561" spans="18:21">
      <c r="R561" s="10">
        <f t="shared" ca="1" si="21"/>
        <v>0</v>
      </c>
      <c r="S561" s="5">
        <f t="shared" si="20"/>
        <v>0</v>
      </c>
      <c r="T561" s="1"/>
      <c r="U561" s="5"/>
    </row>
    <row r="562" spans="18:21">
      <c r="R562" s="10">
        <f t="shared" ca="1" si="21"/>
        <v>0</v>
      </c>
      <c r="S562" s="5">
        <f t="shared" si="20"/>
        <v>0</v>
      </c>
      <c r="T562" s="1"/>
      <c r="U562" s="5"/>
    </row>
    <row r="563" spans="18:21">
      <c r="R563" s="10">
        <f t="shared" ca="1" si="21"/>
        <v>0</v>
      </c>
      <c r="S563" s="5">
        <f t="shared" si="20"/>
        <v>0</v>
      </c>
      <c r="T563" s="1"/>
      <c r="U563" s="5"/>
    </row>
    <row r="564" spans="18:21">
      <c r="R564" s="10">
        <f t="shared" ca="1" si="21"/>
        <v>0</v>
      </c>
      <c r="S564" s="5">
        <f t="shared" si="20"/>
        <v>0</v>
      </c>
      <c r="T564" s="1"/>
      <c r="U564" s="5"/>
    </row>
    <row r="565" spans="18:21">
      <c r="R565" s="10">
        <f t="shared" ca="1" si="21"/>
        <v>0</v>
      </c>
      <c r="S565" s="5">
        <f t="shared" si="20"/>
        <v>0</v>
      </c>
      <c r="T565" s="1"/>
      <c r="U565" s="5"/>
    </row>
    <row r="566" spans="18:21">
      <c r="R566" s="10">
        <f t="shared" ca="1" si="21"/>
        <v>0</v>
      </c>
      <c r="S566" s="5">
        <f t="shared" si="20"/>
        <v>0</v>
      </c>
      <c r="T566" s="1"/>
      <c r="U566" s="5"/>
    </row>
    <row r="567" spans="18:21">
      <c r="R567" s="10">
        <f t="shared" ca="1" si="21"/>
        <v>0</v>
      </c>
      <c r="S567" s="5">
        <f t="shared" si="20"/>
        <v>0</v>
      </c>
      <c r="T567" s="1"/>
      <c r="U567" s="5"/>
    </row>
    <row r="568" spans="18:21">
      <c r="R568" s="10">
        <f t="shared" ca="1" si="21"/>
        <v>0</v>
      </c>
      <c r="S568" s="5">
        <f t="shared" si="20"/>
        <v>0</v>
      </c>
      <c r="T568" s="1"/>
      <c r="U568" s="5"/>
    </row>
    <row r="569" spans="18:21">
      <c r="R569" s="10">
        <f t="shared" ca="1" si="21"/>
        <v>0</v>
      </c>
      <c r="S569" s="5">
        <f t="shared" si="20"/>
        <v>0</v>
      </c>
      <c r="T569" s="1"/>
      <c r="U569" s="5"/>
    </row>
    <row r="570" spans="18:21">
      <c r="R570" s="10">
        <f t="shared" ca="1" si="21"/>
        <v>0</v>
      </c>
      <c r="S570" s="5">
        <f t="shared" si="20"/>
        <v>0</v>
      </c>
      <c r="T570" s="1"/>
      <c r="U570" s="5"/>
    </row>
    <row r="571" spans="18:21">
      <c r="R571" s="10">
        <f t="shared" ca="1" si="21"/>
        <v>0</v>
      </c>
      <c r="S571" s="5">
        <f t="shared" si="20"/>
        <v>0</v>
      </c>
      <c r="T571" s="1"/>
      <c r="U571" s="5"/>
    </row>
    <row r="572" spans="18:21">
      <c r="R572" s="10">
        <f t="shared" ca="1" si="21"/>
        <v>0</v>
      </c>
      <c r="S572" s="5">
        <f t="shared" si="20"/>
        <v>0</v>
      </c>
      <c r="T572" s="1"/>
      <c r="U572" s="5"/>
    </row>
    <row r="573" spans="18:21">
      <c r="R573" s="10">
        <f t="shared" ca="1" si="21"/>
        <v>0</v>
      </c>
      <c r="S573" s="5">
        <f t="shared" si="20"/>
        <v>0</v>
      </c>
      <c r="T573" s="1"/>
      <c r="U573" s="5"/>
    </row>
    <row r="574" spans="18:21">
      <c r="R574" s="10">
        <f t="shared" ca="1" si="21"/>
        <v>0</v>
      </c>
      <c r="S574" s="5">
        <f t="shared" si="20"/>
        <v>0</v>
      </c>
      <c r="T574" s="1"/>
      <c r="U574" s="5"/>
    </row>
    <row r="575" spans="18:21">
      <c r="R575" s="10">
        <f t="shared" ca="1" si="21"/>
        <v>0</v>
      </c>
      <c r="S575" s="5">
        <f t="shared" si="20"/>
        <v>0</v>
      </c>
      <c r="T575" s="1"/>
      <c r="U575" s="5"/>
    </row>
    <row r="576" spans="18:21">
      <c r="R576" s="10">
        <f t="shared" ca="1" si="21"/>
        <v>0</v>
      </c>
      <c r="S576" s="5">
        <f t="shared" si="20"/>
        <v>0</v>
      </c>
      <c r="T576" s="1"/>
      <c r="U576" s="5"/>
    </row>
    <row r="577" spans="18:21">
      <c r="R577" s="10">
        <f t="shared" ca="1" si="21"/>
        <v>0</v>
      </c>
      <c r="S577" s="5">
        <f t="shared" si="20"/>
        <v>0</v>
      </c>
      <c r="T577" s="1"/>
      <c r="U577" s="5"/>
    </row>
    <row r="578" spans="18:21">
      <c r="R578" s="10">
        <f t="shared" ca="1" si="21"/>
        <v>0</v>
      </c>
      <c r="S578" s="5">
        <f t="shared" ref="S578:S641" si="22">_xlfn.XLOOKUP(O578,AE:AE,AG:AG)</f>
        <v>0</v>
      </c>
      <c r="T578" s="1"/>
      <c r="U578" s="5"/>
    </row>
    <row r="579" spans="18:21">
      <c r="R579" s="10">
        <f t="shared" ca="1" si="21"/>
        <v>0</v>
      </c>
      <c r="S579" s="5">
        <f t="shared" si="22"/>
        <v>0</v>
      </c>
      <c r="T579" s="1"/>
      <c r="U579" s="5"/>
    </row>
    <row r="580" spans="18:21">
      <c r="R580" s="10">
        <f t="shared" ca="1" si="21"/>
        <v>0</v>
      </c>
      <c r="S580" s="5">
        <f t="shared" si="22"/>
        <v>0</v>
      </c>
      <c r="T580" s="1"/>
      <c r="U580" s="5"/>
    </row>
    <row r="581" spans="18:21">
      <c r="R581" s="10">
        <f t="shared" ca="1" si="21"/>
        <v>0</v>
      </c>
      <c r="S581" s="5">
        <f t="shared" si="22"/>
        <v>0</v>
      </c>
      <c r="T581" s="1"/>
      <c r="U581" s="5"/>
    </row>
    <row r="582" spans="18:21">
      <c r="R582" s="10">
        <f t="shared" ca="1" si="21"/>
        <v>0</v>
      </c>
      <c r="S582" s="5">
        <f t="shared" si="22"/>
        <v>0</v>
      </c>
      <c r="T582" s="1"/>
      <c r="U582" s="5"/>
    </row>
    <row r="583" spans="18:21">
      <c r="R583" s="10">
        <f t="shared" ca="1" si="21"/>
        <v>0</v>
      </c>
      <c r="S583" s="5">
        <f t="shared" si="22"/>
        <v>0</v>
      </c>
      <c r="T583" s="1"/>
      <c r="U583" s="5"/>
    </row>
    <row r="584" spans="18:21">
      <c r="R584" s="10">
        <f t="shared" ca="1" si="21"/>
        <v>0</v>
      </c>
      <c r="S584" s="5">
        <f t="shared" si="22"/>
        <v>0</v>
      </c>
      <c r="T584" s="1"/>
      <c r="U584" s="5"/>
    </row>
    <row r="585" spans="18:21">
      <c r="R585" s="10">
        <f t="shared" ca="1" si="21"/>
        <v>0</v>
      </c>
      <c r="S585" s="5">
        <f t="shared" si="22"/>
        <v>0</v>
      </c>
      <c r="T585" s="1"/>
      <c r="U585" s="5"/>
    </row>
    <row r="586" spans="18:21">
      <c r="R586" s="10">
        <f t="shared" ca="1" si="21"/>
        <v>0</v>
      </c>
      <c r="S586" s="5">
        <f t="shared" si="22"/>
        <v>0</v>
      </c>
      <c r="T586" s="1"/>
      <c r="U586" s="5"/>
    </row>
    <row r="587" spans="18:21">
      <c r="R587" s="10">
        <f t="shared" ca="1" si="21"/>
        <v>0</v>
      </c>
      <c r="S587" s="5">
        <f t="shared" si="22"/>
        <v>0</v>
      </c>
      <c r="T587" s="1"/>
      <c r="U587" s="5"/>
    </row>
    <row r="588" spans="18:21">
      <c r="R588" s="10">
        <f t="shared" ca="1" si="21"/>
        <v>0</v>
      </c>
      <c r="S588" s="5">
        <f t="shared" si="22"/>
        <v>0</v>
      </c>
      <c r="T588" s="1"/>
      <c r="U588" s="5"/>
    </row>
    <row r="589" spans="18:21">
      <c r="R589" s="10">
        <f t="shared" ca="1" si="21"/>
        <v>0</v>
      </c>
      <c r="S589" s="5">
        <f t="shared" si="22"/>
        <v>0</v>
      </c>
      <c r="T589" s="1"/>
      <c r="U589" s="5"/>
    </row>
    <row r="590" spans="18:21">
      <c r="R590" s="10">
        <f t="shared" ca="1" si="21"/>
        <v>0</v>
      </c>
      <c r="S590" s="5">
        <f t="shared" si="22"/>
        <v>0</v>
      </c>
      <c r="T590" s="1"/>
      <c r="U590" s="5"/>
    </row>
    <row r="591" spans="18:21">
      <c r="R591" s="10">
        <f t="shared" ca="1" si="21"/>
        <v>0</v>
      </c>
      <c r="S591" s="5">
        <f t="shared" si="22"/>
        <v>0</v>
      </c>
      <c r="T591" s="1"/>
      <c r="U591" s="5"/>
    </row>
    <row r="592" spans="18:21">
      <c r="R592" s="10">
        <f t="shared" ca="1" si="21"/>
        <v>0</v>
      </c>
      <c r="S592" s="5">
        <f t="shared" si="22"/>
        <v>0</v>
      </c>
      <c r="T592" s="1"/>
      <c r="U592" s="5"/>
    </row>
    <row r="593" spans="18:21">
      <c r="R593" s="10">
        <f t="shared" ca="1" si="21"/>
        <v>0</v>
      </c>
      <c r="S593" s="5">
        <f t="shared" si="22"/>
        <v>0</v>
      </c>
      <c r="T593" s="1"/>
      <c r="U593" s="5"/>
    </row>
    <row r="594" spans="18:21">
      <c r="R594" s="10">
        <f t="shared" ca="1" si="21"/>
        <v>0</v>
      </c>
      <c r="S594" s="5">
        <f t="shared" si="22"/>
        <v>0</v>
      </c>
      <c r="T594" s="1"/>
      <c r="U594" s="5"/>
    </row>
    <row r="595" spans="18:21">
      <c r="R595" s="10">
        <f t="shared" ref="R595:R642" ca="1" si="23">Q595/$AC$4</f>
        <v>0</v>
      </c>
      <c r="S595" s="5">
        <f t="shared" si="22"/>
        <v>0</v>
      </c>
      <c r="T595" s="1"/>
      <c r="U595" s="5"/>
    </row>
    <row r="596" spans="18:21">
      <c r="R596" s="10">
        <f t="shared" ca="1" si="23"/>
        <v>0</v>
      </c>
      <c r="S596" s="5">
        <f t="shared" si="22"/>
        <v>0</v>
      </c>
      <c r="T596" s="1"/>
      <c r="U596" s="5"/>
    </row>
    <row r="597" spans="18:21">
      <c r="R597" s="10">
        <f t="shared" ca="1" si="23"/>
        <v>0</v>
      </c>
      <c r="S597" s="5">
        <f t="shared" si="22"/>
        <v>0</v>
      </c>
      <c r="T597" s="1"/>
      <c r="U597" s="5"/>
    </row>
    <row r="598" spans="18:21">
      <c r="R598" s="10">
        <f t="shared" ca="1" si="23"/>
        <v>0</v>
      </c>
      <c r="S598" s="5">
        <f t="shared" si="22"/>
        <v>0</v>
      </c>
      <c r="T598" s="1"/>
      <c r="U598" s="5"/>
    </row>
    <row r="599" spans="18:21">
      <c r="R599" s="10">
        <f t="shared" ca="1" si="23"/>
        <v>0</v>
      </c>
      <c r="S599" s="5">
        <f t="shared" si="22"/>
        <v>0</v>
      </c>
      <c r="T599" s="1"/>
      <c r="U599" s="5"/>
    </row>
    <row r="600" spans="18:21">
      <c r="R600" s="10">
        <f t="shared" ca="1" si="23"/>
        <v>0</v>
      </c>
      <c r="S600" s="5">
        <f t="shared" si="22"/>
        <v>0</v>
      </c>
      <c r="T600" s="1"/>
      <c r="U600" s="5"/>
    </row>
    <row r="601" spans="18:21">
      <c r="R601" s="10">
        <f t="shared" ca="1" si="23"/>
        <v>0</v>
      </c>
      <c r="S601" s="5">
        <f t="shared" si="22"/>
        <v>0</v>
      </c>
      <c r="T601" s="1"/>
      <c r="U601" s="5"/>
    </row>
    <row r="602" spans="18:21">
      <c r="R602" s="10">
        <f t="shared" ca="1" si="23"/>
        <v>0</v>
      </c>
      <c r="S602" s="5">
        <f t="shared" si="22"/>
        <v>0</v>
      </c>
      <c r="T602" s="1"/>
      <c r="U602" s="5"/>
    </row>
    <row r="603" spans="18:21">
      <c r="R603" s="10">
        <f t="shared" ca="1" si="23"/>
        <v>0</v>
      </c>
      <c r="S603" s="5">
        <f t="shared" si="22"/>
        <v>0</v>
      </c>
      <c r="T603" s="1"/>
      <c r="U603" s="5"/>
    </row>
    <row r="604" spans="18:21">
      <c r="R604" s="10">
        <f t="shared" ca="1" si="23"/>
        <v>0</v>
      </c>
      <c r="S604" s="5">
        <f t="shared" si="22"/>
        <v>0</v>
      </c>
      <c r="T604" s="1"/>
      <c r="U604" s="5"/>
    </row>
    <row r="605" spans="18:21">
      <c r="R605" s="10">
        <f t="shared" ca="1" si="23"/>
        <v>0</v>
      </c>
      <c r="S605" s="5">
        <f t="shared" si="22"/>
        <v>0</v>
      </c>
      <c r="T605" s="1"/>
      <c r="U605" s="5"/>
    </row>
    <row r="606" spans="18:21">
      <c r="R606" s="10">
        <f t="shared" ca="1" si="23"/>
        <v>0</v>
      </c>
      <c r="S606" s="5">
        <f t="shared" si="22"/>
        <v>0</v>
      </c>
      <c r="T606" s="1"/>
      <c r="U606" s="5"/>
    </row>
    <row r="607" spans="18:21">
      <c r="R607" s="10">
        <f t="shared" ca="1" si="23"/>
        <v>0</v>
      </c>
      <c r="S607" s="5">
        <f t="shared" si="22"/>
        <v>0</v>
      </c>
      <c r="T607" s="1"/>
      <c r="U607" s="5"/>
    </row>
    <row r="608" spans="18:21">
      <c r="R608" s="10">
        <f t="shared" ca="1" si="23"/>
        <v>0</v>
      </c>
      <c r="S608" s="5">
        <f t="shared" si="22"/>
        <v>0</v>
      </c>
      <c r="T608" s="1"/>
      <c r="U608" s="5"/>
    </row>
    <row r="609" spans="18:21">
      <c r="R609" s="10">
        <f t="shared" ca="1" si="23"/>
        <v>0</v>
      </c>
      <c r="S609" s="5">
        <f t="shared" si="22"/>
        <v>0</v>
      </c>
      <c r="T609" s="1"/>
      <c r="U609" s="5"/>
    </row>
    <row r="610" spans="18:21">
      <c r="R610" s="10">
        <f t="shared" ca="1" si="23"/>
        <v>0</v>
      </c>
      <c r="S610" s="5">
        <f t="shared" si="22"/>
        <v>0</v>
      </c>
      <c r="T610" s="1"/>
      <c r="U610" s="5"/>
    </row>
    <row r="611" spans="18:21">
      <c r="R611" s="10">
        <f t="shared" ca="1" si="23"/>
        <v>0</v>
      </c>
      <c r="S611" s="5">
        <f t="shared" si="22"/>
        <v>0</v>
      </c>
      <c r="T611" s="1"/>
      <c r="U611" s="5"/>
    </row>
    <row r="612" spans="18:21">
      <c r="R612" s="10">
        <f t="shared" ca="1" si="23"/>
        <v>0</v>
      </c>
      <c r="S612" s="5">
        <f t="shared" si="22"/>
        <v>0</v>
      </c>
      <c r="T612" s="1"/>
      <c r="U612" s="5"/>
    </row>
    <row r="613" spans="18:21">
      <c r="R613" s="10">
        <f t="shared" ca="1" si="23"/>
        <v>0</v>
      </c>
      <c r="S613" s="5">
        <f t="shared" si="22"/>
        <v>0</v>
      </c>
      <c r="T613" s="1"/>
      <c r="U613" s="5"/>
    </row>
    <row r="614" spans="18:21">
      <c r="R614" s="10">
        <f t="shared" ca="1" si="23"/>
        <v>0</v>
      </c>
      <c r="S614" s="5">
        <f t="shared" si="22"/>
        <v>0</v>
      </c>
      <c r="T614" s="1"/>
      <c r="U614" s="5"/>
    </row>
    <row r="615" spans="18:21">
      <c r="R615" s="10">
        <f t="shared" ca="1" si="23"/>
        <v>0</v>
      </c>
      <c r="S615" s="5">
        <f t="shared" si="22"/>
        <v>0</v>
      </c>
      <c r="T615" s="1"/>
      <c r="U615" s="5"/>
    </row>
    <row r="616" spans="18:21">
      <c r="R616" s="10">
        <f t="shared" ca="1" si="23"/>
        <v>0</v>
      </c>
      <c r="S616" s="5">
        <f t="shared" si="22"/>
        <v>0</v>
      </c>
      <c r="T616" s="1"/>
      <c r="U616" s="5"/>
    </row>
    <row r="617" spans="18:21">
      <c r="R617" s="10">
        <f t="shared" ca="1" si="23"/>
        <v>0</v>
      </c>
      <c r="S617" s="5">
        <f t="shared" si="22"/>
        <v>0</v>
      </c>
      <c r="T617" s="1"/>
      <c r="U617" s="5"/>
    </row>
    <row r="618" spans="18:21">
      <c r="R618" s="10">
        <f t="shared" ca="1" si="23"/>
        <v>0</v>
      </c>
      <c r="S618" s="5">
        <f t="shared" si="22"/>
        <v>0</v>
      </c>
      <c r="T618" s="1"/>
      <c r="U618" s="5"/>
    </row>
    <row r="619" spans="18:21">
      <c r="R619" s="10">
        <f t="shared" ca="1" si="23"/>
        <v>0</v>
      </c>
      <c r="S619" s="5">
        <f t="shared" si="22"/>
        <v>0</v>
      </c>
      <c r="T619" s="1"/>
      <c r="U619" s="5"/>
    </row>
    <row r="620" spans="18:21">
      <c r="R620" s="10">
        <f t="shared" ca="1" si="23"/>
        <v>0</v>
      </c>
      <c r="S620" s="5">
        <f t="shared" si="22"/>
        <v>0</v>
      </c>
      <c r="T620" s="1"/>
      <c r="U620" s="5"/>
    </row>
    <row r="621" spans="18:21">
      <c r="R621" s="10">
        <f t="shared" ca="1" si="23"/>
        <v>0</v>
      </c>
      <c r="S621" s="5">
        <f t="shared" si="22"/>
        <v>0</v>
      </c>
      <c r="T621" s="1"/>
      <c r="U621" s="5"/>
    </row>
    <row r="622" spans="18:21">
      <c r="R622" s="10">
        <f t="shared" ca="1" si="23"/>
        <v>0</v>
      </c>
      <c r="S622" s="5">
        <f t="shared" si="22"/>
        <v>0</v>
      </c>
      <c r="T622" s="1"/>
      <c r="U622" s="5"/>
    </row>
    <row r="623" spans="18:21">
      <c r="R623" s="10">
        <f t="shared" ca="1" si="23"/>
        <v>0</v>
      </c>
      <c r="S623" s="5">
        <f t="shared" si="22"/>
        <v>0</v>
      </c>
      <c r="T623" s="1"/>
      <c r="U623" s="5"/>
    </row>
    <row r="624" spans="18:21">
      <c r="R624" s="10">
        <f t="shared" ca="1" si="23"/>
        <v>0</v>
      </c>
      <c r="S624" s="5">
        <f t="shared" si="22"/>
        <v>0</v>
      </c>
      <c r="T624" s="1"/>
      <c r="U624" s="5"/>
    </row>
    <row r="625" spans="18:21">
      <c r="R625" s="10">
        <f t="shared" ca="1" si="23"/>
        <v>0</v>
      </c>
      <c r="S625" s="5">
        <f t="shared" si="22"/>
        <v>0</v>
      </c>
      <c r="T625" s="1"/>
      <c r="U625" s="5"/>
    </row>
    <row r="626" spans="18:21">
      <c r="R626" s="10">
        <f t="shared" ca="1" si="23"/>
        <v>0</v>
      </c>
      <c r="S626" s="5">
        <f t="shared" si="22"/>
        <v>0</v>
      </c>
      <c r="T626" s="1"/>
      <c r="U626" s="5"/>
    </row>
    <row r="627" spans="18:21">
      <c r="R627" s="10">
        <f t="shared" ca="1" si="23"/>
        <v>0</v>
      </c>
      <c r="S627" s="5">
        <f t="shared" si="22"/>
        <v>0</v>
      </c>
      <c r="T627" s="1"/>
      <c r="U627" s="5"/>
    </row>
    <row r="628" spans="18:21">
      <c r="R628" s="10">
        <f t="shared" ca="1" si="23"/>
        <v>0</v>
      </c>
      <c r="S628" s="5">
        <f t="shared" si="22"/>
        <v>0</v>
      </c>
      <c r="T628" s="1"/>
      <c r="U628" s="5"/>
    </row>
    <row r="629" spans="18:21">
      <c r="R629" s="10">
        <f t="shared" ca="1" si="23"/>
        <v>0</v>
      </c>
      <c r="S629" s="5">
        <f t="shared" si="22"/>
        <v>0</v>
      </c>
      <c r="T629" s="1"/>
      <c r="U629" s="5"/>
    </row>
    <row r="630" spans="18:21">
      <c r="R630" s="10">
        <f t="shared" ca="1" si="23"/>
        <v>0</v>
      </c>
      <c r="S630" s="5">
        <f t="shared" si="22"/>
        <v>0</v>
      </c>
      <c r="T630" s="1"/>
      <c r="U630" s="5"/>
    </row>
    <row r="631" spans="18:21">
      <c r="R631" s="10">
        <f t="shared" ca="1" si="23"/>
        <v>0</v>
      </c>
      <c r="S631" s="5">
        <f t="shared" si="22"/>
        <v>0</v>
      </c>
      <c r="T631" s="1"/>
      <c r="U631" s="5"/>
    </row>
    <row r="632" spans="18:21">
      <c r="R632" s="10">
        <f t="shared" ca="1" si="23"/>
        <v>0</v>
      </c>
      <c r="S632" s="5">
        <f t="shared" si="22"/>
        <v>0</v>
      </c>
      <c r="T632" s="1"/>
      <c r="U632" s="5"/>
    </row>
    <row r="633" spans="18:21">
      <c r="R633" s="10">
        <f t="shared" ca="1" si="23"/>
        <v>0</v>
      </c>
      <c r="S633" s="5">
        <f t="shared" si="22"/>
        <v>0</v>
      </c>
      <c r="T633" s="1"/>
      <c r="U633" s="5"/>
    </row>
    <row r="634" spans="18:21">
      <c r="R634" s="10">
        <f t="shared" ca="1" si="23"/>
        <v>0</v>
      </c>
      <c r="S634" s="5">
        <f t="shared" si="22"/>
        <v>0</v>
      </c>
      <c r="T634" s="1"/>
      <c r="U634" s="5"/>
    </row>
    <row r="635" spans="18:21">
      <c r="R635" s="10">
        <f t="shared" ca="1" si="23"/>
        <v>0</v>
      </c>
      <c r="S635" s="5">
        <f t="shared" si="22"/>
        <v>0</v>
      </c>
      <c r="T635" s="1"/>
      <c r="U635" s="5"/>
    </row>
    <row r="636" spans="18:21">
      <c r="R636" s="10">
        <f t="shared" ca="1" si="23"/>
        <v>0</v>
      </c>
      <c r="S636" s="5">
        <f t="shared" si="22"/>
        <v>0</v>
      </c>
      <c r="T636" s="1"/>
      <c r="U636" s="5"/>
    </row>
    <row r="637" spans="18:21">
      <c r="R637" s="10">
        <f t="shared" ca="1" si="23"/>
        <v>0</v>
      </c>
      <c r="S637" s="5">
        <f t="shared" si="22"/>
        <v>0</v>
      </c>
      <c r="T637" s="1"/>
      <c r="U637" s="5"/>
    </row>
    <row r="638" spans="18:21">
      <c r="R638" s="10">
        <f t="shared" ca="1" si="23"/>
        <v>0</v>
      </c>
      <c r="S638" s="5">
        <f t="shared" si="22"/>
        <v>0</v>
      </c>
      <c r="T638" s="1"/>
      <c r="U638" s="5"/>
    </row>
    <row r="639" spans="18:21">
      <c r="R639" s="10">
        <f t="shared" ca="1" si="23"/>
        <v>0</v>
      </c>
      <c r="S639" s="5">
        <f t="shared" si="22"/>
        <v>0</v>
      </c>
      <c r="T639" s="1"/>
      <c r="U639" s="5"/>
    </row>
    <row r="640" spans="18:21">
      <c r="R640" s="10">
        <f t="shared" ca="1" si="23"/>
        <v>0</v>
      </c>
      <c r="S640" s="5">
        <f t="shared" si="22"/>
        <v>0</v>
      </c>
      <c r="T640" s="1"/>
      <c r="U640" s="5"/>
    </row>
    <row r="641" spans="18:21">
      <c r="R641" s="10">
        <f t="shared" ca="1" si="23"/>
        <v>0</v>
      </c>
      <c r="S641" s="5">
        <f t="shared" si="22"/>
        <v>0</v>
      </c>
      <c r="T641" s="1"/>
      <c r="U641" s="5"/>
    </row>
    <row r="642" spans="18:21">
      <c r="R642" s="10">
        <f t="shared" ca="1" si="23"/>
        <v>0</v>
      </c>
      <c r="S642" s="5">
        <f t="shared" ref="S642:S707" si="24">_xlfn.XLOOKUP(O642,AE:AE,AG:AG)</f>
        <v>0</v>
      </c>
      <c r="T642" s="1"/>
      <c r="U642" s="5"/>
    </row>
    <row r="643" spans="18:21">
      <c r="R643" s="10">
        <f t="shared" ca="1" si="11"/>
        <v>0</v>
      </c>
      <c r="S643" s="5">
        <f t="shared" si="24"/>
        <v>0</v>
      </c>
      <c r="T643" s="1"/>
      <c r="U643" s="5"/>
    </row>
    <row r="644" spans="18:21">
      <c r="R644" s="10">
        <f t="shared" ca="1" si="11"/>
        <v>0</v>
      </c>
      <c r="S644" s="5">
        <f t="shared" si="24"/>
        <v>0</v>
      </c>
      <c r="T644" s="1"/>
      <c r="U644" s="5"/>
    </row>
    <row r="645" spans="18:21">
      <c r="R645" s="10">
        <f t="shared" ca="1" si="11"/>
        <v>0</v>
      </c>
      <c r="S645" s="5">
        <f t="shared" si="24"/>
        <v>0</v>
      </c>
      <c r="T645" s="1"/>
      <c r="U645" s="5"/>
    </row>
    <row r="646" spans="18:21">
      <c r="R646" s="10">
        <f t="shared" ca="1" si="11"/>
        <v>0</v>
      </c>
      <c r="S646" s="5">
        <f t="shared" si="24"/>
        <v>0</v>
      </c>
      <c r="T646" s="1"/>
      <c r="U646" s="5"/>
    </row>
    <row r="647" spans="18:21">
      <c r="R647" s="10">
        <f t="shared" ca="1" si="11"/>
        <v>0</v>
      </c>
      <c r="S647" s="5">
        <f t="shared" si="24"/>
        <v>0</v>
      </c>
      <c r="T647" s="1"/>
      <c r="U647" s="5"/>
    </row>
    <row r="648" spans="18:21">
      <c r="R648" s="10">
        <f t="shared" ca="1" si="11"/>
        <v>0</v>
      </c>
      <c r="S648" s="5">
        <f t="shared" si="24"/>
        <v>0</v>
      </c>
      <c r="T648" s="1"/>
      <c r="U648" s="5"/>
    </row>
    <row r="649" spans="18:21">
      <c r="R649" s="10">
        <f t="shared" ca="1" si="11"/>
        <v>0</v>
      </c>
      <c r="S649" s="5">
        <f t="shared" si="24"/>
        <v>0</v>
      </c>
      <c r="T649" s="1"/>
      <c r="U649" s="5"/>
    </row>
    <row r="650" spans="18:21">
      <c r="R650" s="10">
        <f t="shared" ca="1" si="11"/>
        <v>0</v>
      </c>
      <c r="S650" s="5">
        <f t="shared" si="24"/>
        <v>0</v>
      </c>
      <c r="T650" s="1"/>
      <c r="U650" s="5"/>
    </row>
    <row r="651" spans="18:21">
      <c r="R651" s="10">
        <f t="shared" ca="1" si="11"/>
        <v>0</v>
      </c>
      <c r="S651" s="5">
        <f t="shared" si="24"/>
        <v>0</v>
      </c>
      <c r="T651" s="1"/>
      <c r="U651" s="5"/>
    </row>
    <row r="652" spans="18:21">
      <c r="R652" s="10">
        <f t="shared" ca="1" si="11"/>
        <v>0</v>
      </c>
      <c r="S652" s="5">
        <f t="shared" si="24"/>
        <v>0</v>
      </c>
      <c r="T652" s="1"/>
      <c r="U652" s="5"/>
    </row>
    <row r="653" spans="18:21">
      <c r="R653" s="10">
        <f t="shared" ca="1" si="11"/>
        <v>0</v>
      </c>
      <c r="S653" s="5">
        <f t="shared" si="24"/>
        <v>0</v>
      </c>
      <c r="T653" s="1"/>
      <c r="U653" s="5"/>
    </row>
    <row r="654" spans="18:21">
      <c r="R654" s="10">
        <f t="shared" ca="1" si="11"/>
        <v>0</v>
      </c>
      <c r="S654" s="5">
        <f t="shared" si="24"/>
        <v>0</v>
      </c>
      <c r="T654" s="1"/>
      <c r="U654" s="5"/>
    </row>
    <row r="655" spans="18:21">
      <c r="R655" s="10">
        <f t="shared" ca="1" si="11"/>
        <v>0</v>
      </c>
      <c r="S655" s="5">
        <f t="shared" si="24"/>
        <v>0</v>
      </c>
      <c r="T655" s="1"/>
      <c r="U655" s="5"/>
    </row>
    <row r="656" spans="18:21">
      <c r="R656" s="10">
        <f t="shared" ca="1" si="11"/>
        <v>0</v>
      </c>
      <c r="S656" s="5">
        <f t="shared" si="24"/>
        <v>0</v>
      </c>
      <c r="T656" s="1"/>
      <c r="U656" s="5"/>
    </row>
    <row r="657" spans="18:21">
      <c r="R657" s="10">
        <f t="shared" ca="1" si="11"/>
        <v>0</v>
      </c>
      <c r="S657" s="5">
        <f t="shared" si="24"/>
        <v>0</v>
      </c>
      <c r="T657" s="1"/>
      <c r="U657" s="5"/>
    </row>
    <row r="658" spans="18:21">
      <c r="R658" s="10">
        <f t="shared" ref="R658:R707" ca="1" si="25">Q658/$AC$4</f>
        <v>0</v>
      </c>
      <c r="S658" s="5">
        <f t="shared" si="24"/>
        <v>0</v>
      </c>
      <c r="T658" s="1"/>
      <c r="U658" s="5"/>
    </row>
    <row r="659" spans="18:21">
      <c r="R659" s="10">
        <f t="shared" ca="1" si="25"/>
        <v>0</v>
      </c>
      <c r="S659" s="5">
        <f t="shared" si="24"/>
        <v>0</v>
      </c>
      <c r="T659" s="1"/>
      <c r="U659" s="5"/>
    </row>
    <row r="660" spans="18:21">
      <c r="R660" s="10">
        <f t="shared" ca="1" si="25"/>
        <v>0</v>
      </c>
      <c r="S660" s="5">
        <f t="shared" si="24"/>
        <v>0</v>
      </c>
      <c r="T660" s="1"/>
      <c r="U660" s="5"/>
    </row>
    <row r="661" spans="18:21">
      <c r="R661" s="10">
        <f t="shared" ca="1" si="25"/>
        <v>0</v>
      </c>
      <c r="S661" s="5">
        <f t="shared" si="24"/>
        <v>0</v>
      </c>
      <c r="T661" s="1"/>
      <c r="U661" s="5"/>
    </row>
    <row r="662" spans="18:21">
      <c r="R662" s="10">
        <f t="shared" ca="1" si="25"/>
        <v>0</v>
      </c>
      <c r="S662" s="5">
        <f t="shared" si="24"/>
        <v>0</v>
      </c>
      <c r="T662" s="1"/>
      <c r="U662" s="5"/>
    </row>
    <row r="663" spans="18:21">
      <c r="R663" s="10">
        <f t="shared" ca="1" si="25"/>
        <v>0</v>
      </c>
      <c r="S663" s="5">
        <f t="shared" si="24"/>
        <v>0</v>
      </c>
      <c r="T663" s="1"/>
      <c r="U663" s="5"/>
    </row>
    <row r="664" spans="18:21">
      <c r="R664" s="10">
        <f t="shared" ca="1" si="25"/>
        <v>0</v>
      </c>
      <c r="S664" s="5">
        <f t="shared" si="24"/>
        <v>0</v>
      </c>
      <c r="T664" s="1"/>
      <c r="U664" s="5"/>
    </row>
    <row r="665" spans="18:21">
      <c r="R665" s="10">
        <f t="shared" ca="1" si="25"/>
        <v>0</v>
      </c>
      <c r="S665" s="5">
        <f t="shared" si="24"/>
        <v>0</v>
      </c>
      <c r="T665" s="1"/>
      <c r="U665" s="5"/>
    </row>
    <row r="666" spans="18:21">
      <c r="R666" s="10">
        <f t="shared" ca="1" si="25"/>
        <v>0</v>
      </c>
      <c r="S666" s="5">
        <f t="shared" si="24"/>
        <v>0</v>
      </c>
      <c r="T666" s="1"/>
      <c r="U666" s="5"/>
    </row>
    <row r="667" spans="18:21">
      <c r="R667" s="10">
        <f t="shared" ca="1" si="25"/>
        <v>0</v>
      </c>
      <c r="S667" s="5">
        <f t="shared" si="24"/>
        <v>0</v>
      </c>
      <c r="T667" s="1"/>
      <c r="U667" s="5"/>
    </row>
    <row r="668" spans="18:21">
      <c r="R668" s="10">
        <f t="shared" ca="1" si="25"/>
        <v>0</v>
      </c>
      <c r="S668" s="5">
        <f t="shared" si="24"/>
        <v>0</v>
      </c>
      <c r="T668" s="1"/>
      <c r="U668" s="5"/>
    </row>
    <row r="669" spans="18:21">
      <c r="R669" s="10">
        <f t="shared" ca="1" si="25"/>
        <v>0</v>
      </c>
      <c r="S669" s="5">
        <f t="shared" si="24"/>
        <v>0</v>
      </c>
      <c r="T669" s="1"/>
      <c r="U669" s="5"/>
    </row>
    <row r="670" spans="18:21">
      <c r="R670" s="10">
        <f t="shared" ca="1" si="25"/>
        <v>0</v>
      </c>
      <c r="S670" s="5">
        <f t="shared" si="24"/>
        <v>0</v>
      </c>
      <c r="T670" s="1"/>
      <c r="U670" s="5"/>
    </row>
    <row r="671" spans="18:21">
      <c r="R671" s="10">
        <f t="shared" ca="1" si="25"/>
        <v>0</v>
      </c>
      <c r="S671" s="5">
        <f t="shared" si="24"/>
        <v>0</v>
      </c>
      <c r="T671" s="1"/>
      <c r="U671" s="5"/>
    </row>
    <row r="672" spans="18:21">
      <c r="R672" s="10">
        <f t="shared" ca="1" si="25"/>
        <v>0</v>
      </c>
      <c r="S672" s="5">
        <f t="shared" si="24"/>
        <v>0</v>
      </c>
      <c r="T672" s="1"/>
      <c r="U672" s="5"/>
    </row>
    <row r="673" spans="18:21">
      <c r="R673" s="10">
        <f t="shared" ca="1" si="25"/>
        <v>0</v>
      </c>
      <c r="S673" s="5">
        <f t="shared" si="24"/>
        <v>0</v>
      </c>
      <c r="T673" s="1"/>
      <c r="U673" s="5"/>
    </row>
    <row r="674" spans="18:21">
      <c r="R674" s="10">
        <f t="shared" ca="1" si="25"/>
        <v>0</v>
      </c>
      <c r="S674" s="5">
        <f t="shared" si="24"/>
        <v>0</v>
      </c>
      <c r="T674" s="1"/>
      <c r="U674" s="5"/>
    </row>
    <row r="675" spans="18:21">
      <c r="R675" s="10">
        <f t="shared" ca="1" si="25"/>
        <v>0</v>
      </c>
      <c r="S675" s="5">
        <f t="shared" si="24"/>
        <v>0</v>
      </c>
      <c r="T675" s="1"/>
      <c r="U675" s="5"/>
    </row>
    <row r="676" spans="18:21">
      <c r="R676" s="10">
        <f t="shared" ca="1" si="25"/>
        <v>0</v>
      </c>
      <c r="S676" s="5">
        <f t="shared" si="24"/>
        <v>0</v>
      </c>
      <c r="T676" s="1"/>
      <c r="U676" s="5"/>
    </row>
    <row r="677" spans="18:21">
      <c r="R677" s="10">
        <f t="shared" ca="1" si="25"/>
        <v>0</v>
      </c>
      <c r="S677" s="5">
        <f t="shared" si="24"/>
        <v>0</v>
      </c>
      <c r="T677" s="1"/>
      <c r="U677" s="5"/>
    </row>
    <row r="678" spans="18:21">
      <c r="R678" s="10">
        <f t="shared" ca="1" si="25"/>
        <v>0</v>
      </c>
      <c r="S678" s="5">
        <f t="shared" si="24"/>
        <v>0</v>
      </c>
      <c r="T678" s="1"/>
      <c r="U678" s="5"/>
    </row>
    <row r="679" spans="18:21">
      <c r="R679" s="10">
        <f t="shared" ca="1" si="25"/>
        <v>0</v>
      </c>
      <c r="S679" s="5">
        <f t="shared" si="24"/>
        <v>0</v>
      </c>
      <c r="T679" s="1"/>
      <c r="U679" s="5"/>
    </row>
    <row r="680" spans="18:21">
      <c r="R680" s="10">
        <f t="shared" ca="1" si="25"/>
        <v>0</v>
      </c>
      <c r="S680" s="5">
        <f t="shared" si="24"/>
        <v>0</v>
      </c>
      <c r="T680" s="1"/>
      <c r="U680" s="5"/>
    </row>
    <row r="681" spans="18:21">
      <c r="R681" s="10">
        <f t="shared" ca="1" si="25"/>
        <v>0</v>
      </c>
      <c r="S681" s="5">
        <f t="shared" si="24"/>
        <v>0</v>
      </c>
      <c r="T681" s="1"/>
      <c r="U681" s="5"/>
    </row>
    <row r="682" spans="18:21">
      <c r="R682" s="10">
        <f t="shared" ca="1" si="25"/>
        <v>0</v>
      </c>
      <c r="S682" s="5">
        <f t="shared" si="24"/>
        <v>0</v>
      </c>
      <c r="T682" s="1"/>
      <c r="U682" s="5"/>
    </row>
    <row r="683" spans="18:21">
      <c r="R683" s="10">
        <f t="shared" ca="1" si="25"/>
        <v>0</v>
      </c>
      <c r="S683" s="5">
        <f t="shared" si="24"/>
        <v>0</v>
      </c>
      <c r="T683" s="1"/>
      <c r="U683" s="5"/>
    </row>
    <row r="684" spans="18:21">
      <c r="R684" s="10">
        <f t="shared" ca="1" si="25"/>
        <v>0</v>
      </c>
      <c r="S684" s="5">
        <f t="shared" si="24"/>
        <v>0</v>
      </c>
      <c r="T684" s="1"/>
      <c r="U684" s="5"/>
    </row>
    <row r="685" spans="18:21">
      <c r="R685" s="10">
        <f t="shared" ca="1" si="25"/>
        <v>0</v>
      </c>
      <c r="S685" s="5">
        <f t="shared" si="24"/>
        <v>0</v>
      </c>
      <c r="T685" s="1"/>
      <c r="U685" s="5"/>
    </row>
    <row r="686" spans="18:21">
      <c r="R686" s="10">
        <f t="shared" ca="1" si="25"/>
        <v>0</v>
      </c>
      <c r="S686" s="5">
        <f t="shared" si="24"/>
        <v>0</v>
      </c>
      <c r="T686" s="1"/>
      <c r="U686" s="5"/>
    </row>
    <row r="687" spans="18:21">
      <c r="R687" s="10">
        <f t="shared" ca="1" si="25"/>
        <v>0</v>
      </c>
      <c r="S687" s="5">
        <f t="shared" si="24"/>
        <v>0</v>
      </c>
      <c r="T687" s="1"/>
      <c r="U687" s="5"/>
    </row>
    <row r="688" spans="18:21">
      <c r="R688" s="10">
        <f t="shared" ca="1" si="25"/>
        <v>0</v>
      </c>
      <c r="S688" s="5">
        <f t="shared" si="24"/>
        <v>0</v>
      </c>
      <c r="T688" s="1"/>
      <c r="U688" s="5"/>
    </row>
    <row r="689" spans="18:21">
      <c r="R689" s="10">
        <f t="shared" ca="1" si="25"/>
        <v>0</v>
      </c>
      <c r="S689" s="5">
        <f t="shared" si="24"/>
        <v>0</v>
      </c>
      <c r="T689" s="1"/>
      <c r="U689" s="5"/>
    </row>
    <row r="690" spans="18:21">
      <c r="R690" s="10">
        <f t="shared" ca="1" si="25"/>
        <v>0</v>
      </c>
      <c r="S690" s="5">
        <f t="shared" si="24"/>
        <v>0</v>
      </c>
      <c r="T690" s="1"/>
      <c r="U690" s="5"/>
    </row>
    <row r="691" spans="18:21">
      <c r="R691" s="10">
        <f t="shared" ca="1" si="25"/>
        <v>0</v>
      </c>
      <c r="S691" s="5">
        <f t="shared" si="24"/>
        <v>0</v>
      </c>
      <c r="T691" s="1"/>
      <c r="U691" s="5"/>
    </row>
    <row r="692" spans="18:21">
      <c r="R692" s="10">
        <f t="shared" ca="1" si="25"/>
        <v>0</v>
      </c>
      <c r="S692" s="5">
        <f t="shared" si="24"/>
        <v>0</v>
      </c>
      <c r="T692" s="1"/>
      <c r="U692" s="5"/>
    </row>
    <row r="693" spans="18:21">
      <c r="R693" s="10">
        <f t="shared" ca="1" si="25"/>
        <v>0</v>
      </c>
      <c r="S693" s="5">
        <f t="shared" si="24"/>
        <v>0</v>
      </c>
      <c r="T693" s="1"/>
      <c r="U693" s="5"/>
    </row>
    <row r="694" spans="18:21">
      <c r="R694" s="10">
        <f t="shared" ca="1" si="25"/>
        <v>0</v>
      </c>
      <c r="S694" s="5">
        <f t="shared" si="24"/>
        <v>0</v>
      </c>
      <c r="T694" s="1"/>
      <c r="U694" s="5"/>
    </row>
    <row r="695" spans="18:21">
      <c r="R695" s="10">
        <f t="shared" ca="1" si="25"/>
        <v>0</v>
      </c>
      <c r="S695" s="5">
        <f t="shared" si="24"/>
        <v>0</v>
      </c>
      <c r="T695" s="1"/>
      <c r="U695" s="5"/>
    </row>
    <row r="696" spans="18:21">
      <c r="R696" s="10">
        <f t="shared" ca="1" si="25"/>
        <v>0</v>
      </c>
      <c r="S696" s="5">
        <f t="shared" si="24"/>
        <v>0</v>
      </c>
      <c r="T696" s="1"/>
      <c r="U696" s="5"/>
    </row>
    <row r="697" spans="18:21">
      <c r="R697" s="10">
        <f t="shared" ca="1" si="25"/>
        <v>0</v>
      </c>
      <c r="S697" s="5">
        <f t="shared" si="24"/>
        <v>0</v>
      </c>
      <c r="T697" s="1"/>
      <c r="U697" s="5"/>
    </row>
    <row r="698" spans="18:21">
      <c r="R698" s="10">
        <f t="shared" ca="1" si="25"/>
        <v>0</v>
      </c>
      <c r="S698" s="5">
        <f t="shared" si="24"/>
        <v>0</v>
      </c>
      <c r="T698" s="1"/>
      <c r="U698" s="5"/>
    </row>
    <row r="699" spans="18:21">
      <c r="R699" s="10">
        <f t="shared" ca="1" si="25"/>
        <v>0</v>
      </c>
      <c r="S699" s="5">
        <f t="shared" si="24"/>
        <v>0</v>
      </c>
      <c r="T699" s="1"/>
      <c r="U699" s="5"/>
    </row>
    <row r="700" spans="18:21">
      <c r="R700" s="10">
        <f t="shared" ca="1" si="25"/>
        <v>0</v>
      </c>
      <c r="S700" s="5">
        <f t="shared" si="24"/>
        <v>0</v>
      </c>
      <c r="T700" s="1"/>
      <c r="U700" s="5"/>
    </row>
    <row r="701" spans="18:21">
      <c r="R701" s="10">
        <f t="shared" ca="1" si="25"/>
        <v>0</v>
      </c>
      <c r="S701" s="5">
        <f t="shared" si="24"/>
        <v>0</v>
      </c>
      <c r="T701" s="1"/>
      <c r="U701" s="5"/>
    </row>
    <row r="702" spans="18:21">
      <c r="R702" s="10">
        <f t="shared" ca="1" si="25"/>
        <v>0</v>
      </c>
      <c r="S702" s="5">
        <f t="shared" si="24"/>
        <v>0</v>
      </c>
      <c r="T702" s="1"/>
      <c r="U702" s="5"/>
    </row>
    <row r="703" spans="18:21">
      <c r="R703" s="10">
        <f t="shared" ca="1" si="25"/>
        <v>0</v>
      </c>
      <c r="S703" s="5">
        <f t="shared" si="24"/>
        <v>0</v>
      </c>
      <c r="T703" s="1"/>
      <c r="U703" s="5"/>
    </row>
    <row r="704" spans="18:21">
      <c r="R704" s="10">
        <f t="shared" ca="1" si="25"/>
        <v>0</v>
      </c>
      <c r="S704" s="5">
        <f t="shared" si="24"/>
        <v>0</v>
      </c>
      <c r="T704" s="1"/>
      <c r="U704" s="5"/>
    </row>
    <row r="705" spans="18:21">
      <c r="R705" s="10">
        <f t="shared" ca="1" si="25"/>
        <v>0</v>
      </c>
      <c r="S705" s="5">
        <f t="shared" si="24"/>
        <v>0</v>
      </c>
      <c r="T705" s="1"/>
      <c r="U705" s="5"/>
    </row>
    <row r="706" spans="18:21">
      <c r="R706" s="10">
        <f t="shared" ca="1" si="25"/>
        <v>0</v>
      </c>
      <c r="S706" s="5">
        <f t="shared" si="24"/>
        <v>0</v>
      </c>
      <c r="T706" s="1"/>
      <c r="U706" s="5"/>
    </row>
    <row r="707" spans="18:21">
      <c r="R707" s="10">
        <f t="shared" ca="1" si="25"/>
        <v>0</v>
      </c>
      <c r="S707" s="5">
        <f t="shared" si="24"/>
        <v>0</v>
      </c>
      <c r="T707" s="1"/>
      <c r="U707" s="5"/>
    </row>
  </sheetData>
  <phoneticPr fontId="54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zoomScale="90" zoomScaleNormal="90" workbookViewId="0">
      <selection activeCell="D14" sqref="D14"/>
    </sheetView>
  </sheetViews>
  <sheetFormatPr defaultColWidth="8.81640625" defaultRowHeight="14.5"/>
  <cols>
    <col min="1" max="1" width="11" customWidth="1"/>
    <col min="2" max="2" width="10.453125" customWidth="1"/>
    <col min="3" max="4" width="14.453125" customWidth="1"/>
    <col min="5" max="5" width="13.453125" customWidth="1"/>
    <col min="6" max="6" width="14" customWidth="1"/>
    <col min="7" max="7" width="9.81640625" customWidth="1"/>
    <col min="8" max="8" width="10.453125" customWidth="1"/>
    <col min="10" max="10" width="9.453125" customWidth="1"/>
    <col min="11" max="11" width="9" customWidth="1"/>
    <col min="12" max="12" width="9.453125" customWidth="1"/>
    <col min="13" max="13" width="9.81640625" customWidth="1"/>
    <col min="14" max="14" width="10.453125" customWidth="1"/>
  </cols>
  <sheetData>
    <row r="1" spans="1:14">
      <c r="A1" s="74" t="s">
        <v>38</v>
      </c>
      <c r="B1" s="75">
        <f>O2Summary!B5</f>
        <v>45851</v>
      </c>
      <c r="C1" s="79">
        <f>O2Summary!B4</f>
        <v>45839</v>
      </c>
    </row>
    <row r="2" spans="1:14" ht="21">
      <c r="A2" s="316" t="s">
        <v>605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</row>
    <row r="3" spans="1:14" ht="31">
      <c r="A3" s="88" t="s">
        <v>39</v>
      </c>
      <c r="B3" s="88" t="s">
        <v>40</v>
      </c>
      <c r="C3" s="78" t="s">
        <v>41</v>
      </c>
      <c r="D3" s="78" t="s">
        <v>42</v>
      </c>
      <c r="E3" s="78" t="s">
        <v>43</v>
      </c>
      <c r="F3" s="78" t="s">
        <v>44</v>
      </c>
      <c r="G3" s="78" t="s">
        <v>45</v>
      </c>
      <c r="H3" s="78" t="s">
        <v>46</v>
      </c>
      <c r="I3" s="78" t="s">
        <v>47</v>
      </c>
      <c r="J3" s="78" t="s">
        <v>48</v>
      </c>
      <c r="K3" s="78" t="s">
        <v>49</v>
      </c>
      <c r="L3" s="78" t="s">
        <v>50</v>
      </c>
      <c r="M3" s="78" t="s">
        <v>51</v>
      </c>
      <c r="N3" s="78" t="s">
        <v>52</v>
      </c>
    </row>
    <row r="4" spans="1:14">
      <c r="A4" s="143">
        <f>YEAR(B1)+IF(MONTH(B1)&gt;=4,1,0)</f>
        <v>2026</v>
      </c>
      <c r="B4" s="80">
        <f>B1-(O2Summary!B7)+1</f>
        <v>104</v>
      </c>
      <c r="C4" s="81">
        <f>_xlfn.XLOOKUP($C$1,'Modelling New'!$D:$D,'Modelling New'!$S:$S,0)</f>
        <v>0</v>
      </c>
      <c r="D4" s="82">
        <f>SUMIFS('Daily KPI'!$I:$I,'Daily KPI'!$A:$A,"&gt;="&amp;O2Summary!$B$7,'Daily KPI'!$A:$A,"&lt;="&amp;AnnualKPI!$B$1)</f>
        <v>0</v>
      </c>
      <c r="E4" s="80">
        <f>_xlfn.XLOOKUP($C$1,'Modelling New'!$D:$D,'Modelling New'!$V:$V,0)</f>
        <v>0</v>
      </c>
      <c r="F4" s="83">
        <f>SUMIFS('Daily KPI'!$Y:$Y,'Daily KPI'!$D:$D,"&gt;="&amp;O2Summary!$B$7,'Daily KPI'!$A:$A,"&lt;="&amp;AnnualKPI!$B$1)/1000</f>
        <v>0</v>
      </c>
      <c r="G4" s="84" t="str">
        <f>_xlfn.XLOOKUP($C$1,'Modelling New'!$D:$D,'Modelling New'!$Y:$Y,0)</f>
        <v/>
      </c>
      <c r="H4" s="85">
        <f>F4/_xlfn.XLOOKUP(C1,'Modelling New'!D:D,'Modelling New'!N:N)/(24*B4)</f>
        <v>0</v>
      </c>
      <c r="I4" s="84">
        <f>IFERROR(_xlfn.XLOOKUP($C$1,'Modelling New'!$D:$D,'Modelling New'!AF:AF),"")</f>
        <v>0.995</v>
      </c>
      <c r="J4" s="86" t="e">
        <f>AVERAGEIFS('Daily KPI'!$R:$R,'Daily KPI'!B:B,"&gt;="&amp;AnnualKPI!$A$4,'Daily KPI'!$A:$A,"&gt;="&amp;AnnualKPI!$B$1)</f>
        <v>#DIV/0!</v>
      </c>
      <c r="K4" s="84">
        <f>IFERROR(_xlfn.XLOOKUP($C$1,'Modelling New'!$D:$D,'Modelling New'!AE:AE),"")</f>
        <v>0.995</v>
      </c>
      <c r="L4" s="86" t="e">
        <f>AVERAGEIFS('Daily KPI'!$O:$O,'Daily KPI'!D:D,"&gt;="&amp;AnnualKPI!$A$4,'Daily KPI'!$A:$A,"&gt;="&amp;AnnualKPI!$B$1)</f>
        <v>#DIV/0!</v>
      </c>
      <c r="M4" s="87">
        <f>_xlfn.XLOOKUP($C$1,'Modelling New'!$D:$D,'Modelling New'!O:O)</f>
        <v>0.60935317436258363</v>
      </c>
      <c r="N4" s="85" t="e">
        <f>F4/D4/_xlfn.XLOOKUP($C$1,'Modelling New'!$D:$D,'Modelling New'!$AA:$AA)</f>
        <v>#DIV/0!</v>
      </c>
    </row>
    <row r="6" spans="1:14">
      <c r="L6" s="25"/>
      <c r="M6" s="25"/>
    </row>
  </sheetData>
  <mergeCells count="1">
    <mergeCell ref="A2:N2"/>
  </mergeCell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zoomScale="90" zoomScaleNormal="90" workbookViewId="0">
      <selection activeCell="C11" sqref="C11"/>
    </sheetView>
  </sheetViews>
  <sheetFormatPr defaultColWidth="8.81640625" defaultRowHeight="29.25" customHeight="1"/>
  <cols>
    <col min="1" max="1" width="18.1796875" style="4" customWidth="1"/>
    <col min="2" max="2" width="11.453125" customWidth="1"/>
    <col min="3" max="3" width="12.1796875" customWidth="1"/>
    <col min="4" max="4" width="12" customWidth="1"/>
    <col min="5" max="5" width="14.81640625" customWidth="1"/>
    <col min="6" max="6" width="14.453125" customWidth="1"/>
    <col min="7" max="12" width="12.1796875" customWidth="1"/>
    <col min="13" max="13" width="11.1796875" customWidth="1"/>
    <col min="14" max="14" width="13.453125" customWidth="1"/>
    <col min="15" max="20" width="11.1796875" customWidth="1"/>
  </cols>
  <sheetData>
    <row r="1" spans="1:15" ht="29.25" customHeight="1">
      <c r="A1" s="142" t="s">
        <v>38</v>
      </c>
      <c r="B1" s="75">
        <f>O2Summary!B5</f>
        <v>45851</v>
      </c>
      <c r="C1" s="76">
        <v>0</v>
      </c>
      <c r="D1" s="76">
        <v>0</v>
      </c>
      <c r="E1" s="76">
        <v>0</v>
      </c>
      <c r="F1" s="76">
        <v>0</v>
      </c>
    </row>
    <row r="2" spans="1:15" ht="29.25" customHeight="1">
      <c r="A2" s="316" t="s">
        <v>606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</row>
    <row r="3" spans="1:15" ht="29.25" customHeight="1">
      <c r="A3" s="88" t="s">
        <v>53</v>
      </c>
      <c r="B3" s="77" t="s">
        <v>40</v>
      </c>
      <c r="C3" s="78" t="s">
        <v>54</v>
      </c>
      <c r="D3" s="78" t="s">
        <v>55</v>
      </c>
      <c r="E3" s="78" t="s">
        <v>43</v>
      </c>
      <c r="F3" s="78" t="s">
        <v>44</v>
      </c>
      <c r="G3" s="78" t="s">
        <v>45</v>
      </c>
      <c r="H3" s="78" t="s">
        <v>46</v>
      </c>
      <c r="I3" s="78" t="s">
        <v>47</v>
      </c>
      <c r="J3" s="78" t="s">
        <v>48</v>
      </c>
      <c r="K3" s="78" t="s">
        <v>49</v>
      </c>
      <c r="L3" s="78" t="s">
        <v>50</v>
      </c>
      <c r="M3" s="78" t="s">
        <v>56</v>
      </c>
      <c r="N3" s="78" t="s">
        <v>57</v>
      </c>
      <c r="O3" s="78" t="s">
        <v>58</v>
      </c>
    </row>
    <row r="4" spans="1:15" ht="29.25" customHeight="1">
      <c r="A4" s="79">
        <f>O2Summary!B4</f>
        <v>45839</v>
      </c>
      <c r="B4" s="80">
        <f>DAY(B1)</f>
        <v>13</v>
      </c>
      <c r="C4" s="81">
        <f>_xlfn.XLOOKUP($A$4,'Modelling New'!$D:$D,'Modelling New'!$R:$R,0)</f>
        <v>0</v>
      </c>
      <c r="D4" s="82">
        <f>SUMIF('Daily KPI'!$D:$D,$A$4,'Daily KPI'!I:I)</f>
        <v>0</v>
      </c>
      <c r="E4" s="80">
        <f>_xlfn.XLOOKUP($A$4,'Modelling New'!$D:$D,'Modelling New'!$U:$U,0)</f>
        <v>0</v>
      </c>
      <c r="F4" s="83">
        <f>SUMIFS('Daily KPI'!$AA:$AA,'Daily KPI'!$D:$D,"&gt;="&amp;$A$4,'Daily KPI'!$A:$A,"&lt;="&amp;MonthlyKPI!$B$1)/1000</f>
        <v>0</v>
      </c>
      <c r="G4" s="84">
        <f>E4/_xlfn.XLOOKUP(A4,'Modelling New'!D:D,'Modelling New'!N:N)/(24*B4)</f>
        <v>0</v>
      </c>
      <c r="H4" s="85">
        <f>F4/(24*B4)/(_xlfn.XLOOKUP(A4,'Modelling New'!D:D,'Modelling New'!N:N))</f>
        <v>0</v>
      </c>
      <c r="I4" s="84">
        <f>_xlfn.XLOOKUP($A$4,'Modelling New'!$D:$D,'Modelling New'!$AF:$AF)</f>
        <v>0.995</v>
      </c>
      <c r="J4" s="85" t="e">
        <f>AVERAGEIF('Daily KPI'!$D:$D,$A$4,'Daily KPI'!$R:$R)</f>
        <v>#DIV/0!</v>
      </c>
      <c r="K4" s="84">
        <f>_xlfn.XLOOKUP($A$4,'Modelling New'!$D:$D,'Modelling New'!$AE:$AE)</f>
        <v>0.995</v>
      </c>
      <c r="L4" s="85" t="e">
        <f>AVERAGEIF('Daily KPI'!$D:$D,$A$4,'Daily KPI'!$O:$O)</f>
        <v>#DIV/0!</v>
      </c>
      <c r="M4" s="87">
        <f>_xlfn.XLOOKUP($A$4,'Modelling New'!$D:$D,'Modelling New'!$O:$O,0)</f>
        <v>0.60935317436258363</v>
      </c>
      <c r="N4" s="85" t="e">
        <f>F4/D4/(_xlfn.XLOOKUP(A4,'Modelling New'!$D:$D,'Modelling New'!$Z:$Z))</f>
        <v>#DIV/0!</v>
      </c>
      <c r="O4" s="85" t="str">
        <f>IFERROR(AVERAGEIF('Daily KPI'!$D:$D,$A$4,'Daily KPI'!$V:$V),"")</f>
        <v/>
      </c>
    </row>
    <row r="6" spans="1:15" ht="29.25" customHeight="1">
      <c r="A6" s="142" t="s">
        <v>59</v>
      </c>
      <c r="B6" s="75">
        <f>B7-6</f>
        <v>45845</v>
      </c>
      <c r="D6" s="25"/>
      <c r="F6" s="25"/>
    </row>
    <row r="7" spans="1:15" ht="29.25" customHeight="1">
      <c r="A7" s="142" t="s">
        <v>60</v>
      </c>
      <c r="B7" s="75">
        <f>B1</f>
        <v>45851</v>
      </c>
    </row>
    <row r="8" spans="1:15" ht="29.25" customHeight="1">
      <c r="A8" s="316" t="s">
        <v>606</v>
      </c>
      <c r="B8" s="317"/>
      <c r="C8" s="317"/>
      <c r="D8" s="317"/>
      <c r="E8" s="317"/>
      <c r="F8" s="317"/>
      <c r="G8" s="317"/>
      <c r="H8" s="317"/>
      <c r="I8" s="317"/>
      <c r="J8" s="317"/>
      <c r="K8" s="317"/>
      <c r="L8" s="317"/>
      <c r="M8" s="317"/>
      <c r="N8" s="317"/>
      <c r="O8" s="317"/>
    </row>
    <row r="9" spans="1:15" ht="29.25" customHeight="1">
      <c r="A9" s="88" t="s">
        <v>53</v>
      </c>
      <c r="B9" s="77" t="s">
        <v>40</v>
      </c>
      <c r="C9" s="78" t="s">
        <v>54</v>
      </c>
      <c r="D9" s="78" t="s">
        <v>55</v>
      </c>
      <c r="E9" s="78" t="s">
        <v>43</v>
      </c>
      <c r="F9" s="78" t="s">
        <v>44</v>
      </c>
      <c r="G9" s="78" t="s">
        <v>45</v>
      </c>
      <c r="H9" s="78" t="s">
        <v>46</v>
      </c>
      <c r="I9" s="78" t="s">
        <v>47</v>
      </c>
      <c r="J9" s="78" t="s">
        <v>48</v>
      </c>
      <c r="K9" s="78" t="s">
        <v>49</v>
      </c>
      <c r="L9" s="78" t="s">
        <v>50</v>
      </c>
      <c r="M9" s="78" t="s">
        <v>56</v>
      </c>
      <c r="N9" s="78" t="s">
        <v>57</v>
      </c>
      <c r="O9" s="78" t="s">
        <v>58</v>
      </c>
    </row>
    <row r="10" spans="1:15" s="52" customFormat="1" ht="29.25" customHeight="1">
      <c r="A10" s="79">
        <f>A4</f>
        <v>45839</v>
      </c>
      <c r="B10" s="80">
        <f>(B7-B6)+1</f>
        <v>7</v>
      </c>
      <c r="C10" s="81">
        <f>SUMIFS('Daily KPI'!$AC:$AC,'Daily KPI'!$A:$A,"&gt;="&amp;$B$6,'Daily KPI'!$A:$A,"&lt;="&amp;$B$7)</f>
        <v>26.058064516129033</v>
      </c>
      <c r="D10" s="82">
        <f>SUMIFS('Daily KPI'!$I:$I,'Daily KPI'!$A:$A,"&gt;="&amp;B6,'Daily KPI'!$A:$A,"&lt;="&amp;B7)</f>
        <v>0</v>
      </c>
      <c r="E10" s="80">
        <f>SUMIFS('Daily KPI'!$AD:$AD,'Daily KPI'!$A:$A,"&gt;="&amp;B6,'Daily KPI'!$A:$A,"&lt;="&amp;B7)/1000</f>
        <v>1394.1379482309144</v>
      </c>
      <c r="F10" s="83">
        <f>SUMIFS('Daily KPI'!$AA:$AA,'Daily KPI'!$A:$A,"&gt;="&amp;B6,'Daily KPI'!$A:$A,"&lt;="&amp;B7)/1000</f>
        <v>0</v>
      </c>
      <c r="G10" s="84">
        <f>E10/(24*B10)/_xlfn.XLOOKUP(A10,'Modelling New'!D:D,'Modelling New'!N:N)</f>
        <v>9.4515263872906125E-2</v>
      </c>
      <c r="H10" s="85">
        <f>F10/(24*B10)/(_xlfn.XLOOKUP(A10,'Modelling New'!D:D,'Modelling New'!N:N))</f>
        <v>0</v>
      </c>
      <c r="I10" s="84">
        <f>_xlfn.XLOOKUP($A$10,'Modelling New'!$D:$D,'Modelling New'!$AF:$AF)</f>
        <v>0.995</v>
      </c>
      <c r="J10" s="85" t="e">
        <f>AVERAGEIFS('Daily KPI'!$R:$R,'Daily KPI'!$A:$A,"&gt;="&amp;B6,'Daily KPI'!$A:$A,"&lt;="&amp;B7)</f>
        <v>#DIV/0!</v>
      </c>
      <c r="K10" s="84">
        <f>_xlfn.XLOOKUP($A$10,'Modelling New'!$D:$D,'Modelling New'!$AE:$AE)</f>
        <v>0.995</v>
      </c>
      <c r="L10" s="85" t="e">
        <f>AVERAGEIFS('Daily KPI'!$O:$O,'Daily KPI'!$A:$A,"&gt;="&amp;B6,'Daily KPI'!$A:$A,"&lt;="&amp;B7)</f>
        <v>#DIV/0!</v>
      </c>
      <c r="M10" s="84">
        <f>E10/C10/AVERAGEIFS('Daily KPI'!$AR:$AR,'Daily KPI'!$A:$A,"&gt;="&amp;B6,'Daily KPI'!$A:$A,"&lt;="&amp;B7)</f>
        <v>0.60935317436258374</v>
      </c>
      <c r="N10" s="85" t="e">
        <f>F10/D10/AVERAGEIFS('Daily KPI'!$AR:$AR,'Daily KPI'!$A:$A,"&gt;="&amp;B6,'Daily KPI'!$A:$A,"&lt;="&amp;B7)</f>
        <v>#DIV/0!</v>
      </c>
      <c r="O10" s="85" t="str">
        <f>IFERROR(AVERAGEIFS(#REF!,#REF!,"&gt;="&amp;B6,#REF!,"&lt;="&amp;B7),"")</f>
        <v/>
      </c>
    </row>
  </sheetData>
  <mergeCells count="2">
    <mergeCell ref="A8:O8"/>
    <mergeCell ref="A2:O2"/>
  </mergeCells>
  <pageMargins left="0.7" right="0.7" top="0.75" bottom="0.75" header="0.3" footer="0.3"/>
  <pageSetup paperSize="9" orientation="portrait" r:id="rId1"/>
  <headerFooter>
    <oddFooter>&amp;C&amp;1#&amp;"Calibri"&amp;8&amp;K000000Classification: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F10" sqref="F10"/>
    </sheetView>
  </sheetViews>
  <sheetFormatPr defaultColWidth="8.81640625" defaultRowHeight="14.5"/>
  <cols>
    <col min="1" max="2" width="12.453125" bestFit="1" customWidth="1"/>
    <col min="3" max="3" width="13.453125" bestFit="1" customWidth="1"/>
    <col min="4" max="4" width="12.453125" bestFit="1" customWidth="1"/>
    <col min="5" max="5" width="14.453125" bestFit="1" customWidth="1"/>
    <col min="6" max="7" width="12.453125" bestFit="1" customWidth="1"/>
    <col min="8" max="8" width="14.453125" bestFit="1" customWidth="1"/>
  </cols>
  <sheetData>
    <row r="1" spans="1:3">
      <c r="A1" s="196" t="s">
        <v>61</v>
      </c>
      <c r="B1" t="s">
        <v>62</v>
      </c>
      <c r="C1" t="s">
        <v>63</v>
      </c>
    </row>
    <row r="2" spans="1:3">
      <c r="A2" s="17" t="s">
        <v>64</v>
      </c>
      <c r="B2" s="73">
        <v>8349710.6500000004</v>
      </c>
      <c r="C2" s="73">
        <v>1715597.4899999998</v>
      </c>
    </row>
    <row r="3" spans="1:3">
      <c r="A3" s="197" t="s">
        <v>65</v>
      </c>
      <c r="B3" s="73">
        <v>1263514</v>
      </c>
      <c r="C3" s="73">
        <v>99126.389999999985</v>
      </c>
    </row>
    <row r="4" spans="1:3">
      <c r="A4" s="197" t="s">
        <v>66</v>
      </c>
      <c r="B4" s="73">
        <v>2993651.2600000002</v>
      </c>
      <c r="C4" s="73">
        <v>577993.19999999995</v>
      </c>
    </row>
    <row r="5" spans="1:3">
      <c r="A5" s="197" t="s">
        <v>67</v>
      </c>
      <c r="B5" s="73">
        <v>4092545.39</v>
      </c>
      <c r="C5" s="73">
        <v>1038477.8999999999</v>
      </c>
    </row>
    <row r="6" spans="1:3">
      <c r="A6" s="197" t="s">
        <v>68</v>
      </c>
      <c r="B6" s="73">
        <v>0</v>
      </c>
      <c r="C6" s="73">
        <v>0</v>
      </c>
    </row>
    <row r="7" spans="1:3">
      <c r="A7" s="197" t="s">
        <v>69</v>
      </c>
      <c r="B7" s="73">
        <v>0</v>
      </c>
      <c r="C7" s="73">
        <v>0</v>
      </c>
    </row>
    <row r="8" spans="1:3">
      <c r="A8" s="197" t="s">
        <v>70</v>
      </c>
      <c r="B8" s="73">
        <v>0</v>
      </c>
      <c r="C8" s="73">
        <v>0</v>
      </c>
    </row>
    <row r="9" spans="1:3">
      <c r="A9" s="197" t="s">
        <v>71</v>
      </c>
      <c r="B9" s="73">
        <v>0</v>
      </c>
      <c r="C9" s="73">
        <v>0</v>
      </c>
    </row>
    <row r="10" spans="1:3">
      <c r="A10" s="197" t="s">
        <v>72</v>
      </c>
      <c r="B10" s="73">
        <v>0</v>
      </c>
      <c r="C10" s="73">
        <v>0</v>
      </c>
    </row>
    <row r="11" spans="1:3">
      <c r="A11" s="197" t="s">
        <v>73</v>
      </c>
      <c r="B11" s="73">
        <v>0</v>
      </c>
      <c r="C11" s="73">
        <v>0</v>
      </c>
    </row>
    <row r="12" spans="1:3">
      <c r="A12" s="197" t="s">
        <v>74</v>
      </c>
      <c r="B12" s="73">
        <v>0</v>
      </c>
      <c r="C12" s="73">
        <v>0</v>
      </c>
    </row>
    <row r="13" spans="1:3">
      <c r="A13" s="197" t="s">
        <v>75</v>
      </c>
      <c r="B13" s="73">
        <v>0</v>
      </c>
      <c r="C13" s="73">
        <v>0</v>
      </c>
    </row>
    <row r="14" spans="1:3">
      <c r="A14" s="17" t="s">
        <v>76</v>
      </c>
      <c r="B14" s="73">
        <v>8349710.6500000004</v>
      </c>
      <c r="C14" s="73">
        <v>1715597.4899999998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F170-1228-416B-ACD1-6FD2D384B0B3}">
  <dimension ref="A1:AS369"/>
  <sheetViews>
    <sheetView zoomScale="90" zoomScaleNormal="90" workbookViewId="0">
      <pane xSplit="4" ySplit="1" topLeftCell="U2" activePane="bottomRight" state="frozen"/>
      <selection pane="topRight" activeCell="E1" sqref="E1"/>
      <selection pane="bottomLeft" activeCell="A2" sqref="A2"/>
      <selection pane="bottomRight" activeCell="P2" sqref="P2"/>
    </sheetView>
  </sheetViews>
  <sheetFormatPr defaultColWidth="8.453125" defaultRowHeight="14.5"/>
  <cols>
    <col min="1" max="1" width="9.81640625" style="231" bestFit="1" customWidth="1"/>
    <col min="2" max="5" width="9" style="231" customWidth="1"/>
    <col min="6" max="9" width="10.453125" style="231" customWidth="1"/>
    <col min="10" max="12" width="11.453125" style="231" customWidth="1"/>
    <col min="13" max="13" width="15.1796875" style="231" bestFit="1" customWidth="1"/>
    <col min="14" max="39" width="11.453125" style="231" customWidth="1"/>
    <col min="40" max="40" width="11.453125" style="245" customWidth="1"/>
    <col min="41" max="45" width="11.453125" style="231" customWidth="1"/>
    <col min="46" max="16384" width="8.453125" style="231"/>
  </cols>
  <sheetData>
    <row r="1" spans="1:45" ht="58">
      <c r="A1" s="227" t="s">
        <v>77</v>
      </c>
      <c r="B1" s="228" t="s">
        <v>78</v>
      </c>
      <c r="C1" s="228" t="s">
        <v>79</v>
      </c>
      <c r="D1" s="228" t="s">
        <v>80</v>
      </c>
      <c r="E1" s="228" t="s">
        <v>40</v>
      </c>
      <c r="F1" s="229" t="s">
        <v>81</v>
      </c>
      <c r="G1" s="229" t="s">
        <v>82</v>
      </c>
      <c r="H1" s="229" t="s">
        <v>83</v>
      </c>
      <c r="I1" s="229" t="s">
        <v>84</v>
      </c>
      <c r="J1" s="229" t="s">
        <v>85</v>
      </c>
      <c r="K1" s="229" t="s">
        <v>86</v>
      </c>
      <c r="L1" s="229" t="s">
        <v>87</v>
      </c>
      <c r="M1" s="229" t="s">
        <v>88</v>
      </c>
      <c r="N1" s="229" t="s">
        <v>89</v>
      </c>
      <c r="O1" s="229" t="s">
        <v>90</v>
      </c>
      <c r="P1" s="229" t="s">
        <v>91</v>
      </c>
      <c r="Q1" s="229" t="s">
        <v>92</v>
      </c>
      <c r="R1" s="229" t="s">
        <v>93</v>
      </c>
      <c r="S1" s="229" t="s">
        <v>94</v>
      </c>
      <c r="T1" s="229" t="s">
        <v>95</v>
      </c>
      <c r="U1" s="229" t="s">
        <v>96</v>
      </c>
      <c r="V1" s="229" t="s">
        <v>97</v>
      </c>
      <c r="W1" s="229" t="s">
        <v>98</v>
      </c>
      <c r="X1" s="229" t="s">
        <v>99</v>
      </c>
      <c r="Y1" s="229" t="s">
        <v>100</v>
      </c>
      <c r="Z1" s="229" t="s">
        <v>101</v>
      </c>
      <c r="AA1" s="229" t="s">
        <v>102</v>
      </c>
      <c r="AB1" s="229" t="s">
        <v>103</v>
      </c>
      <c r="AC1" s="229" t="s">
        <v>104</v>
      </c>
      <c r="AD1" s="229" t="s">
        <v>105</v>
      </c>
      <c r="AE1" s="229" t="s">
        <v>106</v>
      </c>
      <c r="AF1" s="229" t="s">
        <v>107</v>
      </c>
      <c r="AG1" s="229" t="s">
        <v>108</v>
      </c>
      <c r="AH1" s="229" t="s">
        <v>109</v>
      </c>
      <c r="AI1" s="229" t="s">
        <v>110</v>
      </c>
      <c r="AJ1" s="229" t="s">
        <v>111</v>
      </c>
      <c r="AK1" s="229" t="s">
        <v>112</v>
      </c>
      <c r="AL1" s="229" t="s">
        <v>113</v>
      </c>
      <c r="AM1" s="229" t="s">
        <v>114</v>
      </c>
      <c r="AN1" s="230" t="s">
        <v>115</v>
      </c>
      <c r="AO1" s="229" t="s">
        <v>116</v>
      </c>
      <c r="AP1" s="229" t="s">
        <v>117</v>
      </c>
      <c r="AQ1" s="229" t="s">
        <v>118</v>
      </c>
      <c r="AR1" s="229" t="s">
        <v>119</v>
      </c>
      <c r="AS1" s="229" t="s">
        <v>120</v>
      </c>
    </row>
    <row r="2" spans="1:45">
      <c r="A2" s="232">
        <v>45839</v>
      </c>
      <c r="B2" s="233">
        <f>YEAR(Daily_KPI[[#This Row],[Date]])+IF(MONTH(Daily_KPI[[#This Row],[Date]])&gt;=4,1,0)</f>
        <v>2026</v>
      </c>
      <c r="C2" s="234">
        <f>YEAR(Daily_KPI[[#This Row],[Date]])</f>
        <v>2025</v>
      </c>
      <c r="D2" s="235">
        <f>Daily_KPI[[#This Row],[Date]]-DAY(Daily_KPI[[#This Row],[Date]])+1</f>
        <v>45839</v>
      </c>
      <c r="E2" s="234">
        <f t="shared" ref="E2:E9" si="0">DAY(EOMONTH(A2,0))</f>
        <v>31</v>
      </c>
      <c r="F2" s="236">
        <f>IFERROR(_xlfn.XLOOKUP($A2,Input_Raw!$A:$A,Input_Raw!$BM:$BM),"")</f>
        <v>0</v>
      </c>
      <c r="G2" s="237">
        <f>IFERROR(_xlfn.XLOOKUP($A2,Input_Raw!$A:$A,Input_Raw!$AN:$AN),"")</f>
        <v>0</v>
      </c>
      <c r="H2" s="237"/>
      <c r="I2" s="237">
        <f>IFERROR(_xlfn.XLOOKUP($A2,Input_Raw!$A:$A,Input_Raw!$AM:$AM),"")</f>
        <v>0</v>
      </c>
      <c r="J2" s="237"/>
      <c r="K2" s="237">
        <f>IFERROR(_xlfn.XLOOKUP($A2,Input_Raw!$A:$A,Input_Raw!AO:AO),"")</f>
        <v>0</v>
      </c>
      <c r="L2" s="237">
        <f>IFERROR(_xlfn.XLOOKUP($A2,Input_Raw!$A:$A,Input_Raw!AP:AP),"")</f>
        <v>0</v>
      </c>
      <c r="M2" s="237">
        <f>IFERROR(_xlfn.XLOOKUP($A2,Input_Raw!$A:$A,Input_Raw!AS:AS),"")</f>
        <v>0</v>
      </c>
      <c r="N2" s="237">
        <f>IFERROR(_xlfn.XLOOKUP($A2,Input_Raw!$A:$A,Input_Raw!AT:AT),"")</f>
        <v>0</v>
      </c>
      <c r="O2" s="238" t="str">
        <f>IFERROR(1-(SUMIF(Plant_BD!$B:$B,$A2,Plant_BD!$AL:$AL)/($AA2+SUMIF(Plant_BD!$B:$B,$A2,Plant_BD!$AL:$AL))),"")</f>
        <v/>
      </c>
      <c r="P2" s="238"/>
      <c r="Q2" s="239"/>
      <c r="R2" s="238" t="str">
        <f>IFERROR(1-(SUMIF(Grid_BD!$B:$B,$A2,Grid_BD!$V:$V)/($AA2+SUMIF(Grid_BD!$B:$B,$A2,Grid_BD!$V:$V))),"")</f>
        <v/>
      </c>
      <c r="S2" s="234"/>
      <c r="T2" s="239"/>
      <c r="U2" s="240" t="str">
        <f t="shared" ref="U2:U9" si="1">IFERROR(AA2/I2/AB2/1000,"")</f>
        <v/>
      </c>
      <c r="V2" s="240" t="str">
        <f>IFERROR(_xlfn.XLOOKUP($A2,Input_Raw!$A:$A,Input_Raw!$BS:$BS),"")</f>
        <v/>
      </c>
      <c r="W2" s="241">
        <f t="shared" ref="W2:W9" si="2">IFERROR(AA2/(24*AR2*1000),"")</f>
        <v>0</v>
      </c>
      <c r="X2" s="233">
        <f>IFERROR(_xlfn.XLOOKUP($A2,Input_Raw!$A:$A,Input_Raw!$AW:$AW),"")</f>
        <v>0</v>
      </c>
      <c r="Y2" s="233">
        <f>IFERROR(_xlfn.XLOOKUP($A2,Input_Raw!$A:$A,Input_Raw!$BN:$BN),"")</f>
        <v>0</v>
      </c>
      <c r="Z2" s="233"/>
      <c r="AA2" s="233">
        <f>IFERROR(_xlfn.XLOOKUP($A2,Input_Raw!$A:$A,Input_Raw!$BO:$BO),"")</f>
        <v>0</v>
      </c>
      <c r="AB2" s="233">
        <f>IFERROR(_xlfn.XLOOKUP($A2,Input_Raw!$A:$A,Input_Raw!$BP:$BP),"")</f>
        <v>0</v>
      </c>
      <c r="AC2" s="242">
        <f>IFERROR(_xlfn.XLOOKUP($D2,'Modelling New'!$D:$D,'Modelling New'!P:P),"")</f>
        <v>3.7225806451612904</v>
      </c>
      <c r="AD2" s="233">
        <f>IFERROR(_xlfn.XLOOKUP($D2,'Modelling New'!$D:$D,'Modelling New'!T:T)*1000,"")</f>
        <v>199162.56403298778</v>
      </c>
      <c r="AE2" s="243">
        <f>IFERROR(_xlfn.XLOOKUP($D2,'Modelling New'!$D:$D,'Modelling New'!$O:$O),"")</f>
        <v>0.60935317436258363</v>
      </c>
      <c r="AF2" s="243">
        <f>IFERROR(_xlfn.XLOOKUP($D2,'Modelling New'!$D:$D,'Modelling New'!$W:$W),"")</f>
        <v>9.4515263872906125E-2</v>
      </c>
      <c r="AG2" s="243">
        <f>IFERROR(_xlfn.XLOOKUP($D2,'Modelling New'!$D:$D,'Modelling New'!$AE:$AE),"")</f>
        <v>0.995</v>
      </c>
      <c r="AH2" s="243">
        <f>IFERROR(_xlfn.XLOOKUP($D2,'Modelling New'!$D:$D,'Modelling New'!$AF:$AF),"")</f>
        <v>0.995</v>
      </c>
      <c r="AI2" s="234"/>
      <c r="AJ2" s="234"/>
      <c r="AK2" s="234"/>
      <c r="AL2" s="234"/>
      <c r="AM2" s="234"/>
      <c r="AN2" s="244"/>
      <c r="AO2" s="241"/>
      <c r="AP2" s="241"/>
      <c r="AQ2" s="241"/>
      <c r="AR2" s="233">
        <f>_xlfn.XLOOKUP($D2,'Modelling New'!$D:$D,'Modelling New'!$N:$N)</f>
        <v>87.8</v>
      </c>
      <c r="AS2" s="233">
        <f t="shared" ref="AS2:AS9" si="3">IFERROR((AD2/AR2)*AB2,"")</f>
        <v>0</v>
      </c>
    </row>
    <row r="3" spans="1:45">
      <c r="A3" s="232">
        <f t="shared" ref="A3:A11" si="4">A2+1</f>
        <v>45840</v>
      </c>
      <c r="B3" s="233">
        <f>YEAR(Daily_KPI[[#This Row],[Date]])+IF(MONTH(Daily_KPI[[#This Row],[Date]])&gt;=4,1,0)</f>
        <v>2026</v>
      </c>
      <c r="C3" s="234">
        <f>YEAR(Daily_KPI[[#This Row],[Date]])</f>
        <v>2025</v>
      </c>
      <c r="D3" s="235">
        <f>Daily_KPI[[#This Row],[Date]]-DAY(Daily_KPI[[#This Row],[Date]])+1</f>
        <v>45839</v>
      </c>
      <c r="E3" s="234">
        <f t="shared" si="0"/>
        <v>31</v>
      </c>
      <c r="F3" s="236">
        <f>IFERROR(_xlfn.XLOOKUP($A3,Input_Raw!$A:$A,Input_Raw!$BM:$BM),"")</f>
        <v>0</v>
      </c>
      <c r="G3" s="237">
        <f>IFERROR(_xlfn.XLOOKUP($A3,Input_Raw!$A:$A,Input_Raw!$AN:$AN),"")</f>
        <v>0</v>
      </c>
      <c r="H3" s="237"/>
      <c r="I3" s="237">
        <f>IFERROR(_xlfn.XLOOKUP($A3,Input_Raw!$A:$A,Input_Raw!$AM:$AM),"")</f>
        <v>0</v>
      </c>
      <c r="J3" s="237"/>
      <c r="K3" s="237">
        <f>IFERROR(_xlfn.XLOOKUP($A3,Input_Raw!$A:$A,Input_Raw!AO:AO),"")</f>
        <v>0</v>
      </c>
      <c r="L3" s="237">
        <f>IFERROR(_xlfn.XLOOKUP($A3,Input_Raw!$A:$A,Input_Raw!AP:AP),"")</f>
        <v>0</v>
      </c>
      <c r="M3" s="237">
        <f>IFERROR(_xlfn.XLOOKUP($A3,Input_Raw!$A:$A,Input_Raw!AS:AS),"")</f>
        <v>0</v>
      </c>
      <c r="N3" s="237">
        <f>IFERROR(_xlfn.XLOOKUP($A3,Input_Raw!$A:$A,Input_Raw!AT:AT),"")</f>
        <v>0</v>
      </c>
      <c r="O3" s="238" t="str">
        <f>IFERROR(1-(SUMIF(Plant_BD!$B:$B,$A3,Plant_BD!$AL:$AL)/($AA3+SUMIF(Plant_BD!$B:$B,$A3,Plant_BD!$AL:$AL))),"")</f>
        <v/>
      </c>
      <c r="P3" s="238"/>
      <c r="Q3" s="239"/>
      <c r="R3" s="238" t="str">
        <f>IFERROR(1-(SUMIF(Grid_BD!$B:$B,$A3,Grid_BD!$V:$V)/($AA3+SUMIF(Grid_BD!$B:$B,$A3,Grid_BD!$V:$V))),"")</f>
        <v/>
      </c>
      <c r="S3" s="234"/>
      <c r="T3" s="239"/>
      <c r="U3" s="240" t="str">
        <f t="shared" si="1"/>
        <v/>
      </c>
      <c r="V3" s="240" t="str">
        <f>IFERROR(_xlfn.XLOOKUP($A3,Input_Raw!$A:$A,Input_Raw!$BS:$BS),"")</f>
        <v/>
      </c>
      <c r="W3" s="241">
        <f t="shared" si="2"/>
        <v>0</v>
      </c>
      <c r="X3" s="233">
        <f>IFERROR(_xlfn.XLOOKUP($A3,Input_Raw!$A:$A,Input_Raw!$AW:$AW),"")</f>
        <v>0</v>
      </c>
      <c r="Y3" s="233">
        <f>IFERROR(_xlfn.XLOOKUP($A3,Input_Raw!$A:$A,Input_Raw!$BN:$BN),"")</f>
        <v>0</v>
      </c>
      <c r="Z3" s="233"/>
      <c r="AA3" s="233">
        <f>IFERROR(_xlfn.XLOOKUP($A3,Input_Raw!$A:$A,Input_Raw!$BO:$BO),"")</f>
        <v>0</v>
      </c>
      <c r="AB3" s="233">
        <f>IFERROR(_xlfn.XLOOKUP($A3,Input_Raw!$A:$A,Input_Raw!$BP:$BP),"")</f>
        <v>0</v>
      </c>
      <c r="AC3" s="242">
        <f>IFERROR(_xlfn.XLOOKUP($D3,'Modelling New'!$D:$D,'Modelling New'!P:P),"")</f>
        <v>3.7225806451612904</v>
      </c>
      <c r="AD3" s="233">
        <f>IFERROR(_xlfn.XLOOKUP($D3,'Modelling New'!$D:$D,'Modelling New'!T:T)*1000,"")</f>
        <v>199162.56403298778</v>
      </c>
      <c r="AE3" s="243">
        <f>IFERROR(_xlfn.XLOOKUP($D3,'Modelling New'!$D:$D,'Modelling New'!$O:$O),"")</f>
        <v>0.60935317436258363</v>
      </c>
      <c r="AF3" s="243">
        <f>IFERROR(_xlfn.XLOOKUP($D3,'Modelling New'!$D:$D,'Modelling New'!$W:$W),"")</f>
        <v>9.4515263872906125E-2</v>
      </c>
      <c r="AG3" s="243">
        <f>IFERROR(_xlfn.XLOOKUP($D3,'Modelling New'!$D:$D,'Modelling New'!$AE:$AE),"")</f>
        <v>0.995</v>
      </c>
      <c r="AH3" s="243">
        <f>IFERROR(_xlfn.XLOOKUP($D3,'Modelling New'!$D:$D,'Modelling New'!$AF:$AF),"")</f>
        <v>0.995</v>
      </c>
      <c r="AI3" s="234"/>
      <c r="AJ3" s="234"/>
      <c r="AK3" s="234"/>
      <c r="AL3" s="234"/>
      <c r="AM3" s="234"/>
      <c r="AN3" s="244"/>
      <c r="AO3" s="241"/>
      <c r="AP3" s="241"/>
      <c r="AQ3" s="241"/>
      <c r="AR3" s="233">
        <f>_xlfn.XLOOKUP($D3,'Modelling New'!$D:$D,'Modelling New'!$N:$N)</f>
        <v>87.8</v>
      </c>
      <c r="AS3" s="233">
        <f t="shared" si="3"/>
        <v>0</v>
      </c>
    </row>
    <row r="4" spans="1:45">
      <c r="A4" s="232">
        <f t="shared" si="4"/>
        <v>45841</v>
      </c>
      <c r="B4" s="233">
        <f>YEAR(Daily_KPI[[#This Row],[Date]])+IF(MONTH(Daily_KPI[[#This Row],[Date]])&gt;=4,1,0)</f>
        <v>2026</v>
      </c>
      <c r="C4" s="234">
        <f>YEAR(Daily_KPI[[#This Row],[Date]])</f>
        <v>2025</v>
      </c>
      <c r="D4" s="235">
        <f>Daily_KPI[[#This Row],[Date]]-DAY(Daily_KPI[[#This Row],[Date]])+1</f>
        <v>45839</v>
      </c>
      <c r="E4" s="234">
        <f t="shared" si="0"/>
        <v>31</v>
      </c>
      <c r="F4" s="236">
        <f>IFERROR(_xlfn.XLOOKUP($A4,Input_Raw!$A:$A,Input_Raw!$BM:$BM),"")</f>
        <v>0</v>
      </c>
      <c r="G4" s="237">
        <f>IFERROR(_xlfn.XLOOKUP($A4,Input_Raw!$A:$A,Input_Raw!$AN:$AN),"")</f>
        <v>0</v>
      </c>
      <c r="H4" s="237"/>
      <c r="I4" s="237">
        <f>IFERROR(_xlfn.XLOOKUP($A4,Input_Raw!$A:$A,Input_Raw!$AM:$AM),"")</f>
        <v>0</v>
      </c>
      <c r="J4" s="237"/>
      <c r="K4" s="237">
        <f>IFERROR(_xlfn.XLOOKUP($A4,Input_Raw!$A:$A,Input_Raw!AO:AO),"")</f>
        <v>0</v>
      </c>
      <c r="L4" s="237">
        <f>IFERROR(_xlfn.XLOOKUP($A4,Input_Raw!$A:$A,Input_Raw!AP:AP),"")</f>
        <v>0</v>
      </c>
      <c r="M4" s="237">
        <f>IFERROR(_xlfn.XLOOKUP($A4,Input_Raw!$A:$A,Input_Raw!AS:AS),"")</f>
        <v>0</v>
      </c>
      <c r="N4" s="237">
        <f>IFERROR(_xlfn.XLOOKUP($A4,Input_Raw!$A:$A,Input_Raw!AT:AT),"")</f>
        <v>0</v>
      </c>
      <c r="O4" s="238" t="str">
        <f>IFERROR(1-(SUMIF(Plant_BD!$B:$B,$A4,Plant_BD!$AL:$AL)/($AA4+SUMIF(Plant_BD!$B:$B,$A4,Plant_BD!$AL:$AL))),"")</f>
        <v/>
      </c>
      <c r="P4" s="238"/>
      <c r="Q4" s="239"/>
      <c r="R4" s="238" t="str">
        <f>IFERROR(1-(SUMIF(Grid_BD!$B:$B,$A4,Grid_BD!$V:$V)/($AA4+SUMIF(Grid_BD!$B:$B,$A4,Grid_BD!$V:$V))),"")</f>
        <v/>
      </c>
      <c r="S4" s="234"/>
      <c r="T4" s="239"/>
      <c r="U4" s="240" t="str">
        <f t="shared" si="1"/>
        <v/>
      </c>
      <c r="V4" s="240" t="str">
        <f>IFERROR(_xlfn.XLOOKUP($A4,Input_Raw!$A:$A,Input_Raw!$BS:$BS),"")</f>
        <v/>
      </c>
      <c r="W4" s="241">
        <f t="shared" si="2"/>
        <v>0</v>
      </c>
      <c r="X4" s="233">
        <f>IFERROR(_xlfn.XLOOKUP($A4,Input_Raw!$A:$A,Input_Raw!$AW:$AW),"")</f>
        <v>0</v>
      </c>
      <c r="Y4" s="233">
        <f>IFERROR(_xlfn.XLOOKUP($A4,Input_Raw!$A:$A,Input_Raw!$BN:$BN),"")</f>
        <v>0</v>
      </c>
      <c r="Z4" s="233"/>
      <c r="AA4" s="233">
        <f>IFERROR(_xlfn.XLOOKUP($A4,Input_Raw!$A:$A,Input_Raw!$BO:$BO),"")</f>
        <v>0</v>
      </c>
      <c r="AB4" s="233">
        <f>IFERROR(_xlfn.XLOOKUP($A4,Input_Raw!$A:$A,Input_Raw!$BP:$BP),"")</f>
        <v>0</v>
      </c>
      <c r="AC4" s="242">
        <f>IFERROR(_xlfn.XLOOKUP($D4,'Modelling New'!$D:$D,'Modelling New'!P:P),"")</f>
        <v>3.7225806451612904</v>
      </c>
      <c r="AD4" s="233">
        <f>IFERROR(_xlfn.XLOOKUP($D4,'Modelling New'!$D:$D,'Modelling New'!T:T)*1000,"")</f>
        <v>199162.56403298778</v>
      </c>
      <c r="AE4" s="243">
        <f>IFERROR(_xlfn.XLOOKUP($D4,'Modelling New'!$D:$D,'Modelling New'!$O:$O),"")</f>
        <v>0.60935317436258363</v>
      </c>
      <c r="AF4" s="243">
        <f>IFERROR(_xlfn.XLOOKUP($D4,'Modelling New'!$D:$D,'Modelling New'!$W:$W),"")</f>
        <v>9.4515263872906125E-2</v>
      </c>
      <c r="AG4" s="243">
        <f>IFERROR(_xlfn.XLOOKUP($D4,'Modelling New'!$D:$D,'Modelling New'!$AE:$AE),"")</f>
        <v>0.995</v>
      </c>
      <c r="AH4" s="243">
        <f>IFERROR(_xlfn.XLOOKUP($D4,'Modelling New'!$D:$D,'Modelling New'!$AF:$AF),"")</f>
        <v>0.995</v>
      </c>
      <c r="AI4" s="234"/>
      <c r="AJ4" s="234"/>
      <c r="AK4" s="234"/>
      <c r="AL4" s="234"/>
      <c r="AM4" s="234"/>
      <c r="AN4" s="244"/>
      <c r="AO4" s="241"/>
      <c r="AP4" s="241"/>
      <c r="AQ4" s="241"/>
      <c r="AR4" s="233">
        <f>_xlfn.XLOOKUP($D4,'Modelling New'!$D:$D,'Modelling New'!$N:$N)</f>
        <v>87.8</v>
      </c>
      <c r="AS4" s="233">
        <f t="shared" si="3"/>
        <v>0</v>
      </c>
    </row>
    <row r="5" spans="1:45">
      <c r="A5" s="232">
        <f t="shared" si="4"/>
        <v>45842</v>
      </c>
      <c r="B5" s="233">
        <f>YEAR(Daily_KPI[[#This Row],[Date]])+IF(MONTH(Daily_KPI[[#This Row],[Date]])&gt;=4,1,0)</f>
        <v>2026</v>
      </c>
      <c r="C5" s="234">
        <f>YEAR(Daily_KPI[[#This Row],[Date]])</f>
        <v>2025</v>
      </c>
      <c r="D5" s="235">
        <f>Daily_KPI[[#This Row],[Date]]-DAY(Daily_KPI[[#This Row],[Date]])+1</f>
        <v>45839</v>
      </c>
      <c r="E5" s="234">
        <f t="shared" si="0"/>
        <v>31</v>
      </c>
      <c r="F5" s="236">
        <f>IFERROR(_xlfn.XLOOKUP($A5,Input_Raw!$A:$A,Input_Raw!$BM:$BM),"")</f>
        <v>0</v>
      </c>
      <c r="G5" s="237">
        <f>IFERROR(_xlfn.XLOOKUP($A5,Input_Raw!$A:$A,Input_Raw!$AN:$AN),"")</f>
        <v>0</v>
      </c>
      <c r="H5" s="237"/>
      <c r="I5" s="237">
        <f>IFERROR(_xlfn.XLOOKUP($A5,Input_Raw!$A:$A,Input_Raw!$AM:$AM),"")</f>
        <v>0</v>
      </c>
      <c r="J5" s="237"/>
      <c r="K5" s="237">
        <f>IFERROR(_xlfn.XLOOKUP($A5,Input_Raw!$A:$A,Input_Raw!AO:AO),"")</f>
        <v>0</v>
      </c>
      <c r="L5" s="237">
        <f>IFERROR(_xlfn.XLOOKUP($A5,Input_Raw!$A:$A,Input_Raw!AP:AP),"")</f>
        <v>0</v>
      </c>
      <c r="M5" s="237">
        <f>IFERROR(_xlfn.XLOOKUP($A5,Input_Raw!$A:$A,Input_Raw!AS:AS),"")</f>
        <v>0</v>
      </c>
      <c r="N5" s="237">
        <f>IFERROR(_xlfn.XLOOKUP($A5,Input_Raw!$A:$A,Input_Raw!AT:AT),"")</f>
        <v>0</v>
      </c>
      <c r="O5" s="238" t="str">
        <f>IFERROR(1-(SUMIF(Plant_BD!$B:$B,$A5,Plant_BD!$AL:$AL)/($AA5+SUMIF(Plant_BD!$B:$B,$A5,Plant_BD!$AL:$AL))),"")</f>
        <v/>
      </c>
      <c r="P5" s="238"/>
      <c r="Q5" s="239"/>
      <c r="R5" s="238" t="str">
        <f>IFERROR(1-(SUMIF(Grid_BD!$B:$B,$A5,Grid_BD!$V:$V)/($AA5+SUMIF(Grid_BD!$B:$B,$A5,Grid_BD!$V:$V))),"")</f>
        <v/>
      </c>
      <c r="S5" s="234"/>
      <c r="T5" s="239"/>
      <c r="U5" s="240" t="str">
        <f t="shared" si="1"/>
        <v/>
      </c>
      <c r="V5" s="240" t="str">
        <f>IFERROR(_xlfn.XLOOKUP($A5,Input_Raw!$A:$A,Input_Raw!$BS:$BS),"")</f>
        <v/>
      </c>
      <c r="W5" s="241">
        <f t="shared" si="2"/>
        <v>0</v>
      </c>
      <c r="X5" s="233">
        <f>IFERROR(_xlfn.XLOOKUP($A5,Input_Raw!$A:$A,Input_Raw!$AW:$AW),"")</f>
        <v>0</v>
      </c>
      <c r="Y5" s="233">
        <f>IFERROR(_xlfn.XLOOKUP($A5,Input_Raw!$A:$A,Input_Raw!$BN:$BN),"")</f>
        <v>0</v>
      </c>
      <c r="Z5" s="233"/>
      <c r="AA5" s="233">
        <f>IFERROR(_xlfn.XLOOKUP($A5,Input_Raw!$A:$A,Input_Raw!$BO:$BO),"")</f>
        <v>0</v>
      </c>
      <c r="AB5" s="233">
        <f>IFERROR(_xlfn.XLOOKUP($A5,Input_Raw!$A:$A,Input_Raw!$BP:$BP),"")</f>
        <v>0</v>
      </c>
      <c r="AC5" s="242">
        <f>IFERROR(_xlfn.XLOOKUP($D5,'Modelling New'!$D:$D,'Modelling New'!P:P),"")</f>
        <v>3.7225806451612904</v>
      </c>
      <c r="AD5" s="233">
        <f>IFERROR(_xlfn.XLOOKUP($D5,'Modelling New'!$D:$D,'Modelling New'!T:T)*1000,"")</f>
        <v>199162.56403298778</v>
      </c>
      <c r="AE5" s="243">
        <f>IFERROR(_xlfn.XLOOKUP($D5,'Modelling New'!$D:$D,'Modelling New'!$O:$O),"")</f>
        <v>0.60935317436258363</v>
      </c>
      <c r="AF5" s="243">
        <f>IFERROR(_xlfn.XLOOKUP($D5,'Modelling New'!$D:$D,'Modelling New'!$W:$W),"")</f>
        <v>9.4515263872906125E-2</v>
      </c>
      <c r="AG5" s="243">
        <f>IFERROR(_xlfn.XLOOKUP($D5,'Modelling New'!$D:$D,'Modelling New'!$AE:$AE),"")</f>
        <v>0.995</v>
      </c>
      <c r="AH5" s="243">
        <f>IFERROR(_xlfn.XLOOKUP($D5,'Modelling New'!$D:$D,'Modelling New'!$AF:$AF),"")</f>
        <v>0.995</v>
      </c>
      <c r="AI5" s="234"/>
      <c r="AJ5" s="234"/>
      <c r="AK5" s="234"/>
      <c r="AL5" s="234"/>
      <c r="AM5" s="234"/>
      <c r="AN5" s="244"/>
      <c r="AO5" s="241"/>
      <c r="AP5" s="241"/>
      <c r="AQ5" s="241"/>
      <c r="AR5" s="233">
        <f>_xlfn.XLOOKUP($D5,'Modelling New'!$D:$D,'Modelling New'!$N:$N)</f>
        <v>87.8</v>
      </c>
      <c r="AS5" s="233">
        <f t="shared" si="3"/>
        <v>0</v>
      </c>
    </row>
    <row r="6" spans="1:45">
      <c r="A6" s="232">
        <f t="shared" si="4"/>
        <v>45843</v>
      </c>
      <c r="B6" s="233">
        <f>YEAR(Daily_KPI[[#This Row],[Date]])+IF(MONTH(Daily_KPI[[#This Row],[Date]])&gt;=4,1,0)</f>
        <v>2026</v>
      </c>
      <c r="C6" s="234">
        <f>YEAR(Daily_KPI[[#This Row],[Date]])</f>
        <v>2025</v>
      </c>
      <c r="D6" s="235">
        <f>Daily_KPI[[#This Row],[Date]]-DAY(Daily_KPI[[#This Row],[Date]])+1</f>
        <v>45839</v>
      </c>
      <c r="E6" s="234">
        <f t="shared" si="0"/>
        <v>31</v>
      </c>
      <c r="F6" s="236">
        <f>IFERROR(_xlfn.XLOOKUP($A6,Input_Raw!$A:$A,Input_Raw!$BM:$BM),"")</f>
        <v>0</v>
      </c>
      <c r="G6" s="237">
        <f>IFERROR(_xlfn.XLOOKUP($A6,Input_Raw!$A:$A,Input_Raw!$AN:$AN),"")</f>
        <v>0</v>
      </c>
      <c r="H6" s="237"/>
      <c r="I6" s="237">
        <f>IFERROR(_xlfn.XLOOKUP($A6,Input_Raw!$A:$A,Input_Raw!$AM:$AM),"")</f>
        <v>0</v>
      </c>
      <c r="J6" s="237"/>
      <c r="K6" s="237">
        <f>IFERROR(_xlfn.XLOOKUP($A6,Input_Raw!$A:$A,Input_Raw!AO:AO),"")</f>
        <v>0</v>
      </c>
      <c r="L6" s="237">
        <f>IFERROR(_xlfn.XLOOKUP($A6,Input_Raw!$A:$A,Input_Raw!AP:AP),"")</f>
        <v>0</v>
      </c>
      <c r="M6" s="237">
        <f>IFERROR(_xlfn.XLOOKUP($A6,Input_Raw!$A:$A,Input_Raw!AS:AS),"")</f>
        <v>0</v>
      </c>
      <c r="N6" s="237">
        <f>IFERROR(_xlfn.XLOOKUP($A6,Input_Raw!$A:$A,Input_Raw!AT:AT),"")</f>
        <v>0</v>
      </c>
      <c r="O6" s="238" t="str">
        <f>IFERROR(1-(SUMIF(Plant_BD!$B:$B,$A6,Plant_BD!$AL:$AL)/($AA6+SUMIF(Plant_BD!$B:$B,$A6,Plant_BD!$AL:$AL))),"")</f>
        <v/>
      </c>
      <c r="P6" s="238"/>
      <c r="Q6" s="239"/>
      <c r="R6" s="238" t="str">
        <f>IFERROR(1-(SUMIF(Grid_BD!$B:$B,$A6,Grid_BD!$V:$V)/($AA6+SUMIF(Grid_BD!$B:$B,$A6,Grid_BD!$V:$V))),"")</f>
        <v/>
      </c>
      <c r="S6" s="234"/>
      <c r="T6" s="239"/>
      <c r="U6" s="240" t="str">
        <f t="shared" si="1"/>
        <v/>
      </c>
      <c r="V6" s="240" t="str">
        <f>IFERROR(_xlfn.XLOOKUP($A6,Input_Raw!$A:$A,Input_Raw!$BS:$BS),"")</f>
        <v/>
      </c>
      <c r="W6" s="241">
        <f t="shared" si="2"/>
        <v>0</v>
      </c>
      <c r="X6" s="233">
        <f>IFERROR(_xlfn.XLOOKUP($A6,Input_Raw!$A:$A,Input_Raw!$AW:$AW),"")</f>
        <v>0</v>
      </c>
      <c r="Y6" s="233">
        <f>IFERROR(_xlfn.XLOOKUP($A6,Input_Raw!$A:$A,Input_Raw!$BN:$BN),"")</f>
        <v>0</v>
      </c>
      <c r="Z6" s="233"/>
      <c r="AA6" s="233">
        <f>IFERROR(_xlfn.XLOOKUP($A6,Input_Raw!$A:$A,Input_Raw!$BO:$BO),"")</f>
        <v>0</v>
      </c>
      <c r="AB6" s="233">
        <f>IFERROR(_xlfn.XLOOKUP($A6,Input_Raw!$A:$A,Input_Raw!$BP:$BP),"")</f>
        <v>0</v>
      </c>
      <c r="AC6" s="242">
        <f>IFERROR(_xlfn.XLOOKUP($D6,'Modelling New'!$D:$D,'Modelling New'!P:P),"")</f>
        <v>3.7225806451612904</v>
      </c>
      <c r="AD6" s="233">
        <f>IFERROR(_xlfn.XLOOKUP($D6,'Modelling New'!$D:$D,'Modelling New'!T:T)*1000,"")</f>
        <v>199162.56403298778</v>
      </c>
      <c r="AE6" s="243">
        <f>IFERROR(_xlfn.XLOOKUP($D6,'Modelling New'!$D:$D,'Modelling New'!$O:$O),"")</f>
        <v>0.60935317436258363</v>
      </c>
      <c r="AF6" s="243">
        <f>IFERROR(_xlfn.XLOOKUP($D6,'Modelling New'!$D:$D,'Modelling New'!$W:$W),"")</f>
        <v>9.4515263872906125E-2</v>
      </c>
      <c r="AG6" s="243">
        <f>IFERROR(_xlfn.XLOOKUP($D6,'Modelling New'!$D:$D,'Modelling New'!$AE:$AE),"")</f>
        <v>0.995</v>
      </c>
      <c r="AH6" s="243">
        <f>IFERROR(_xlfn.XLOOKUP($D6,'Modelling New'!$D:$D,'Modelling New'!$AF:$AF),"")</f>
        <v>0.995</v>
      </c>
      <c r="AI6" s="234"/>
      <c r="AJ6" s="234"/>
      <c r="AK6" s="234"/>
      <c r="AL6" s="234"/>
      <c r="AM6" s="234"/>
      <c r="AN6" s="244"/>
      <c r="AO6" s="241"/>
      <c r="AP6" s="241"/>
      <c r="AQ6" s="241"/>
      <c r="AR6" s="233">
        <f>_xlfn.XLOOKUP($D6,'Modelling New'!$D:$D,'Modelling New'!$N:$N)</f>
        <v>87.8</v>
      </c>
      <c r="AS6" s="233">
        <f t="shared" si="3"/>
        <v>0</v>
      </c>
    </row>
    <row r="7" spans="1:45">
      <c r="A7" s="232">
        <f t="shared" si="4"/>
        <v>45844</v>
      </c>
      <c r="B7" s="233">
        <f>YEAR(Daily_KPI[[#This Row],[Date]])+IF(MONTH(Daily_KPI[[#This Row],[Date]])&gt;=4,1,0)</f>
        <v>2026</v>
      </c>
      <c r="C7" s="234">
        <f>YEAR(Daily_KPI[[#This Row],[Date]])</f>
        <v>2025</v>
      </c>
      <c r="D7" s="235">
        <f>Daily_KPI[[#This Row],[Date]]-DAY(Daily_KPI[[#This Row],[Date]])+1</f>
        <v>45839</v>
      </c>
      <c r="E7" s="234">
        <f t="shared" si="0"/>
        <v>31</v>
      </c>
      <c r="F7" s="236">
        <f>IFERROR(_xlfn.XLOOKUP($A7,Input_Raw!$A:$A,Input_Raw!$BM:$BM),"")</f>
        <v>0</v>
      </c>
      <c r="G7" s="237">
        <f>IFERROR(_xlfn.XLOOKUP($A7,Input_Raw!$A:$A,Input_Raw!$AN:$AN),"")</f>
        <v>0</v>
      </c>
      <c r="H7" s="237"/>
      <c r="I7" s="237">
        <f>IFERROR(_xlfn.XLOOKUP($A7,Input_Raw!$A:$A,Input_Raw!$AM:$AM),"")</f>
        <v>0</v>
      </c>
      <c r="J7" s="237"/>
      <c r="K7" s="237">
        <f>IFERROR(_xlfn.XLOOKUP($A7,Input_Raw!$A:$A,Input_Raw!AO:AO),"")</f>
        <v>0</v>
      </c>
      <c r="L7" s="237">
        <f>IFERROR(_xlfn.XLOOKUP($A7,Input_Raw!$A:$A,Input_Raw!AP:AP),"")</f>
        <v>0</v>
      </c>
      <c r="M7" s="237">
        <f>IFERROR(_xlfn.XLOOKUP($A7,Input_Raw!$A:$A,Input_Raw!AS:AS),"")</f>
        <v>0</v>
      </c>
      <c r="N7" s="237">
        <f>IFERROR(_xlfn.XLOOKUP($A7,Input_Raw!$A:$A,Input_Raw!AT:AT),"")</f>
        <v>0</v>
      </c>
      <c r="O7" s="238" t="str">
        <f>IFERROR(1-(SUMIF(Plant_BD!$B:$B,$A7,Plant_BD!$AL:$AL)/($AA7+SUMIF(Plant_BD!$B:$B,$A7,Plant_BD!$AL:$AL))),"")</f>
        <v/>
      </c>
      <c r="P7" s="238"/>
      <c r="Q7" s="239"/>
      <c r="R7" s="238" t="str">
        <f>IFERROR(1-(SUMIF(Grid_BD!$B:$B,$A7,Grid_BD!$V:$V)/($AA7+SUMIF(Grid_BD!$B:$B,$A7,Grid_BD!$V:$V))),"")</f>
        <v/>
      </c>
      <c r="S7" s="234"/>
      <c r="T7" s="239"/>
      <c r="U7" s="240" t="str">
        <f t="shared" si="1"/>
        <v/>
      </c>
      <c r="V7" s="240" t="str">
        <f>IFERROR(_xlfn.XLOOKUP($A7,Input_Raw!$A:$A,Input_Raw!$BS:$BS),"")</f>
        <v/>
      </c>
      <c r="W7" s="241">
        <f t="shared" si="2"/>
        <v>0</v>
      </c>
      <c r="X7" s="233">
        <f>IFERROR(_xlfn.XLOOKUP($A7,Input_Raw!$A:$A,Input_Raw!$AW:$AW),"")</f>
        <v>0</v>
      </c>
      <c r="Y7" s="233">
        <f>IFERROR(_xlfn.XLOOKUP($A7,Input_Raw!$A:$A,Input_Raw!$BN:$BN),"")</f>
        <v>0</v>
      </c>
      <c r="Z7" s="233"/>
      <c r="AA7" s="233">
        <f>IFERROR(_xlfn.XLOOKUP($A7,Input_Raw!$A:$A,Input_Raw!$BO:$BO),"")</f>
        <v>0</v>
      </c>
      <c r="AB7" s="233">
        <f>IFERROR(_xlfn.XLOOKUP($A7,Input_Raw!$A:$A,Input_Raw!$BP:$BP),"")</f>
        <v>0</v>
      </c>
      <c r="AC7" s="242">
        <f>IFERROR(_xlfn.XLOOKUP($D7,'Modelling New'!$D:$D,'Modelling New'!P:P),"")</f>
        <v>3.7225806451612904</v>
      </c>
      <c r="AD7" s="233">
        <f>IFERROR(_xlfn.XLOOKUP($D7,'Modelling New'!$D:$D,'Modelling New'!T:T)*1000,"")</f>
        <v>199162.56403298778</v>
      </c>
      <c r="AE7" s="243">
        <f>IFERROR(_xlfn.XLOOKUP($D7,'Modelling New'!$D:$D,'Modelling New'!$O:$O),"")</f>
        <v>0.60935317436258363</v>
      </c>
      <c r="AF7" s="243">
        <f>IFERROR(_xlfn.XLOOKUP($D7,'Modelling New'!$D:$D,'Modelling New'!$W:$W),"")</f>
        <v>9.4515263872906125E-2</v>
      </c>
      <c r="AG7" s="243">
        <f>IFERROR(_xlfn.XLOOKUP($D7,'Modelling New'!$D:$D,'Modelling New'!$AE:$AE),"")</f>
        <v>0.995</v>
      </c>
      <c r="AH7" s="243">
        <f>IFERROR(_xlfn.XLOOKUP($D7,'Modelling New'!$D:$D,'Modelling New'!$AF:$AF),"")</f>
        <v>0.995</v>
      </c>
      <c r="AI7" s="234"/>
      <c r="AJ7" s="234"/>
      <c r="AK7" s="234"/>
      <c r="AL7" s="234"/>
      <c r="AM7" s="234"/>
      <c r="AN7" s="244"/>
      <c r="AO7" s="241"/>
      <c r="AP7" s="241"/>
      <c r="AQ7" s="241"/>
      <c r="AR7" s="233">
        <f>_xlfn.XLOOKUP($D7,'Modelling New'!$D:$D,'Modelling New'!$N:$N)</f>
        <v>87.8</v>
      </c>
      <c r="AS7" s="233">
        <f t="shared" si="3"/>
        <v>0</v>
      </c>
    </row>
    <row r="8" spans="1:45">
      <c r="A8" s="232">
        <f t="shared" si="4"/>
        <v>45845</v>
      </c>
      <c r="B8" s="233">
        <f>YEAR(Daily_KPI[[#This Row],[Date]])+IF(MONTH(Daily_KPI[[#This Row],[Date]])&gt;=4,1,0)</f>
        <v>2026</v>
      </c>
      <c r="C8" s="234">
        <f>YEAR(Daily_KPI[[#This Row],[Date]])</f>
        <v>2025</v>
      </c>
      <c r="D8" s="235">
        <f>Daily_KPI[[#This Row],[Date]]-DAY(Daily_KPI[[#This Row],[Date]])+1</f>
        <v>45839</v>
      </c>
      <c r="E8" s="234">
        <f t="shared" si="0"/>
        <v>31</v>
      </c>
      <c r="F8" s="236">
        <f>IFERROR(_xlfn.XLOOKUP($A8,Input_Raw!$A:$A,Input_Raw!$BM:$BM),"")</f>
        <v>0</v>
      </c>
      <c r="G8" s="237">
        <f>IFERROR(_xlfn.XLOOKUP($A8,Input_Raw!$A:$A,Input_Raw!$AN:$AN),"")</f>
        <v>0</v>
      </c>
      <c r="H8" s="237"/>
      <c r="I8" s="237">
        <f>IFERROR(_xlfn.XLOOKUP($A8,Input_Raw!$A:$A,Input_Raw!$AM:$AM),"")</f>
        <v>0</v>
      </c>
      <c r="J8" s="237"/>
      <c r="K8" s="237">
        <f>IFERROR(_xlfn.XLOOKUP($A8,Input_Raw!$A:$A,Input_Raw!AO:AO),"")</f>
        <v>0</v>
      </c>
      <c r="L8" s="237">
        <f>IFERROR(_xlfn.XLOOKUP($A8,Input_Raw!$A:$A,Input_Raw!AP:AP),"")</f>
        <v>0</v>
      </c>
      <c r="M8" s="237">
        <f>IFERROR(_xlfn.XLOOKUP($A8,Input_Raw!$A:$A,Input_Raw!AS:AS),"")</f>
        <v>0</v>
      </c>
      <c r="N8" s="237">
        <f>IFERROR(_xlfn.XLOOKUP($A8,Input_Raw!$A:$A,Input_Raw!AT:AT),"")</f>
        <v>0</v>
      </c>
      <c r="O8" s="238" t="str">
        <f>IFERROR(1-(SUMIF(Plant_BD!$B:$B,$A8,Plant_BD!$AL:$AL)/($AA8+SUMIF(Plant_BD!$B:$B,$A8,Plant_BD!$AL:$AL))),"")</f>
        <v/>
      </c>
      <c r="P8" s="238"/>
      <c r="Q8" s="239"/>
      <c r="R8" s="238" t="str">
        <f>IFERROR(1-(SUMIF(Grid_BD!$B:$B,$A8,Grid_BD!$V:$V)/($AA8+SUMIF(Grid_BD!$B:$B,$A8,Grid_BD!$V:$V))),"")</f>
        <v/>
      </c>
      <c r="S8" s="234"/>
      <c r="T8" s="239"/>
      <c r="U8" s="240" t="str">
        <f t="shared" si="1"/>
        <v/>
      </c>
      <c r="V8" s="240" t="str">
        <f>IFERROR(_xlfn.XLOOKUP($A8,Input_Raw!$A:$A,Input_Raw!$BS:$BS),"")</f>
        <v/>
      </c>
      <c r="W8" s="241">
        <f t="shared" si="2"/>
        <v>0</v>
      </c>
      <c r="X8" s="233">
        <f>IFERROR(_xlfn.XLOOKUP($A8,Input_Raw!$A:$A,Input_Raw!$AW:$AW),"")</f>
        <v>0</v>
      </c>
      <c r="Y8" s="233">
        <f>IFERROR(_xlfn.XLOOKUP($A8,Input_Raw!$A:$A,Input_Raw!$BN:$BN),"")</f>
        <v>0</v>
      </c>
      <c r="Z8" s="233"/>
      <c r="AA8" s="233">
        <f>IFERROR(_xlfn.XLOOKUP($A8,Input_Raw!$A:$A,Input_Raw!$BO:$BO),"")</f>
        <v>0</v>
      </c>
      <c r="AB8" s="233">
        <f>IFERROR(_xlfn.XLOOKUP($A8,Input_Raw!$A:$A,Input_Raw!$BP:$BP),"")</f>
        <v>0</v>
      </c>
      <c r="AC8" s="242">
        <f>IFERROR(_xlfn.XLOOKUP($D8,'Modelling New'!$D:$D,'Modelling New'!P:P),"")</f>
        <v>3.7225806451612904</v>
      </c>
      <c r="AD8" s="233">
        <f>IFERROR(_xlfn.XLOOKUP($D8,'Modelling New'!$D:$D,'Modelling New'!T:T)*1000,"")</f>
        <v>199162.56403298778</v>
      </c>
      <c r="AE8" s="243">
        <f>IFERROR(_xlfn.XLOOKUP($D8,'Modelling New'!$D:$D,'Modelling New'!$O:$O),"")</f>
        <v>0.60935317436258363</v>
      </c>
      <c r="AF8" s="243">
        <f>IFERROR(_xlfn.XLOOKUP($D8,'Modelling New'!$D:$D,'Modelling New'!$W:$W),"")</f>
        <v>9.4515263872906125E-2</v>
      </c>
      <c r="AG8" s="243">
        <f>IFERROR(_xlfn.XLOOKUP($D8,'Modelling New'!$D:$D,'Modelling New'!$AE:$AE),"")</f>
        <v>0.995</v>
      </c>
      <c r="AH8" s="243">
        <f>IFERROR(_xlfn.XLOOKUP($D8,'Modelling New'!$D:$D,'Modelling New'!$AF:$AF),"")</f>
        <v>0.995</v>
      </c>
      <c r="AI8" s="234"/>
      <c r="AJ8" s="234"/>
      <c r="AK8" s="234"/>
      <c r="AL8" s="234"/>
      <c r="AM8" s="234"/>
      <c r="AN8" s="244"/>
      <c r="AO8" s="241"/>
      <c r="AP8" s="241"/>
      <c r="AQ8" s="241"/>
      <c r="AR8" s="233">
        <f>_xlfn.XLOOKUP($D8,'Modelling New'!$D:$D,'Modelling New'!$N:$N)</f>
        <v>87.8</v>
      </c>
      <c r="AS8" s="233">
        <f t="shared" si="3"/>
        <v>0</v>
      </c>
    </row>
    <row r="9" spans="1:45">
      <c r="A9" s="232">
        <f t="shared" si="4"/>
        <v>45846</v>
      </c>
      <c r="B9" s="233">
        <f>YEAR(Daily_KPI[[#This Row],[Date]])+IF(MONTH(Daily_KPI[[#This Row],[Date]])&gt;=4,1,0)</f>
        <v>2026</v>
      </c>
      <c r="C9" s="234">
        <f>YEAR(Daily_KPI[[#This Row],[Date]])</f>
        <v>2025</v>
      </c>
      <c r="D9" s="235">
        <f>Daily_KPI[[#This Row],[Date]]-DAY(Daily_KPI[[#This Row],[Date]])+1</f>
        <v>45839</v>
      </c>
      <c r="E9" s="234">
        <f t="shared" si="0"/>
        <v>31</v>
      </c>
      <c r="F9" s="236">
        <f>IFERROR(_xlfn.XLOOKUP($A9,Input_Raw!$A:$A,Input_Raw!$BM:$BM),"")</f>
        <v>0</v>
      </c>
      <c r="G9" s="237">
        <f>IFERROR(_xlfn.XLOOKUP($A9,Input_Raw!$A:$A,Input_Raw!$AN:$AN),"")</f>
        <v>0</v>
      </c>
      <c r="H9" s="237"/>
      <c r="I9" s="237">
        <f>IFERROR(_xlfn.XLOOKUP($A9,Input_Raw!$A:$A,Input_Raw!$AM:$AM),"")</f>
        <v>0</v>
      </c>
      <c r="J9" s="237"/>
      <c r="K9" s="237">
        <f>IFERROR(_xlfn.XLOOKUP($A9,Input_Raw!$A:$A,Input_Raw!AO:AO),"")</f>
        <v>0</v>
      </c>
      <c r="L9" s="237">
        <f>IFERROR(_xlfn.XLOOKUP($A9,Input_Raw!$A:$A,Input_Raw!AP:AP),"")</f>
        <v>0</v>
      </c>
      <c r="M9" s="237">
        <f>IFERROR(_xlfn.XLOOKUP($A9,Input_Raw!$A:$A,Input_Raw!AS:AS),"")</f>
        <v>0</v>
      </c>
      <c r="N9" s="237">
        <f>IFERROR(_xlfn.XLOOKUP($A9,Input_Raw!$A:$A,Input_Raw!AT:AT),"")</f>
        <v>0</v>
      </c>
      <c r="O9" s="238" t="str">
        <f>IFERROR(1-(SUMIF(Plant_BD!$B:$B,$A9,Plant_BD!$AL:$AL)/($AA9+SUMIF(Plant_BD!$B:$B,$A9,Plant_BD!$AL:$AL))),"")</f>
        <v/>
      </c>
      <c r="P9" s="238"/>
      <c r="Q9" s="239"/>
      <c r="R9" s="238" t="str">
        <f>IFERROR(1-(SUMIF(Grid_BD!$B:$B,$A9,Grid_BD!$V:$V)/($AA9+SUMIF(Grid_BD!$B:$B,$A9,Grid_BD!$V:$V))),"")</f>
        <v/>
      </c>
      <c r="S9" s="234"/>
      <c r="T9" s="239"/>
      <c r="U9" s="240" t="str">
        <f t="shared" si="1"/>
        <v/>
      </c>
      <c r="V9" s="240" t="str">
        <f>IFERROR(_xlfn.XLOOKUP($A9,Input_Raw!$A:$A,Input_Raw!$BS:$BS),"")</f>
        <v/>
      </c>
      <c r="W9" s="241">
        <f t="shared" si="2"/>
        <v>0</v>
      </c>
      <c r="X9" s="233">
        <f>IFERROR(_xlfn.XLOOKUP($A9,Input_Raw!$A:$A,Input_Raw!$AW:$AW),"")</f>
        <v>0</v>
      </c>
      <c r="Y9" s="233">
        <f>IFERROR(_xlfn.XLOOKUP($A9,Input_Raw!$A:$A,Input_Raw!$BN:$BN),"")</f>
        <v>0</v>
      </c>
      <c r="Z9" s="233"/>
      <c r="AA9" s="233">
        <f>IFERROR(_xlfn.XLOOKUP($A9,Input_Raw!$A:$A,Input_Raw!$BO:$BO),"")</f>
        <v>0</v>
      </c>
      <c r="AB9" s="233">
        <f>IFERROR(_xlfn.XLOOKUP($A9,Input_Raw!$A:$A,Input_Raw!$BP:$BP),"")</f>
        <v>0</v>
      </c>
      <c r="AC9" s="242">
        <f>IFERROR(_xlfn.XLOOKUP($D9,'Modelling New'!$D:$D,'Modelling New'!P:P),"")</f>
        <v>3.7225806451612904</v>
      </c>
      <c r="AD9" s="233">
        <f>IFERROR(_xlfn.XLOOKUP($D9,'Modelling New'!$D:$D,'Modelling New'!T:T)*1000,"")</f>
        <v>199162.56403298778</v>
      </c>
      <c r="AE9" s="243">
        <f>IFERROR(_xlfn.XLOOKUP($D9,'Modelling New'!$D:$D,'Modelling New'!$O:$O),"")</f>
        <v>0.60935317436258363</v>
      </c>
      <c r="AF9" s="243">
        <f>IFERROR(_xlfn.XLOOKUP($D9,'Modelling New'!$D:$D,'Modelling New'!$W:$W),"")</f>
        <v>9.4515263872906125E-2</v>
      </c>
      <c r="AG9" s="243">
        <f>IFERROR(_xlfn.XLOOKUP($D9,'Modelling New'!$D:$D,'Modelling New'!$AE:$AE),"")</f>
        <v>0.995</v>
      </c>
      <c r="AH9" s="243">
        <f>IFERROR(_xlfn.XLOOKUP($D9,'Modelling New'!$D:$D,'Modelling New'!$AF:$AF),"")</f>
        <v>0.995</v>
      </c>
      <c r="AI9" s="234"/>
      <c r="AJ9" s="234"/>
      <c r="AK9" s="234"/>
      <c r="AL9" s="234"/>
      <c r="AM9" s="234"/>
      <c r="AN9" s="244"/>
      <c r="AO9" s="241"/>
      <c r="AP9" s="241"/>
      <c r="AQ9" s="241"/>
      <c r="AR9" s="233">
        <f>_xlfn.XLOOKUP($D9,'Modelling New'!$D:$D,'Modelling New'!$N:$N)</f>
        <v>87.8</v>
      </c>
      <c r="AS9" s="233">
        <f t="shared" si="3"/>
        <v>0</v>
      </c>
    </row>
    <row r="10" spans="1:45">
      <c r="A10" s="232">
        <f t="shared" si="4"/>
        <v>45847</v>
      </c>
      <c r="B10" s="233">
        <f>YEAR(Daily_KPI[[#This Row],[Date]])+IF(MONTH(Daily_KPI[[#This Row],[Date]])&gt;=4,1,0)</f>
        <v>2026</v>
      </c>
      <c r="C10" s="234">
        <f>YEAR(Daily_KPI[[#This Row],[Date]])</f>
        <v>2025</v>
      </c>
      <c r="D10" s="235">
        <f>Daily_KPI[[#This Row],[Date]]-DAY(Daily_KPI[[#This Row],[Date]])+1</f>
        <v>45839</v>
      </c>
      <c r="E10" s="234">
        <f t="shared" ref="E10:E73" si="5">DAY(EOMONTH(A10,0))</f>
        <v>31</v>
      </c>
      <c r="F10" s="236">
        <f>IFERROR(_xlfn.XLOOKUP($A10,Input_Raw!$A:$A,Input_Raw!$BM:$BM),"")</f>
        <v>0</v>
      </c>
      <c r="G10" s="237">
        <f>IFERROR(_xlfn.XLOOKUP($A10,Input_Raw!$A:$A,Input_Raw!$AN:$AN),"")</f>
        <v>0</v>
      </c>
      <c r="H10" s="237"/>
      <c r="I10" s="237">
        <f>IFERROR(_xlfn.XLOOKUP($A10,Input_Raw!$A:$A,Input_Raw!$AM:$AM),"")</f>
        <v>0</v>
      </c>
      <c r="J10" s="237"/>
      <c r="K10" s="237">
        <f>IFERROR(_xlfn.XLOOKUP($A10,Input_Raw!$A:$A,Input_Raw!AO:AO),"")</f>
        <v>0</v>
      </c>
      <c r="L10" s="237">
        <f>IFERROR(_xlfn.XLOOKUP($A10,Input_Raw!$A:$A,Input_Raw!AP:AP),"")</f>
        <v>0</v>
      </c>
      <c r="M10" s="237">
        <f>IFERROR(_xlfn.XLOOKUP($A10,Input_Raw!$A:$A,Input_Raw!AS:AS),"")</f>
        <v>0</v>
      </c>
      <c r="N10" s="237">
        <f>IFERROR(_xlfn.XLOOKUP($A10,Input_Raw!$A:$A,Input_Raw!AT:AT),"")</f>
        <v>0</v>
      </c>
      <c r="O10" s="238" t="str">
        <f>IFERROR(1-(SUMIF(Plant_BD!$B:$B,$A10,Plant_BD!$AL:$AL)/($AA10+SUMIF(Plant_BD!$B:$B,$A10,Plant_BD!$AL:$AL))),"")</f>
        <v/>
      </c>
      <c r="P10" s="238"/>
      <c r="Q10" s="239"/>
      <c r="R10" s="238" t="str">
        <f>IFERROR(1-(SUMIF(Grid_BD!$B:$B,$A10,Grid_BD!$V:$V)/($AA10+SUMIF(Grid_BD!$B:$B,$A10,Grid_BD!$V:$V))),"")</f>
        <v/>
      </c>
      <c r="S10" s="234"/>
      <c r="T10" s="239"/>
      <c r="U10" s="240" t="str">
        <f t="shared" ref="U10:U73" si="6">IFERROR(AA10/I10/AB10/1000,"")</f>
        <v/>
      </c>
      <c r="V10" s="240" t="str">
        <f>IFERROR(_xlfn.XLOOKUP($A10,Input_Raw!$A:$A,Input_Raw!$BS:$BS),"")</f>
        <v/>
      </c>
      <c r="W10" s="241">
        <f t="shared" ref="W10:W73" si="7">IFERROR(AA10/(24*AR10*1000),"")</f>
        <v>0</v>
      </c>
      <c r="X10" s="233">
        <f>IFERROR(_xlfn.XLOOKUP($A10,Input_Raw!$A:$A,Input_Raw!$AW:$AW),"")</f>
        <v>0</v>
      </c>
      <c r="Y10" s="233">
        <f>IFERROR(_xlfn.XLOOKUP($A10,Input_Raw!$A:$A,Input_Raw!$BN:$BN),"")</f>
        <v>0</v>
      </c>
      <c r="Z10" s="233"/>
      <c r="AA10" s="233">
        <f>IFERROR(_xlfn.XLOOKUP($A10,Input_Raw!$A:$A,Input_Raw!$BO:$BO),"")</f>
        <v>0</v>
      </c>
      <c r="AB10" s="233">
        <f>IFERROR(_xlfn.XLOOKUP($A10,Input_Raw!$A:$A,Input_Raw!$BP:$BP),"")</f>
        <v>0</v>
      </c>
      <c r="AC10" s="242">
        <f>IFERROR(_xlfn.XLOOKUP($D10,'Modelling New'!$D:$D,'Modelling New'!P:P),"")</f>
        <v>3.7225806451612904</v>
      </c>
      <c r="AD10" s="233">
        <f>IFERROR(_xlfn.XLOOKUP($D10,'Modelling New'!$D:$D,'Modelling New'!T:T)*1000,"")</f>
        <v>199162.56403298778</v>
      </c>
      <c r="AE10" s="243">
        <f>IFERROR(_xlfn.XLOOKUP($D10,'Modelling New'!$D:$D,'Modelling New'!$O:$O),"")</f>
        <v>0.60935317436258363</v>
      </c>
      <c r="AF10" s="243">
        <f>IFERROR(_xlfn.XLOOKUP($D10,'Modelling New'!$D:$D,'Modelling New'!$W:$W),"")</f>
        <v>9.4515263872906125E-2</v>
      </c>
      <c r="AG10" s="243">
        <f>IFERROR(_xlfn.XLOOKUP($D10,'Modelling New'!$D:$D,'Modelling New'!$AE:$AE),"")</f>
        <v>0.995</v>
      </c>
      <c r="AH10" s="243">
        <f>IFERROR(_xlfn.XLOOKUP($D10,'Modelling New'!$D:$D,'Modelling New'!$AF:$AF),"")</f>
        <v>0.995</v>
      </c>
      <c r="AI10" s="234"/>
      <c r="AJ10" s="234"/>
      <c r="AK10" s="234"/>
      <c r="AL10" s="234"/>
      <c r="AM10" s="234"/>
      <c r="AN10" s="244"/>
      <c r="AO10" s="241"/>
      <c r="AP10" s="241"/>
      <c r="AQ10" s="241"/>
      <c r="AR10" s="233">
        <f>_xlfn.XLOOKUP($D10,'Modelling New'!$D:$D,'Modelling New'!$N:$N)</f>
        <v>87.8</v>
      </c>
      <c r="AS10" s="233">
        <f t="shared" ref="AS10:AS73" si="8">IFERROR((AD10/AR10)*AB10,"")</f>
        <v>0</v>
      </c>
    </row>
    <row r="11" spans="1:45">
      <c r="A11" s="232">
        <f t="shared" si="4"/>
        <v>45848</v>
      </c>
      <c r="B11" s="233">
        <f>YEAR(Daily_KPI[[#This Row],[Date]])+IF(MONTH(Daily_KPI[[#This Row],[Date]])&gt;=4,1,0)</f>
        <v>2026</v>
      </c>
      <c r="C11" s="234">
        <f>YEAR(Daily_KPI[[#This Row],[Date]])</f>
        <v>2025</v>
      </c>
      <c r="D11" s="235">
        <f>Daily_KPI[[#This Row],[Date]]-DAY(Daily_KPI[[#This Row],[Date]])+1</f>
        <v>45839</v>
      </c>
      <c r="E11" s="234">
        <f t="shared" si="5"/>
        <v>31</v>
      </c>
      <c r="F11" s="236">
        <f>IFERROR(_xlfn.XLOOKUP($A11,Input_Raw!$A:$A,Input_Raw!$BM:$BM),"")</f>
        <v>0</v>
      </c>
      <c r="G11" s="237">
        <f>IFERROR(_xlfn.XLOOKUP($A11,Input_Raw!$A:$A,Input_Raw!$AN:$AN),"")</f>
        <v>0</v>
      </c>
      <c r="H11" s="237"/>
      <c r="I11" s="237">
        <f>IFERROR(_xlfn.XLOOKUP($A11,Input_Raw!$A:$A,Input_Raw!$AM:$AM),"")</f>
        <v>0</v>
      </c>
      <c r="J11" s="237"/>
      <c r="K11" s="237">
        <f>IFERROR(_xlfn.XLOOKUP($A11,Input_Raw!$A:$A,Input_Raw!AO:AO),"")</f>
        <v>0</v>
      </c>
      <c r="L11" s="237">
        <f>IFERROR(_xlfn.XLOOKUP($A11,Input_Raw!$A:$A,Input_Raw!AP:AP),"")</f>
        <v>0</v>
      </c>
      <c r="M11" s="237">
        <f>IFERROR(_xlfn.XLOOKUP($A11,Input_Raw!$A:$A,Input_Raw!AS:AS),"")</f>
        <v>0</v>
      </c>
      <c r="N11" s="237">
        <f>IFERROR(_xlfn.XLOOKUP($A11,Input_Raw!$A:$A,Input_Raw!AT:AT),"")</f>
        <v>0</v>
      </c>
      <c r="O11" s="238" t="str">
        <f>IFERROR(1-(SUMIF(Plant_BD!$B:$B,$A11,Plant_BD!$AL:$AL)/($AA11+SUMIF(Plant_BD!$B:$B,$A11,Plant_BD!$AL:$AL))),"")</f>
        <v/>
      </c>
      <c r="P11" s="238"/>
      <c r="Q11" s="239"/>
      <c r="R11" s="238" t="str">
        <f>IFERROR(1-(SUMIF(Grid_BD!$B:$B,$A11,Grid_BD!$V:$V)/($AA11+SUMIF(Grid_BD!$B:$B,$A11,Grid_BD!$V:$V))),"")</f>
        <v/>
      </c>
      <c r="S11" s="234"/>
      <c r="T11" s="239"/>
      <c r="U11" s="240" t="str">
        <f t="shared" si="6"/>
        <v/>
      </c>
      <c r="V11" s="240" t="str">
        <f>IFERROR(_xlfn.XLOOKUP($A11,Input_Raw!$A:$A,Input_Raw!$BS:$BS),"")</f>
        <v/>
      </c>
      <c r="W11" s="241">
        <f t="shared" si="7"/>
        <v>0</v>
      </c>
      <c r="X11" s="233">
        <f>IFERROR(_xlfn.XLOOKUP($A11,Input_Raw!$A:$A,Input_Raw!$AW:$AW),"")</f>
        <v>0</v>
      </c>
      <c r="Y11" s="233">
        <f>IFERROR(_xlfn.XLOOKUP($A11,Input_Raw!$A:$A,Input_Raw!$BN:$BN),"")</f>
        <v>0</v>
      </c>
      <c r="Z11" s="233"/>
      <c r="AA11" s="233">
        <f>IFERROR(_xlfn.XLOOKUP($A11,Input_Raw!$A:$A,Input_Raw!$BO:$BO),"")</f>
        <v>0</v>
      </c>
      <c r="AB11" s="233">
        <f>IFERROR(_xlfn.XLOOKUP($A11,Input_Raw!$A:$A,Input_Raw!$BP:$BP),"")</f>
        <v>0</v>
      </c>
      <c r="AC11" s="242">
        <f>IFERROR(_xlfn.XLOOKUP($D11,'Modelling New'!$D:$D,'Modelling New'!P:P),"")</f>
        <v>3.7225806451612904</v>
      </c>
      <c r="AD11" s="233">
        <f>IFERROR(_xlfn.XLOOKUP($D11,'Modelling New'!$D:$D,'Modelling New'!T:T)*1000,"")</f>
        <v>199162.56403298778</v>
      </c>
      <c r="AE11" s="243">
        <f>IFERROR(_xlfn.XLOOKUP($D11,'Modelling New'!$D:$D,'Modelling New'!$O:$O),"")</f>
        <v>0.60935317436258363</v>
      </c>
      <c r="AF11" s="243">
        <f>IFERROR(_xlfn.XLOOKUP($D11,'Modelling New'!$D:$D,'Modelling New'!$W:$W),"")</f>
        <v>9.4515263872906125E-2</v>
      </c>
      <c r="AG11" s="243">
        <f>IFERROR(_xlfn.XLOOKUP($D11,'Modelling New'!$D:$D,'Modelling New'!$AE:$AE),"")</f>
        <v>0.995</v>
      </c>
      <c r="AH11" s="243">
        <f>IFERROR(_xlfn.XLOOKUP($D11,'Modelling New'!$D:$D,'Modelling New'!$AF:$AF),"")</f>
        <v>0.995</v>
      </c>
      <c r="AI11" s="234"/>
      <c r="AJ11" s="234"/>
      <c r="AK11" s="234"/>
      <c r="AL11" s="234"/>
      <c r="AM11" s="234"/>
      <c r="AN11" s="244"/>
      <c r="AO11" s="241"/>
      <c r="AP11" s="241"/>
      <c r="AQ11" s="241"/>
      <c r="AR11" s="233">
        <f>_xlfn.XLOOKUP($D11,'Modelling New'!$D:$D,'Modelling New'!$N:$N)</f>
        <v>87.8</v>
      </c>
      <c r="AS11" s="233">
        <f t="shared" si="8"/>
        <v>0</v>
      </c>
    </row>
    <row r="12" spans="1:45">
      <c r="A12" s="232">
        <f t="shared" ref="A12:A75" si="9">A11+1</f>
        <v>45849</v>
      </c>
      <c r="B12" s="233">
        <f>YEAR(Daily_KPI[[#This Row],[Date]])+IF(MONTH(Daily_KPI[[#This Row],[Date]])&gt;=4,1,0)</f>
        <v>2026</v>
      </c>
      <c r="C12" s="234">
        <f>YEAR(Daily_KPI[[#This Row],[Date]])</f>
        <v>2025</v>
      </c>
      <c r="D12" s="235">
        <f>Daily_KPI[[#This Row],[Date]]-DAY(Daily_KPI[[#This Row],[Date]])+1</f>
        <v>45839</v>
      </c>
      <c r="E12" s="234">
        <f t="shared" si="5"/>
        <v>31</v>
      </c>
      <c r="F12" s="236">
        <f>IFERROR(_xlfn.XLOOKUP($A12,Input_Raw!$A:$A,Input_Raw!$BM:$BM),"")</f>
        <v>0</v>
      </c>
      <c r="G12" s="237">
        <f>IFERROR(_xlfn.XLOOKUP($A12,Input_Raw!$A:$A,Input_Raw!$AN:$AN),"")</f>
        <v>0</v>
      </c>
      <c r="H12" s="237"/>
      <c r="I12" s="237">
        <f>IFERROR(_xlfn.XLOOKUP($A12,Input_Raw!$A:$A,Input_Raw!$AM:$AM),"")</f>
        <v>0</v>
      </c>
      <c r="J12" s="237"/>
      <c r="K12" s="237">
        <f>IFERROR(_xlfn.XLOOKUP($A12,Input_Raw!$A:$A,Input_Raw!AO:AO),"")</f>
        <v>0</v>
      </c>
      <c r="L12" s="237">
        <f>IFERROR(_xlfn.XLOOKUP($A12,Input_Raw!$A:$A,Input_Raw!AP:AP),"")</f>
        <v>0</v>
      </c>
      <c r="M12" s="237">
        <f>IFERROR(_xlfn.XLOOKUP($A12,Input_Raw!$A:$A,Input_Raw!AS:AS),"")</f>
        <v>0</v>
      </c>
      <c r="N12" s="237">
        <f>IFERROR(_xlfn.XLOOKUP($A12,Input_Raw!$A:$A,Input_Raw!AT:AT),"")</f>
        <v>0</v>
      </c>
      <c r="O12" s="238" t="str">
        <f>IFERROR(1-(SUMIF(Plant_BD!$B:$B,$A12,Plant_BD!$AL:$AL)/($AA12+SUMIF(Plant_BD!$B:$B,$A12,Plant_BD!$AL:$AL))),"")</f>
        <v/>
      </c>
      <c r="P12" s="238"/>
      <c r="Q12" s="239"/>
      <c r="R12" s="238" t="str">
        <f>IFERROR(1-(SUMIF(Grid_BD!$B:$B,$A12,Grid_BD!$V:$V)/($AA12+SUMIF(Grid_BD!$B:$B,$A12,Grid_BD!$V:$V))),"")</f>
        <v/>
      </c>
      <c r="S12" s="234"/>
      <c r="T12" s="239"/>
      <c r="U12" s="240" t="str">
        <f t="shared" si="6"/>
        <v/>
      </c>
      <c r="V12" s="240" t="str">
        <f>IFERROR(_xlfn.XLOOKUP($A12,Input_Raw!$A:$A,Input_Raw!$BS:$BS),"")</f>
        <v/>
      </c>
      <c r="W12" s="241">
        <f t="shared" si="7"/>
        <v>0</v>
      </c>
      <c r="X12" s="233">
        <f>IFERROR(_xlfn.XLOOKUP($A12,Input_Raw!$A:$A,Input_Raw!$AW:$AW),"")</f>
        <v>0</v>
      </c>
      <c r="Y12" s="233">
        <f>IFERROR(_xlfn.XLOOKUP($A12,Input_Raw!$A:$A,Input_Raw!$BN:$BN),"")</f>
        <v>0</v>
      </c>
      <c r="Z12" s="233"/>
      <c r="AA12" s="233">
        <f>IFERROR(_xlfn.XLOOKUP($A12,Input_Raw!$A:$A,Input_Raw!$BO:$BO),"")</f>
        <v>0</v>
      </c>
      <c r="AB12" s="233">
        <f>IFERROR(_xlfn.XLOOKUP($A12,Input_Raw!$A:$A,Input_Raw!$BP:$BP),"")</f>
        <v>0</v>
      </c>
      <c r="AC12" s="242">
        <f>IFERROR(_xlfn.XLOOKUP($D12,'Modelling New'!$D:$D,'Modelling New'!P:P),"")</f>
        <v>3.7225806451612904</v>
      </c>
      <c r="AD12" s="233">
        <f>IFERROR(_xlfn.XLOOKUP($D12,'Modelling New'!$D:$D,'Modelling New'!T:T)*1000,"")</f>
        <v>199162.56403298778</v>
      </c>
      <c r="AE12" s="243">
        <f>IFERROR(_xlfn.XLOOKUP($D12,'Modelling New'!$D:$D,'Modelling New'!$O:$O),"")</f>
        <v>0.60935317436258363</v>
      </c>
      <c r="AF12" s="243">
        <f>IFERROR(_xlfn.XLOOKUP($D12,'Modelling New'!$D:$D,'Modelling New'!$W:$W),"")</f>
        <v>9.4515263872906125E-2</v>
      </c>
      <c r="AG12" s="243">
        <f>IFERROR(_xlfn.XLOOKUP($D12,'Modelling New'!$D:$D,'Modelling New'!$AE:$AE),"")</f>
        <v>0.995</v>
      </c>
      <c r="AH12" s="243">
        <f>IFERROR(_xlfn.XLOOKUP($D12,'Modelling New'!$D:$D,'Modelling New'!$AF:$AF),"")</f>
        <v>0.995</v>
      </c>
      <c r="AI12" s="234"/>
      <c r="AJ12" s="234"/>
      <c r="AK12" s="234"/>
      <c r="AL12" s="234"/>
      <c r="AM12" s="234"/>
      <c r="AN12" s="244"/>
      <c r="AO12" s="241"/>
      <c r="AP12" s="241"/>
      <c r="AQ12" s="241"/>
      <c r="AR12" s="233">
        <f>_xlfn.XLOOKUP($D12,'Modelling New'!$D:$D,'Modelling New'!$N:$N)</f>
        <v>87.8</v>
      </c>
      <c r="AS12" s="233">
        <f t="shared" si="8"/>
        <v>0</v>
      </c>
    </row>
    <row r="13" spans="1:45">
      <c r="A13" s="232">
        <f t="shared" si="9"/>
        <v>45850</v>
      </c>
      <c r="B13" s="233">
        <f>YEAR(Daily_KPI[[#This Row],[Date]])+IF(MONTH(Daily_KPI[[#This Row],[Date]])&gt;=4,1,0)</f>
        <v>2026</v>
      </c>
      <c r="C13" s="234">
        <f>YEAR(Daily_KPI[[#This Row],[Date]])</f>
        <v>2025</v>
      </c>
      <c r="D13" s="235">
        <f>Daily_KPI[[#This Row],[Date]]-DAY(Daily_KPI[[#This Row],[Date]])+1</f>
        <v>45839</v>
      </c>
      <c r="E13" s="234">
        <f t="shared" si="5"/>
        <v>31</v>
      </c>
      <c r="F13" s="236">
        <f>IFERROR(_xlfn.XLOOKUP($A13,Input_Raw!$A:$A,Input_Raw!$BM:$BM),"")</f>
        <v>11.45</v>
      </c>
      <c r="G13" s="237">
        <f>IFERROR(_xlfn.XLOOKUP($A13,Input_Raw!$A:$A,Input_Raw!$AN:$AN),"")</f>
        <v>0</v>
      </c>
      <c r="H13" s="237"/>
      <c r="I13" s="237">
        <f>IFERROR(_xlfn.XLOOKUP($A13,Input_Raw!$A:$A,Input_Raw!$AM:$AM),"")</f>
        <v>0</v>
      </c>
      <c r="J13" s="237"/>
      <c r="K13" s="237">
        <f>IFERROR(_xlfn.XLOOKUP($A13,Input_Raw!$A:$A,Input_Raw!AO:AO),"")</f>
        <v>0</v>
      </c>
      <c r="L13" s="237">
        <f>IFERROR(_xlfn.XLOOKUP($A13,Input_Raw!$A:$A,Input_Raw!AP:AP),"")</f>
        <v>0</v>
      </c>
      <c r="M13" s="237">
        <f>IFERROR(_xlfn.XLOOKUP($A13,Input_Raw!$A:$A,Input_Raw!AS:AS),"")</f>
        <v>0</v>
      </c>
      <c r="N13" s="237">
        <f>IFERROR(_xlfn.XLOOKUP($A13,Input_Raw!$A:$A,Input_Raw!AT:AT),"")</f>
        <v>0</v>
      </c>
      <c r="O13" s="238" t="str">
        <f>IFERROR(1-(SUMIF(Plant_BD!$B:$B,$A13,Plant_BD!$AL:$AL)/($AA13+SUMIF(Plant_BD!$B:$B,$A13,Plant_BD!$AL:$AL))),"")</f>
        <v/>
      </c>
      <c r="P13" s="238"/>
      <c r="Q13" s="239"/>
      <c r="R13" s="238" t="str">
        <f>IFERROR(1-(SUMIF(Grid_BD!$B:$B,$A13,Grid_BD!$V:$V)/($AA13+SUMIF(Grid_BD!$B:$B,$A13,Grid_BD!$V:$V))),"")</f>
        <v/>
      </c>
      <c r="S13" s="234"/>
      <c r="T13" s="239"/>
      <c r="U13" s="240" t="str">
        <f t="shared" si="6"/>
        <v/>
      </c>
      <c r="V13" s="240" t="str">
        <f>IFERROR(_xlfn.XLOOKUP($A13,Input_Raw!$A:$A,Input_Raw!$BS:$BS),"")</f>
        <v/>
      </c>
      <c r="W13" s="241">
        <f t="shared" si="7"/>
        <v>0</v>
      </c>
      <c r="X13" s="233">
        <f>IFERROR(_xlfn.XLOOKUP($A13,Input_Raw!$A:$A,Input_Raw!$AW:$AW),"")</f>
        <v>14012.000000000002</v>
      </c>
      <c r="Y13" s="233">
        <f>IFERROR(_xlfn.XLOOKUP($A13,Input_Raw!$A:$A,Input_Raw!$BN:$BN),"")</f>
        <v>0</v>
      </c>
      <c r="Z13" s="233"/>
      <c r="AA13" s="233">
        <f>IFERROR(_xlfn.XLOOKUP($A13,Input_Raw!$A:$A,Input_Raw!$BO:$BO),"")</f>
        <v>0</v>
      </c>
      <c r="AB13" s="233">
        <f>IFERROR(_xlfn.XLOOKUP($A13,Input_Raw!$A:$A,Input_Raw!$BP:$BP),"")</f>
        <v>30.64</v>
      </c>
      <c r="AC13" s="242">
        <f>IFERROR(_xlfn.XLOOKUP($D13,'Modelling New'!$D:$D,'Modelling New'!P:P),"")</f>
        <v>3.7225806451612904</v>
      </c>
      <c r="AD13" s="233">
        <f>IFERROR(_xlfn.XLOOKUP($D13,'Modelling New'!$D:$D,'Modelling New'!T:T)*1000,"")</f>
        <v>199162.56403298778</v>
      </c>
      <c r="AE13" s="243">
        <f>IFERROR(_xlfn.XLOOKUP($D13,'Modelling New'!$D:$D,'Modelling New'!$O:$O),"")</f>
        <v>0.60935317436258363</v>
      </c>
      <c r="AF13" s="243">
        <f>IFERROR(_xlfn.XLOOKUP($D13,'Modelling New'!$D:$D,'Modelling New'!$W:$W),"")</f>
        <v>9.4515263872906125E-2</v>
      </c>
      <c r="AG13" s="243">
        <f>IFERROR(_xlfn.XLOOKUP($D13,'Modelling New'!$D:$D,'Modelling New'!$AE:$AE),"")</f>
        <v>0.995</v>
      </c>
      <c r="AH13" s="243">
        <f>IFERROR(_xlfn.XLOOKUP($D13,'Modelling New'!$D:$D,'Modelling New'!$AF:$AF),"")</f>
        <v>0.995</v>
      </c>
      <c r="AI13" s="234"/>
      <c r="AJ13" s="234"/>
      <c r="AK13" s="234"/>
      <c r="AL13" s="234"/>
      <c r="AM13" s="234"/>
      <c r="AN13" s="244"/>
      <c r="AO13" s="241"/>
      <c r="AP13" s="241"/>
      <c r="AQ13" s="241"/>
      <c r="AR13" s="233">
        <f>_xlfn.XLOOKUP($D13,'Modelling New'!$D:$D,'Modelling New'!$N:$N)</f>
        <v>87.8</v>
      </c>
      <c r="AS13" s="233">
        <f t="shared" si="8"/>
        <v>69502.74444158026</v>
      </c>
    </row>
    <row r="14" spans="1:45">
      <c r="A14" s="232">
        <f t="shared" si="9"/>
        <v>45851</v>
      </c>
      <c r="B14" s="233">
        <f>YEAR(Daily_KPI[[#This Row],[Date]])+IF(MONTH(Daily_KPI[[#This Row],[Date]])&gt;=4,1,0)</f>
        <v>2026</v>
      </c>
      <c r="C14" s="234">
        <f>YEAR(Daily_KPI[[#This Row],[Date]])</f>
        <v>2025</v>
      </c>
      <c r="D14" s="235">
        <f>Daily_KPI[[#This Row],[Date]]-DAY(Daily_KPI[[#This Row],[Date]])+1</f>
        <v>45839</v>
      </c>
      <c r="E14" s="234">
        <f t="shared" si="5"/>
        <v>31</v>
      </c>
      <c r="F14" s="236">
        <f>IFERROR(_xlfn.XLOOKUP($A14,Input_Raw!$A:$A,Input_Raw!$BM:$BM),"")</f>
        <v>11.7</v>
      </c>
      <c r="G14" s="237">
        <f>IFERROR(_xlfn.XLOOKUP($A14,Input_Raw!$A:$A,Input_Raw!$AN:$AN),"")</f>
        <v>0</v>
      </c>
      <c r="H14" s="237"/>
      <c r="I14" s="237">
        <f>IFERROR(_xlfn.XLOOKUP($A14,Input_Raw!$A:$A,Input_Raw!$AM:$AM),"")</f>
        <v>0</v>
      </c>
      <c r="J14" s="237"/>
      <c r="K14" s="237">
        <f>IFERROR(_xlfn.XLOOKUP($A14,Input_Raw!$A:$A,Input_Raw!AO:AO),"")</f>
        <v>0</v>
      </c>
      <c r="L14" s="237">
        <f>IFERROR(_xlfn.XLOOKUP($A14,Input_Raw!$A:$A,Input_Raw!AP:AP),"")</f>
        <v>0</v>
      </c>
      <c r="M14" s="237">
        <f>IFERROR(_xlfn.XLOOKUP($A14,Input_Raw!$A:$A,Input_Raw!AS:AS),"")</f>
        <v>0</v>
      </c>
      <c r="N14" s="237">
        <f>IFERROR(_xlfn.XLOOKUP($A14,Input_Raw!$A:$A,Input_Raw!AT:AT),"")</f>
        <v>0</v>
      </c>
      <c r="O14" s="238" t="str">
        <f>IFERROR(1-(SUMIF(Plant_BD!$B:$B,$A14,Plant_BD!$AL:$AL)/($AA14+SUMIF(Plant_BD!$B:$B,$A14,Plant_BD!$AL:$AL))),"")</f>
        <v/>
      </c>
      <c r="P14" s="238"/>
      <c r="Q14" s="239"/>
      <c r="R14" s="238" t="str">
        <f>IFERROR(1-(SUMIF(Grid_BD!$B:$B,$A14,Grid_BD!$V:$V)/($AA14+SUMIF(Grid_BD!$B:$B,$A14,Grid_BD!$V:$V))),"")</f>
        <v/>
      </c>
      <c r="S14" s="234"/>
      <c r="T14" s="239"/>
      <c r="U14" s="240" t="str">
        <f t="shared" si="6"/>
        <v/>
      </c>
      <c r="V14" s="240" t="str">
        <f>IFERROR(_xlfn.XLOOKUP($A14,Input_Raw!$A:$A,Input_Raw!$BS:$BS),"")</f>
        <v/>
      </c>
      <c r="W14" s="241">
        <f t="shared" si="7"/>
        <v>0</v>
      </c>
      <c r="X14" s="233">
        <f>IFERROR(_xlfn.XLOOKUP($A14,Input_Raw!$A:$A,Input_Raw!$AW:$AW),"")</f>
        <v>20175.400000000001</v>
      </c>
      <c r="Y14" s="233">
        <f>IFERROR(_xlfn.XLOOKUP($A14,Input_Raw!$A:$A,Input_Raw!$BN:$BN),"")</f>
        <v>0</v>
      </c>
      <c r="Z14" s="233"/>
      <c r="AA14" s="233">
        <f>IFERROR(_xlfn.XLOOKUP($A14,Input_Raw!$A:$A,Input_Raw!$BO:$BO),"")</f>
        <v>0</v>
      </c>
      <c r="AB14" s="233">
        <f>IFERROR(_xlfn.XLOOKUP($A14,Input_Raw!$A:$A,Input_Raw!$BP:$BP),"")</f>
        <v>30.64</v>
      </c>
      <c r="AC14" s="242">
        <f>IFERROR(_xlfn.XLOOKUP($D14,'Modelling New'!$D:$D,'Modelling New'!P:P),"")</f>
        <v>3.7225806451612904</v>
      </c>
      <c r="AD14" s="233">
        <f>IFERROR(_xlfn.XLOOKUP($D14,'Modelling New'!$D:$D,'Modelling New'!T:T)*1000,"")</f>
        <v>199162.56403298778</v>
      </c>
      <c r="AE14" s="243">
        <f>IFERROR(_xlfn.XLOOKUP($D14,'Modelling New'!$D:$D,'Modelling New'!$O:$O),"")</f>
        <v>0.60935317436258363</v>
      </c>
      <c r="AF14" s="243">
        <f>IFERROR(_xlfn.XLOOKUP($D14,'Modelling New'!$D:$D,'Modelling New'!$W:$W),"")</f>
        <v>9.4515263872906125E-2</v>
      </c>
      <c r="AG14" s="243">
        <f>IFERROR(_xlfn.XLOOKUP($D14,'Modelling New'!$D:$D,'Modelling New'!$AE:$AE),"")</f>
        <v>0.995</v>
      </c>
      <c r="AH14" s="243">
        <f>IFERROR(_xlfn.XLOOKUP($D14,'Modelling New'!$D:$D,'Modelling New'!$AF:$AF),"")</f>
        <v>0.995</v>
      </c>
      <c r="AI14" s="234"/>
      <c r="AJ14" s="234"/>
      <c r="AK14" s="234"/>
      <c r="AL14" s="234"/>
      <c r="AM14" s="234"/>
      <c r="AN14" s="244"/>
      <c r="AO14" s="241"/>
      <c r="AP14" s="241"/>
      <c r="AQ14" s="241"/>
      <c r="AR14" s="233">
        <f>_xlfn.XLOOKUP($D14,'Modelling New'!$D:$D,'Modelling New'!$N:$N)</f>
        <v>87.8</v>
      </c>
      <c r="AS14" s="233">
        <f t="shared" si="8"/>
        <v>69502.74444158026</v>
      </c>
    </row>
    <row r="15" spans="1:45">
      <c r="A15" s="232">
        <f t="shared" si="9"/>
        <v>45852</v>
      </c>
      <c r="B15" s="233">
        <f>YEAR(Daily_KPI[[#This Row],[Date]])+IF(MONTH(Daily_KPI[[#This Row],[Date]])&gt;=4,1,0)</f>
        <v>2026</v>
      </c>
      <c r="C15" s="234">
        <f>YEAR(Daily_KPI[[#This Row],[Date]])</f>
        <v>2025</v>
      </c>
      <c r="D15" s="235">
        <f>Daily_KPI[[#This Row],[Date]]-DAY(Daily_KPI[[#This Row],[Date]])+1</f>
        <v>45839</v>
      </c>
      <c r="E15" s="234">
        <f t="shared" si="5"/>
        <v>31</v>
      </c>
      <c r="F15" s="236">
        <f>IFERROR(_xlfn.XLOOKUP($A15,Input_Raw!$A:$A,Input_Raw!$BM:$BM),"")</f>
        <v>0</v>
      </c>
      <c r="G15" s="237">
        <f>IFERROR(_xlfn.XLOOKUP($A15,Input_Raw!$A:$A,Input_Raw!$AN:$AN),"")</f>
        <v>0</v>
      </c>
      <c r="H15" s="237"/>
      <c r="I15" s="237">
        <f>IFERROR(_xlfn.XLOOKUP($A15,Input_Raw!$A:$A,Input_Raw!$AM:$AM),"")</f>
        <v>0</v>
      </c>
      <c r="J15" s="237"/>
      <c r="K15" s="237">
        <f>IFERROR(_xlfn.XLOOKUP($A15,Input_Raw!$A:$A,Input_Raw!AO:AO),"")</f>
        <v>0</v>
      </c>
      <c r="L15" s="237">
        <f>IFERROR(_xlfn.XLOOKUP($A15,Input_Raw!$A:$A,Input_Raw!AP:AP),"")</f>
        <v>0</v>
      </c>
      <c r="M15" s="237">
        <f>IFERROR(_xlfn.XLOOKUP($A15,Input_Raw!$A:$A,Input_Raw!AS:AS),"")</f>
        <v>0</v>
      </c>
      <c r="N15" s="237">
        <f>IFERROR(_xlfn.XLOOKUP($A15,Input_Raw!$A:$A,Input_Raw!AT:AT),"")</f>
        <v>0</v>
      </c>
      <c r="O15" s="238" t="str">
        <f>IFERROR(1-(SUMIF(Plant_BD!$B:$B,$A15,Plant_BD!$AL:$AL)/($AA15+SUMIF(Plant_BD!$B:$B,$A15,Plant_BD!$AL:$AL))),"")</f>
        <v/>
      </c>
      <c r="P15" s="238"/>
      <c r="Q15" s="239"/>
      <c r="R15" s="238" t="str">
        <f>IFERROR(1-(SUMIF(Grid_BD!$B:$B,$A15,Grid_BD!$V:$V)/($AA15+SUMIF(Grid_BD!$B:$B,$A15,Grid_BD!$V:$V))),"")</f>
        <v/>
      </c>
      <c r="S15" s="234"/>
      <c r="T15" s="239"/>
      <c r="U15" s="240" t="str">
        <f t="shared" si="6"/>
        <v/>
      </c>
      <c r="V15" s="240" t="str">
        <f>IFERROR(_xlfn.XLOOKUP($A15,Input_Raw!$A:$A,Input_Raw!$BS:$BS),"")</f>
        <v/>
      </c>
      <c r="W15" s="241">
        <f t="shared" si="7"/>
        <v>0</v>
      </c>
      <c r="X15" s="233">
        <f>IFERROR(_xlfn.XLOOKUP($A15,Input_Raw!$A:$A,Input_Raw!$AW:$AW),"")</f>
        <v>0</v>
      </c>
      <c r="Y15" s="233">
        <f>IFERROR(_xlfn.XLOOKUP($A15,Input_Raw!$A:$A,Input_Raw!$BN:$BN),"")</f>
        <v>0</v>
      </c>
      <c r="Z15" s="233"/>
      <c r="AA15" s="233">
        <f>IFERROR(_xlfn.XLOOKUP($A15,Input_Raw!$A:$A,Input_Raw!$BO:$BO),"")</f>
        <v>0</v>
      </c>
      <c r="AB15" s="233">
        <f>IFERROR(_xlfn.XLOOKUP($A15,Input_Raw!$A:$A,Input_Raw!$BP:$BP),"")</f>
        <v>0</v>
      </c>
      <c r="AC15" s="242">
        <f>IFERROR(_xlfn.XLOOKUP($D15,'Modelling New'!$D:$D,'Modelling New'!P:P),"")</f>
        <v>3.7225806451612904</v>
      </c>
      <c r="AD15" s="233">
        <f>IFERROR(_xlfn.XLOOKUP($D15,'Modelling New'!$D:$D,'Modelling New'!T:T)*1000,"")</f>
        <v>199162.56403298778</v>
      </c>
      <c r="AE15" s="243">
        <f>IFERROR(_xlfn.XLOOKUP($D15,'Modelling New'!$D:$D,'Modelling New'!$O:$O),"")</f>
        <v>0.60935317436258363</v>
      </c>
      <c r="AF15" s="243">
        <f>IFERROR(_xlfn.XLOOKUP($D15,'Modelling New'!$D:$D,'Modelling New'!$W:$W),"")</f>
        <v>9.4515263872906125E-2</v>
      </c>
      <c r="AG15" s="243">
        <f>IFERROR(_xlfn.XLOOKUP($D15,'Modelling New'!$D:$D,'Modelling New'!$AE:$AE),"")</f>
        <v>0.995</v>
      </c>
      <c r="AH15" s="243">
        <f>IFERROR(_xlfn.XLOOKUP($D15,'Modelling New'!$D:$D,'Modelling New'!$AF:$AF),"")</f>
        <v>0.995</v>
      </c>
      <c r="AI15" s="234"/>
      <c r="AJ15" s="234"/>
      <c r="AK15" s="234"/>
      <c r="AL15" s="234"/>
      <c r="AM15" s="234"/>
      <c r="AN15" s="244"/>
      <c r="AO15" s="241"/>
      <c r="AP15" s="241"/>
      <c r="AQ15" s="241"/>
      <c r="AR15" s="233">
        <f>_xlfn.XLOOKUP($D15,'Modelling New'!$D:$D,'Modelling New'!$N:$N)</f>
        <v>87.8</v>
      </c>
      <c r="AS15" s="233">
        <f t="shared" si="8"/>
        <v>0</v>
      </c>
    </row>
    <row r="16" spans="1:45">
      <c r="A16" s="232">
        <f t="shared" si="9"/>
        <v>45853</v>
      </c>
      <c r="B16" s="233">
        <f>YEAR(Daily_KPI[[#This Row],[Date]])+IF(MONTH(Daily_KPI[[#This Row],[Date]])&gt;=4,1,0)</f>
        <v>2026</v>
      </c>
      <c r="C16" s="234">
        <f>YEAR(Daily_KPI[[#This Row],[Date]])</f>
        <v>2025</v>
      </c>
      <c r="D16" s="235">
        <f>Daily_KPI[[#This Row],[Date]]-DAY(Daily_KPI[[#This Row],[Date]])+1</f>
        <v>45839</v>
      </c>
      <c r="E16" s="234">
        <f t="shared" si="5"/>
        <v>31</v>
      </c>
      <c r="F16" s="236">
        <f>IFERROR(_xlfn.XLOOKUP($A16,Input_Raw!$A:$A,Input_Raw!$BM:$BM),"")</f>
        <v>0</v>
      </c>
      <c r="G16" s="237">
        <f>IFERROR(_xlfn.XLOOKUP($A16,Input_Raw!$A:$A,Input_Raw!$AN:$AN),"")</f>
        <v>0</v>
      </c>
      <c r="H16" s="237"/>
      <c r="I16" s="237">
        <f>IFERROR(_xlfn.XLOOKUP($A16,Input_Raw!$A:$A,Input_Raw!$AM:$AM),"")</f>
        <v>0</v>
      </c>
      <c r="J16" s="237"/>
      <c r="K16" s="237">
        <f>IFERROR(_xlfn.XLOOKUP($A16,Input_Raw!$A:$A,Input_Raw!AO:AO),"")</f>
        <v>0</v>
      </c>
      <c r="L16" s="237">
        <f>IFERROR(_xlfn.XLOOKUP($A16,Input_Raw!$A:$A,Input_Raw!AP:AP),"")</f>
        <v>0</v>
      </c>
      <c r="M16" s="237">
        <f>IFERROR(_xlfn.XLOOKUP($A16,Input_Raw!$A:$A,Input_Raw!AS:AS),"")</f>
        <v>0</v>
      </c>
      <c r="N16" s="237">
        <f>IFERROR(_xlfn.XLOOKUP($A16,Input_Raw!$A:$A,Input_Raw!AT:AT),"")</f>
        <v>0</v>
      </c>
      <c r="O16" s="238" t="str">
        <f>IFERROR(1-(SUMIF(Plant_BD!$B:$B,$A16,Plant_BD!$AL:$AL)/($AA16+SUMIF(Plant_BD!$B:$B,$A16,Plant_BD!$AL:$AL))),"")</f>
        <v/>
      </c>
      <c r="P16" s="238"/>
      <c r="Q16" s="239"/>
      <c r="R16" s="238" t="str">
        <f>IFERROR(1-(SUMIF(Grid_BD!$B:$B,$A16,Grid_BD!$V:$V)/($AA16+SUMIF(Grid_BD!$B:$B,$A16,Grid_BD!$V:$V))),"")</f>
        <v/>
      </c>
      <c r="S16" s="234"/>
      <c r="T16" s="239"/>
      <c r="U16" s="240" t="str">
        <f t="shared" si="6"/>
        <v/>
      </c>
      <c r="V16" s="240" t="str">
        <f>IFERROR(_xlfn.XLOOKUP($A16,Input_Raw!$A:$A,Input_Raw!$BS:$BS),"")</f>
        <v/>
      </c>
      <c r="W16" s="241">
        <f t="shared" si="7"/>
        <v>0</v>
      </c>
      <c r="X16" s="233">
        <f>IFERROR(_xlfn.XLOOKUP($A16,Input_Raw!$A:$A,Input_Raw!$AW:$AW),"")</f>
        <v>0</v>
      </c>
      <c r="Y16" s="233">
        <f>IFERROR(_xlfn.XLOOKUP($A16,Input_Raw!$A:$A,Input_Raw!$BN:$BN),"")</f>
        <v>0</v>
      </c>
      <c r="Z16" s="233"/>
      <c r="AA16" s="233">
        <f>IFERROR(_xlfn.XLOOKUP($A16,Input_Raw!$A:$A,Input_Raw!$BO:$BO),"")</f>
        <v>0</v>
      </c>
      <c r="AB16" s="233">
        <f>IFERROR(_xlfn.XLOOKUP($A16,Input_Raw!$A:$A,Input_Raw!$BP:$BP),"")</f>
        <v>0</v>
      </c>
      <c r="AC16" s="242">
        <f>IFERROR(_xlfn.XLOOKUP($D16,'Modelling New'!$D:$D,'Modelling New'!P:P),"")</f>
        <v>3.7225806451612904</v>
      </c>
      <c r="AD16" s="233">
        <f>IFERROR(_xlfn.XLOOKUP($D16,'Modelling New'!$D:$D,'Modelling New'!T:T)*1000,"")</f>
        <v>199162.56403298778</v>
      </c>
      <c r="AE16" s="243">
        <f>IFERROR(_xlfn.XLOOKUP($D16,'Modelling New'!$D:$D,'Modelling New'!$O:$O),"")</f>
        <v>0.60935317436258363</v>
      </c>
      <c r="AF16" s="243">
        <f>IFERROR(_xlfn.XLOOKUP($D16,'Modelling New'!$D:$D,'Modelling New'!$W:$W),"")</f>
        <v>9.4515263872906125E-2</v>
      </c>
      <c r="AG16" s="243">
        <f>IFERROR(_xlfn.XLOOKUP($D16,'Modelling New'!$D:$D,'Modelling New'!$AE:$AE),"")</f>
        <v>0.995</v>
      </c>
      <c r="AH16" s="243">
        <f>IFERROR(_xlfn.XLOOKUP($D16,'Modelling New'!$D:$D,'Modelling New'!$AF:$AF),"")</f>
        <v>0.995</v>
      </c>
      <c r="AI16" s="234"/>
      <c r="AJ16" s="234"/>
      <c r="AK16" s="234"/>
      <c r="AL16" s="234"/>
      <c r="AM16" s="234"/>
      <c r="AN16" s="244"/>
      <c r="AO16" s="241"/>
      <c r="AP16" s="241"/>
      <c r="AQ16" s="241"/>
      <c r="AR16" s="233">
        <f>_xlfn.XLOOKUP($D16,'Modelling New'!$D:$D,'Modelling New'!$N:$N)</f>
        <v>87.8</v>
      </c>
      <c r="AS16" s="233">
        <f t="shared" si="8"/>
        <v>0</v>
      </c>
    </row>
    <row r="17" spans="1:45">
      <c r="A17" s="232">
        <f t="shared" si="9"/>
        <v>45854</v>
      </c>
      <c r="B17" s="233">
        <f>YEAR(Daily_KPI[[#This Row],[Date]])+IF(MONTH(Daily_KPI[[#This Row],[Date]])&gt;=4,1,0)</f>
        <v>2026</v>
      </c>
      <c r="C17" s="234">
        <f>YEAR(Daily_KPI[[#This Row],[Date]])</f>
        <v>2025</v>
      </c>
      <c r="D17" s="235">
        <f>Daily_KPI[[#This Row],[Date]]-DAY(Daily_KPI[[#This Row],[Date]])+1</f>
        <v>45839</v>
      </c>
      <c r="E17" s="234">
        <f t="shared" si="5"/>
        <v>31</v>
      </c>
      <c r="F17" s="236">
        <f>IFERROR(_xlfn.XLOOKUP($A17,Input_Raw!$A:$A,Input_Raw!$BM:$BM),"")</f>
        <v>0</v>
      </c>
      <c r="G17" s="237">
        <f>IFERROR(_xlfn.XLOOKUP($A17,Input_Raw!$A:$A,Input_Raw!$AN:$AN),"")</f>
        <v>0</v>
      </c>
      <c r="H17" s="237"/>
      <c r="I17" s="237">
        <f>IFERROR(_xlfn.XLOOKUP($A17,Input_Raw!$A:$A,Input_Raw!$AM:$AM),"")</f>
        <v>0</v>
      </c>
      <c r="J17" s="237"/>
      <c r="K17" s="237">
        <f>IFERROR(_xlfn.XLOOKUP($A17,Input_Raw!$A:$A,Input_Raw!AO:AO),"")</f>
        <v>0</v>
      </c>
      <c r="L17" s="237">
        <f>IFERROR(_xlfn.XLOOKUP($A17,Input_Raw!$A:$A,Input_Raw!AP:AP),"")</f>
        <v>0</v>
      </c>
      <c r="M17" s="237">
        <f>IFERROR(_xlfn.XLOOKUP($A17,Input_Raw!$A:$A,Input_Raw!AS:AS),"")</f>
        <v>0</v>
      </c>
      <c r="N17" s="237">
        <f>IFERROR(_xlfn.XLOOKUP($A17,Input_Raw!$A:$A,Input_Raw!AT:AT),"")</f>
        <v>0</v>
      </c>
      <c r="O17" s="238" t="str">
        <f>IFERROR(1-(SUMIF(Plant_BD!$B:$B,$A17,Plant_BD!$AL:$AL)/($AA17+SUMIF(Plant_BD!$B:$B,$A17,Plant_BD!$AL:$AL))),"")</f>
        <v/>
      </c>
      <c r="P17" s="238"/>
      <c r="Q17" s="239"/>
      <c r="R17" s="238" t="str">
        <f>IFERROR(1-(SUMIF(Grid_BD!$B:$B,$A17,Grid_BD!$V:$V)/($AA17+SUMIF(Grid_BD!$B:$B,$A17,Grid_BD!$V:$V))),"")</f>
        <v/>
      </c>
      <c r="S17" s="234"/>
      <c r="T17" s="239"/>
      <c r="U17" s="240" t="str">
        <f t="shared" si="6"/>
        <v/>
      </c>
      <c r="V17" s="240" t="str">
        <f>IFERROR(_xlfn.XLOOKUP($A17,Input_Raw!$A:$A,Input_Raw!$BS:$BS),"")</f>
        <v/>
      </c>
      <c r="W17" s="241">
        <f t="shared" si="7"/>
        <v>0</v>
      </c>
      <c r="X17" s="233">
        <f>IFERROR(_xlfn.XLOOKUP($A17,Input_Raw!$A:$A,Input_Raw!$AW:$AW),"")</f>
        <v>0</v>
      </c>
      <c r="Y17" s="233">
        <f>IFERROR(_xlfn.XLOOKUP($A17,Input_Raw!$A:$A,Input_Raw!$BN:$BN),"")</f>
        <v>0</v>
      </c>
      <c r="Z17" s="233"/>
      <c r="AA17" s="233">
        <f>IFERROR(_xlfn.XLOOKUP($A17,Input_Raw!$A:$A,Input_Raw!$BO:$BO),"")</f>
        <v>0</v>
      </c>
      <c r="AB17" s="233">
        <f>IFERROR(_xlfn.XLOOKUP($A17,Input_Raw!$A:$A,Input_Raw!$BP:$BP),"")</f>
        <v>0</v>
      </c>
      <c r="AC17" s="242">
        <f>IFERROR(_xlfn.XLOOKUP($D17,'Modelling New'!$D:$D,'Modelling New'!P:P),"")</f>
        <v>3.7225806451612904</v>
      </c>
      <c r="AD17" s="233">
        <f>IFERROR(_xlfn.XLOOKUP($D17,'Modelling New'!$D:$D,'Modelling New'!T:T)*1000,"")</f>
        <v>199162.56403298778</v>
      </c>
      <c r="AE17" s="243">
        <f>IFERROR(_xlfn.XLOOKUP($D17,'Modelling New'!$D:$D,'Modelling New'!$O:$O),"")</f>
        <v>0.60935317436258363</v>
      </c>
      <c r="AF17" s="243">
        <f>IFERROR(_xlfn.XLOOKUP($D17,'Modelling New'!$D:$D,'Modelling New'!$W:$W),"")</f>
        <v>9.4515263872906125E-2</v>
      </c>
      <c r="AG17" s="243">
        <f>IFERROR(_xlfn.XLOOKUP($D17,'Modelling New'!$D:$D,'Modelling New'!$AE:$AE),"")</f>
        <v>0.995</v>
      </c>
      <c r="AH17" s="243">
        <f>IFERROR(_xlfn.XLOOKUP($D17,'Modelling New'!$D:$D,'Modelling New'!$AF:$AF),"")</f>
        <v>0.995</v>
      </c>
      <c r="AI17" s="234"/>
      <c r="AJ17" s="234"/>
      <c r="AK17" s="234"/>
      <c r="AL17" s="234"/>
      <c r="AM17" s="234"/>
      <c r="AN17" s="244"/>
      <c r="AO17" s="241"/>
      <c r="AP17" s="241"/>
      <c r="AQ17" s="241"/>
      <c r="AR17" s="233">
        <f>_xlfn.XLOOKUP($D17,'Modelling New'!$D:$D,'Modelling New'!$N:$N)</f>
        <v>87.8</v>
      </c>
      <c r="AS17" s="233">
        <f t="shared" si="8"/>
        <v>0</v>
      </c>
    </row>
    <row r="18" spans="1:45">
      <c r="A18" s="232">
        <f t="shared" si="9"/>
        <v>45855</v>
      </c>
      <c r="B18" s="233">
        <f>YEAR(Daily_KPI[[#This Row],[Date]])+IF(MONTH(Daily_KPI[[#This Row],[Date]])&gt;=4,1,0)</f>
        <v>2026</v>
      </c>
      <c r="C18" s="234">
        <f>YEAR(Daily_KPI[[#This Row],[Date]])</f>
        <v>2025</v>
      </c>
      <c r="D18" s="235">
        <f>Daily_KPI[[#This Row],[Date]]-DAY(Daily_KPI[[#This Row],[Date]])+1</f>
        <v>45839</v>
      </c>
      <c r="E18" s="234">
        <f t="shared" si="5"/>
        <v>31</v>
      </c>
      <c r="F18" s="236">
        <f>IFERROR(_xlfn.XLOOKUP($A18,Input_Raw!$A:$A,Input_Raw!$BM:$BM),"")</f>
        <v>0</v>
      </c>
      <c r="G18" s="237">
        <f>IFERROR(_xlfn.XLOOKUP($A18,Input_Raw!$A:$A,Input_Raw!$AN:$AN),"")</f>
        <v>0</v>
      </c>
      <c r="H18" s="237"/>
      <c r="I18" s="237">
        <f>IFERROR(_xlfn.XLOOKUP($A18,Input_Raw!$A:$A,Input_Raw!$AM:$AM),"")</f>
        <v>0</v>
      </c>
      <c r="J18" s="237"/>
      <c r="K18" s="237">
        <f>IFERROR(_xlfn.XLOOKUP($A18,Input_Raw!$A:$A,Input_Raw!AO:AO),"")</f>
        <v>0</v>
      </c>
      <c r="L18" s="237">
        <f>IFERROR(_xlfn.XLOOKUP($A18,Input_Raw!$A:$A,Input_Raw!AP:AP),"")</f>
        <v>0</v>
      </c>
      <c r="M18" s="237">
        <f>IFERROR(_xlfn.XLOOKUP($A18,Input_Raw!$A:$A,Input_Raw!AS:AS),"")</f>
        <v>0</v>
      </c>
      <c r="N18" s="237">
        <f>IFERROR(_xlfn.XLOOKUP($A18,Input_Raw!$A:$A,Input_Raw!AT:AT),"")</f>
        <v>0</v>
      </c>
      <c r="O18" s="238" t="str">
        <f>IFERROR(1-(SUMIF(Plant_BD!$B:$B,$A18,Plant_BD!$AL:$AL)/($AA18+SUMIF(Plant_BD!$B:$B,$A18,Plant_BD!$AL:$AL))),"")</f>
        <v/>
      </c>
      <c r="P18" s="238"/>
      <c r="Q18" s="239"/>
      <c r="R18" s="238" t="str">
        <f>IFERROR(1-(SUMIF(Grid_BD!$B:$B,$A18,Grid_BD!$V:$V)/($AA18+SUMIF(Grid_BD!$B:$B,$A18,Grid_BD!$V:$V))),"")</f>
        <v/>
      </c>
      <c r="S18" s="234"/>
      <c r="T18" s="239"/>
      <c r="U18" s="240" t="str">
        <f t="shared" si="6"/>
        <v/>
      </c>
      <c r="V18" s="240" t="str">
        <f>IFERROR(_xlfn.XLOOKUP($A18,Input_Raw!$A:$A,Input_Raw!$BS:$BS),"")</f>
        <v/>
      </c>
      <c r="W18" s="241">
        <f t="shared" si="7"/>
        <v>0</v>
      </c>
      <c r="X18" s="233">
        <f>IFERROR(_xlfn.XLOOKUP($A18,Input_Raw!$A:$A,Input_Raw!$AW:$AW),"")</f>
        <v>0</v>
      </c>
      <c r="Y18" s="233">
        <f>IFERROR(_xlfn.XLOOKUP($A18,Input_Raw!$A:$A,Input_Raw!$BN:$BN),"")</f>
        <v>0</v>
      </c>
      <c r="Z18" s="233"/>
      <c r="AA18" s="233">
        <f>IFERROR(_xlfn.XLOOKUP($A18,Input_Raw!$A:$A,Input_Raw!$BO:$BO),"")</f>
        <v>0</v>
      </c>
      <c r="AB18" s="233">
        <f>IFERROR(_xlfn.XLOOKUP($A18,Input_Raw!$A:$A,Input_Raw!$BP:$BP),"")</f>
        <v>0</v>
      </c>
      <c r="AC18" s="242">
        <f>IFERROR(_xlfn.XLOOKUP($D18,'Modelling New'!$D:$D,'Modelling New'!P:P),"")</f>
        <v>3.7225806451612904</v>
      </c>
      <c r="AD18" s="233">
        <f>IFERROR(_xlfn.XLOOKUP($D18,'Modelling New'!$D:$D,'Modelling New'!T:T)*1000,"")</f>
        <v>199162.56403298778</v>
      </c>
      <c r="AE18" s="243">
        <f>IFERROR(_xlfn.XLOOKUP($D18,'Modelling New'!$D:$D,'Modelling New'!$O:$O),"")</f>
        <v>0.60935317436258363</v>
      </c>
      <c r="AF18" s="243">
        <f>IFERROR(_xlfn.XLOOKUP($D18,'Modelling New'!$D:$D,'Modelling New'!$W:$W),"")</f>
        <v>9.4515263872906125E-2</v>
      </c>
      <c r="AG18" s="243">
        <f>IFERROR(_xlfn.XLOOKUP($D18,'Modelling New'!$D:$D,'Modelling New'!$AE:$AE),"")</f>
        <v>0.995</v>
      </c>
      <c r="AH18" s="243">
        <f>IFERROR(_xlfn.XLOOKUP($D18,'Modelling New'!$D:$D,'Modelling New'!$AF:$AF),"")</f>
        <v>0.995</v>
      </c>
      <c r="AI18" s="234"/>
      <c r="AJ18" s="234"/>
      <c r="AK18" s="234"/>
      <c r="AL18" s="234"/>
      <c r="AM18" s="234"/>
      <c r="AN18" s="244"/>
      <c r="AO18" s="241"/>
      <c r="AP18" s="241"/>
      <c r="AQ18" s="241"/>
      <c r="AR18" s="233">
        <f>_xlfn.XLOOKUP($D18,'Modelling New'!$D:$D,'Modelling New'!$N:$N)</f>
        <v>87.8</v>
      </c>
      <c r="AS18" s="233">
        <f t="shared" si="8"/>
        <v>0</v>
      </c>
    </row>
    <row r="19" spans="1:45">
      <c r="A19" s="232">
        <f t="shared" si="9"/>
        <v>45856</v>
      </c>
      <c r="B19" s="233">
        <f>YEAR(Daily_KPI[[#This Row],[Date]])+IF(MONTH(Daily_KPI[[#This Row],[Date]])&gt;=4,1,0)</f>
        <v>2026</v>
      </c>
      <c r="C19" s="234">
        <f>YEAR(Daily_KPI[[#This Row],[Date]])</f>
        <v>2025</v>
      </c>
      <c r="D19" s="235">
        <f>Daily_KPI[[#This Row],[Date]]-DAY(Daily_KPI[[#This Row],[Date]])+1</f>
        <v>45839</v>
      </c>
      <c r="E19" s="234">
        <f t="shared" si="5"/>
        <v>31</v>
      </c>
      <c r="F19" s="236">
        <f>IFERROR(_xlfn.XLOOKUP($A19,Input_Raw!$A:$A,Input_Raw!$BM:$BM),"")</f>
        <v>0</v>
      </c>
      <c r="G19" s="237">
        <f>IFERROR(_xlfn.XLOOKUP($A19,Input_Raw!$A:$A,Input_Raw!$AN:$AN),"")</f>
        <v>0</v>
      </c>
      <c r="H19" s="237"/>
      <c r="I19" s="237">
        <f>IFERROR(_xlfn.XLOOKUP($A19,Input_Raw!$A:$A,Input_Raw!$AM:$AM),"")</f>
        <v>0</v>
      </c>
      <c r="J19" s="237"/>
      <c r="K19" s="237">
        <f>IFERROR(_xlfn.XLOOKUP($A19,Input_Raw!$A:$A,Input_Raw!AO:AO),"")</f>
        <v>0</v>
      </c>
      <c r="L19" s="237">
        <f>IFERROR(_xlfn.XLOOKUP($A19,Input_Raw!$A:$A,Input_Raw!AP:AP),"")</f>
        <v>0</v>
      </c>
      <c r="M19" s="237">
        <f>IFERROR(_xlfn.XLOOKUP($A19,Input_Raw!$A:$A,Input_Raw!AS:AS),"")</f>
        <v>0</v>
      </c>
      <c r="N19" s="237">
        <f>IFERROR(_xlfn.XLOOKUP($A19,Input_Raw!$A:$A,Input_Raw!AT:AT),"")</f>
        <v>0</v>
      </c>
      <c r="O19" s="238" t="str">
        <f>IFERROR(1-(SUMIF(Plant_BD!$B:$B,$A19,Plant_BD!$AL:$AL)/($AA19+SUMIF(Plant_BD!$B:$B,$A19,Plant_BD!$AL:$AL))),"")</f>
        <v/>
      </c>
      <c r="P19" s="238"/>
      <c r="Q19" s="239"/>
      <c r="R19" s="238" t="str">
        <f>IFERROR(1-(SUMIF(Grid_BD!$B:$B,$A19,Grid_BD!$V:$V)/($AA19+SUMIF(Grid_BD!$B:$B,$A19,Grid_BD!$V:$V))),"")</f>
        <v/>
      </c>
      <c r="S19" s="234"/>
      <c r="T19" s="239"/>
      <c r="U19" s="240" t="str">
        <f t="shared" si="6"/>
        <v/>
      </c>
      <c r="V19" s="240" t="str">
        <f>IFERROR(_xlfn.XLOOKUP($A19,Input_Raw!$A:$A,Input_Raw!$BS:$BS),"")</f>
        <v/>
      </c>
      <c r="W19" s="241">
        <f t="shared" si="7"/>
        <v>0</v>
      </c>
      <c r="X19" s="233">
        <f>IFERROR(_xlfn.XLOOKUP($A19,Input_Raw!$A:$A,Input_Raw!$AW:$AW),"")</f>
        <v>0</v>
      </c>
      <c r="Y19" s="233">
        <f>IFERROR(_xlfn.XLOOKUP($A19,Input_Raw!$A:$A,Input_Raw!$BN:$BN),"")</f>
        <v>0</v>
      </c>
      <c r="Z19" s="233"/>
      <c r="AA19" s="233">
        <f>IFERROR(_xlfn.XLOOKUP($A19,Input_Raw!$A:$A,Input_Raw!$BO:$BO),"")</f>
        <v>0</v>
      </c>
      <c r="AB19" s="233">
        <f>IFERROR(_xlfn.XLOOKUP($A19,Input_Raw!$A:$A,Input_Raw!$BP:$BP),"")</f>
        <v>0</v>
      </c>
      <c r="AC19" s="242">
        <f>IFERROR(_xlfn.XLOOKUP($D19,'Modelling New'!$D:$D,'Modelling New'!P:P),"")</f>
        <v>3.7225806451612904</v>
      </c>
      <c r="AD19" s="233">
        <f>IFERROR(_xlfn.XLOOKUP($D19,'Modelling New'!$D:$D,'Modelling New'!T:T)*1000,"")</f>
        <v>199162.56403298778</v>
      </c>
      <c r="AE19" s="243">
        <f>IFERROR(_xlfn.XLOOKUP($D19,'Modelling New'!$D:$D,'Modelling New'!$O:$O),"")</f>
        <v>0.60935317436258363</v>
      </c>
      <c r="AF19" s="243">
        <f>IFERROR(_xlfn.XLOOKUP($D19,'Modelling New'!$D:$D,'Modelling New'!$W:$W),"")</f>
        <v>9.4515263872906125E-2</v>
      </c>
      <c r="AG19" s="243">
        <f>IFERROR(_xlfn.XLOOKUP($D19,'Modelling New'!$D:$D,'Modelling New'!$AE:$AE),"")</f>
        <v>0.995</v>
      </c>
      <c r="AH19" s="243">
        <f>IFERROR(_xlfn.XLOOKUP($D19,'Modelling New'!$D:$D,'Modelling New'!$AF:$AF),"")</f>
        <v>0.995</v>
      </c>
      <c r="AI19" s="234"/>
      <c r="AJ19" s="234"/>
      <c r="AK19" s="234"/>
      <c r="AL19" s="234"/>
      <c r="AM19" s="234"/>
      <c r="AN19" s="244"/>
      <c r="AO19" s="241"/>
      <c r="AP19" s="241"/>
      <c r="AQ19" s="241"/>
      <c r="AR19" s="233">
        <f>_xlfn.XLOOKUP($D19,'Modelling New'!$D:$D,'Modelling New'!$N:$N)</f>
        <v>87.8</v>
      </c>
      <c r="AS19" s="233">
        <f t="shared" si="8"/>
        <v>0</v>
      </c>
    </row>
    <row r="20" spans="1:45">
      <c r="A20" s="232">
        <f t="shared" si="9"/>
        <v>45857</v>
      </c>
      <c r="B20" s="233">
        <f>YEAR(Daily_KPI[[#This Row],[Date]])+IF(MONTH(Daily_KPI[[#This Row],[Date]])&gt;=4,1,0)</f>
        <v>2026</v>
      </c>
      <c r="C20" s="234">
        <f>YEAR(Daily_KPI[[#This Row],[Date]])</f>
        <v>2025</v>
      </c>
      <c r="D20" s="235">
        <f>Daily_KPI[[#This Row],[Date]]-DAY(Daily_KPI[[#This Row],[Date]])+1</f>
        <v>45839</v>
      </c>
      <c r="E20" s="234">
        <f t="shared" si="5"/>
        <v>31</v>
      </c>
      <c r="F20" s="236">
        <f>IFERROR(_xlfn.XLOOKUP($A20,Input_Raw!$A:$A,Input_Raw!$BM:$BM),"")</f>
        <v>0</v>
      </c>
      <c r="G20" s="237">
        <f>IFERROR(_xlfn.XLOOKUP($A20,Input_Raw!$A:$A,Input_Raw!$AN:$AN),"")</f>
        <v>0</v>
      </c>
      <c r="H20" s="237"/>
      <c r="I20" s="237">
        <f>IFERROR(_xlfn.XLOOKUP($A20,Input_Raw!$A:$A,Input_Raw!$AM:$AM),"")</f>
        <v>0</v>
      </c>
      <c r="J20" s="237"/>
      <c r="K20" s="237">
        <f>IFERROR(_xlfn.XLOOKUP($A20,Input_Raw!$A:$A,Input_Raw!AO:AO),"")</f>
        <v>0</v>
      </c>
      <c r="L20" s="237">
        <f>IFERROR(_xlfn.XLOOKUP($A20,Input_Raw!$A:$A,Input_Raw!AP:AP),"")</f>
        <v>0</v>
      </c>
      <c r="M20" s="237">
        <f>IFERROR(_xlfn.XLOOKUP($A20,Input_Raw!$A:$A,Input_Raw!AS:AS),"")</f>
        <v>0</v>
      </c>
      <c r="N20" s="237">
        <f>IFERROR(_xlfn.XLOOKUP($A20,Input_Raw!$A:$A,Input_Raw!AT:AT),"")</f>
        <v>0</v>
      </c>
      <c r="O20" s="238" t="str">
        <f>IFERROR(1-(SUMIF(Plant_BD!$B:$B,$A20,Plant_BD!$AL:$AL)/($AA20+SUMIF(Plant_BD!$B:$B,$A20,Plant_BD!$AL:$AL))),"")</f>
        <v/>
      </c>
      <c r="P20" s="238"/>
      <c r="Q20" s="239"/>
      <c r="R20" s="238" t="str">
        <f>IFERROR(1-(SUMIF(Grid_BD!$B:$B,$A20,Grid_BD!$V:$V)/($AA20+SUMIF(Grid_BD!$B:$B,$A20,Grid_BD!$V:$V))),"")</f>
        <v/>
      </c>
      <c r="S20" s="234"/>
      <c r="T20" s="239"/>
      <c r="U20" s="240" t="str">
        <f t="shared" si="6"/>
        <v/>
      </c>
      <c r="V20" s="240" t="str">
        <f>IFERROR(_xlfn.XLOOKUP($A20,Input_Raw!$A:$A,Input_Raw!$BS:$BS),"")</f>
        <v/>
      </c>
      <c r="W20" s="241">
        <f t="shared" si="7"/>
        <v>0</v>
      </c>
      <c r="X20" s="233">
        <f>IFERROR(_xlfn.XLOOKUP($A20,Input_Raw!$A:$A,Input_Raw!$AW:$AW),"")</f>
        <v>0</v>
      </c>
      <c r="Y20" s="233">
        <f>IFERROR(_xlfn.XLOOKUP($A20,Input_Raw!$A:$A,Input_Raw!$BN:$BN),"")</f>
        <v>0</v>
      </c>
      <c r="Z20" s="233"/>
      <c r="AA20" s="233">
        <f>IFERROR(_xlfn.XLOOKUP($A20,Input_Raw!$A:$A,Input_Raw!$BO:$BO),"")</f>
        <v>0</v>
      </c>
      <c r="AB20" s="233">
        <f>IFERROR(_xlfn.XLOOKUP($A20,Input_Raw!$A:$A,Input_Raw!$BP:$BP),"")</f>
        <v>0</v>
      </c>
      <c r="AC20" s="242">
        <f>IFERROR(_xlfn.XLOOKUP($D20,'Modelling New'!$D:$D,'Modelling New'!P:P),"")</f>
        <v>3.7225806451612904</v>
      </c>
      <c r="AD20" s="233">
        <f>IFERROR(_xlfn.XLOOKUP($D20,'Modelling New'!$D:$D,'Modelling New'!T:T)*1000,"")</f>
        <v>199162.56403298778</v>
      </c>
      <c r="AE20" s="243">
        <f>IFERROR(_xlfn.XLOOKUP($D20,'Modelling New'!$D:$D,'Modelling New'!$O:$O),"")</f>
        <v>0.60935317436258363</v>
      </c>
      <c r="AF20" s="243">
        <f>IFERROR(_xlfn.XLOOKUP($D20,'Modelling New'!$D:$D,'Modelling New'!$W:$W),"")</f>
        <v>9.4515263872906125E-2</v>
      </c>
      <c r="AG20" s="243">
        <f>IFERROR(_xlfn.XLOOKUP($D20,'Modelling New'!$D:$D,'Modelling New'!$AE:$AE),"")</f>
        <v>0.995</v>
      </c>
      <c r="AH20" s="243">
        <f>IFERROR(_xlfn.XLOOKUP($D20,'Modelling New'!$D:$D,'Modelling New'!$AF:$AF),"")</f>
        <v>0.995</v>
      </c>
      <c r="AI20" s="234"/>
      <c r="AJ20" s="234"/>
      <c r="AK20" s="234"/>
      <c r="AL20" s="234"/>
      <c r="AM20" s="234"/>
      <c r="AN20" s="244"/>
      <c r="AO20" s="241"/>
      <c r="AP20" s="241"/>
      <c r="AQ20" s="241"/>
      <c r="AR20" s="233">
        <f>_xlfn.XLOOKUP($D20,'Modelling New'!$D:$D,'Modelling New'!$N:$N)</f>
        <v>87.8</v>
      </c>
      <c r="AS20" s="233">
        <f t="shared" si="8"/>
        <v>0</v>
      </c>
    </row>
    <row r="21" spans="1:45">
      <c r="A21" s="232">
        <f t="shared" si="9"/>
        <v>45858</v>
      </c>
      <c r="B21" s="233">
        <f>YEAR(Daily_KPI[[#This Row],[Date]])+IF(MONTH(Daily_KPI[[#This Row],[Date]])&gt;=4,1,0)</f>
        <v>2026</v>
      </c>
      <c r="C21" s="234">
        <f>YEAR(Daily_KPI[[#This Row],[Date]])</f>
        <v>2025</v>
      </c>
      <c r="D21" s="235">
        <f>Daily_KPI[[#This Row],[Date]]-DAY(Daily_KPI[[#This Row],[Date]])+1</f>
        <v>45839</v>
      </c>
      <c r="E21" s="234">
        <f t="shared" si="5"/>
        <v>31</v>
      </c>
      <c r="F21" s="236">
        <f>IFERROR(_xlfn.XLOOKUP($A21,Input_Raw!$A:$A,Input_Raw!$BM:$BM),"")</f>
        <v>0</v>
      </c>
      <c r="G21" s="237">
        <f>IFERROR(_xlfn.XLOOKUP($A21,Input_Raw!$A:$A,Input_Raw!$AN:$AN),"")</f>
        <v>0</v>
      </c>
      <c r="H21" s="237"/>
      <c r="I21" s="237">
        <f>IFERROR(_xlfn.XLOOKUP($A21,Input_Raw!$A:$A,Input_Raw!$AM:$AM),"")</f>
        <v>0</v>
      </c>
      <c r="J21" s="237"/>
      <c r="K21" s="237">
        <f>IFERROR(_xlfn.XLOOKUP($A21,Input_Raw!$A:$A,Input_Raw!AO:AO),"")</f>
        <v>0</v>
      </c>
      <c r="L21" s="237">
        <f>IFERROR(_xlfn.XLOOKUP($A21,Input_Raw!$A:$A,Input_Raw!AP:AP),"")</f>
        <v>0</v>
      </c>
      <c r="M21" s="237">
        <f>IFERROR(_xlfn.XLOOKUP($A21,Input_Raw!$A:$A,Input_Raw!AS:AS),"")</f>
        <v>0</v>
      </c>
      <c r="N21" s="237">
        <f>IFERROR(_xlfn.XLOOKUP($A21,Input_Raw!$A:$A,Input_Raw!AT:AT),"")</f>
        <v>0</v>
      </c>
      <c r="O21" s="238" t="str">
        <f>IFERROR(1-(SUMIF(Plant_BD!$B:$B,$A21,Plant_BD!$AL:$AL)/($AA21+SUMIF(Plant_BD!$B:$B,$A21,Plant_BD!$AL:$AL))),"")</f>
        <v/>
      </c>
      <c r="P21" s="238"/>
      <c r="Q21" s="239"/>
      <c r="R21" s="238" t="str">
        <f>IFERROR(1-(SUMIF(Grid_BD!$B:$B,$A21,Grid_BD!$V:$V)/($AA21+SUMIF(Grid_BD!$B:$B,$A21,Grid_BD!$V:$V))),"")</f>
        <v/>
      </c>
      <c r="S21" s="234"/>
      <c r="T21" s="239"/>
      <c r="U21" s="240" t="str">
        <f t="shared" si="6"/>
        <v/>
      </c>
      <c r="V21" s="240" t="str">
        <f>IFERROR(_xlfn.XLOOKUP($A21,Input_Raw!$A:$A,Input_Raw!$BS:$BS),"")</f>
        <v/>
      </c>
      <c r="W21" s="241">
        <f t="shared" si="7"/>
        <v>0</v>
      </c>
      <c r="X21" s="233">
        <f>IFERROR(_xlfn.XLOOKUP($A21,Input_Raw!$A:$A,Input_Raw!$AW:$AW),"")</f>
        <v>0</v>
      </c>
      <c r="Y21" s="233">
        <f>IFERROR(_xlfn.XLOOKUP($A21,Input_Raw!$A:$A,Input_Raw!$BN:$BN),"")</f>
        <v>0</v>
      </c>
      <c r="Z21" s="233"/>
      <c r="AA21" s="233">
        <f>IFERROR(_xlfn.XLOOKUP($A21,Input_Raw!$A:$A,Input_Raw!$BO:$BO),"")</f>
        <v>0</v>
      </c>
      <c r="AB21" s="233">
        <f>IFERROR(_xlfn.XLOOKUP($A21,Input_Raw!$A:$A,Input_Raw!$BP:$BP),"")</f>
        <v>0</v>
      </c>
      <c r="AC21" s="242">
        <f>IFERROR(_xlfn.XLOOKUP($D21,'Modelling New'!$D:$D,'Modelling New'!P:P),"")</f>
        <v>3.7225806451612904</v>
      </c>
      <c r="AD21" s="233">
        <f>IFERROR(_xlfn.XLOOKUP($D21,'Modelling New'!$D:$D,'Modelling New'!T:T)*1000,"")</f>
        <v>199162.56403298778</v>
      </c>
      <c r="AE21" s="243">
        <f>IFERROR(_xlfn.XLOOKUP($D21,'Modelling New'!$D:$D,'Modelling New'!$O:$O),"")</f>
        <v>0.60935317436258363</v>
      </c>
      <c r="AF21" s="243">
        <f>IFERROR(_xlfn.XLOOKUP($D21,'Modelling New'!$D:$D,'Modelling New'!$W:$W),"")</f>
        <v>9.4515263872906125E-2</v>
      </c>
      <c r="AG21" s="243">
        <f>IFERROR(_xlfn.XLOOKUP($D21,'Modelling New'!$D:$D,'Modelling New'!$AE:$AE),"")</f>
        <v>0.995</v>
      </c>
      <c r="AH21" s="243">
        <f>IFERROR(_xlfn.XLOOKUP($D21,'Modelling New'!$D:$D,'Modelling New'!$AF:$AF),"")</f>
        <v>0.995</v>
      </c>
      <c r="AI21" s="234"/>
      <c r="AJ21" s="234"/>
      <c r="AK21" s="234"/>
      <c r="AL21" s="234"/>
      <c r="AM21" s="234"/>
      <c r="AN21" s="244"/>
      <c r="AO21" s="241"/>
      <c r="AP21" s="241"/>
      <c r="AQ21" s="241"/>
      <c r="AR21" s="233">
        <f>_xlfn.XLOOKUP($D21,'Modelling New'!$D:$D,'Modelling New'!$N:$N)</f>
        <v>87.8</v>
      </c>
      <c r="AS21" s="233">
        <f t="shared" si="8"/>
        <v>0</v>
      </c>
    </row>
    <row r="22" spans="1:45">
      <c r="A22" s="232">
        <f t="shared" si="9"/>
        <v>45859</v>
      </c>
      <c r="B22" s="233">
        <f>YEAR(Daily_KPI[[#This Row],[Date]])+IF(MONTH(Daily_KPI[[#This Row],[Date]])&gt;=4,1,0)</f>
        <v>2026</v>
      </c>
      <c r="C22" s="234">
        <f>YEAR(Daily_KPI[[#This Row],[Date]])</f>
        <v>2025</v>
      </c>
      <c r="D22" s="235">
        <f>Daily_KPI[[#This Row],[Date]]-DAY(Daily_KPI[[#This Row],[Date]])+1</f>
        <v>45839</v>
      </c>
      <c r="E22" s="234">
        <f t="shared" si="5"/>
        <v>31</v>
      </c>
      <c r="F22" s="236">
        <f>IFERROR(_xlfn.XLOOKUP($A22,Input_Raw!$A:$A,Input_Raw!$BM:$BM),"")</f>
        <v>0</v>
      </c>
      <c r="G22" s="237">
        <f>IFERROR(_xlfn.XLOOKUP($A22,Input_Raw!$A:$A,Input_Raw!$AN:$AN),"")</f>
        <v>0</v>
      </c>
      <c r="H22" s="237"/>
      <c r="I22" s="237">
        <f>IFERROR(_xlfn.XLOOKUP($A22,Input_Raw!$A:$A,Input_Raw!$AM:$AM),"")</f>
        <v>0</v>
      </c>
      <c r="J22" s="237"/>
      <c r="K22" s="237">
        <f>IFERROR(_xlfn.XLOOKUP($A22,Input_Raw!$A:$A,Input_Raw!AO:AO),"")</f>
        <v>0</v>
      </c>
      <c r="L22" s="237">
        <f>IFERROR(_xlfn.XLOOKUP($A22,Input_Raw!$A:$A,Input_Raw!AP:AP),"")</f>
        <v>0</v>
      </c>
      <c r="M22" s="237">
        <f>IFERROR(_xlfn.XLOOKUP($A22,Input_Raw!$A:$A,Input_Raw!AS:AS),"")</f>
        <v>0</v>
      </c>
      <c r="N22" s="237">
        <f>IFERROR(_xlfn.XLOOKUP($A22,Input_Raw!$A:$A,Input_Raw!AT:AT),"")</f>
        <v>0</v>
      </c>
      <c r="O22" s="238" t="str">
        <f>IFERROR(1-(SUMIF(Plant_BD!$B:$B,$A22,Plant_BD!$AL:$AL)/($AA22+SUMIF(Plant_BD!$B:$B,$A22,Plant_BD!$AL:$AL))),"")</f>
        <v/>
      </c>
      <c r="P22" s="238"/>
      <c r="Q22" s="239"/>
      <c r="R22" s="238" t="str">
        <f>IFERROR(1-(SUMIF(Grid_BD!$B:$B,$A22,Grid_BD!$V:$V)/($AA22+SUMIF(Grid_BD!$B:$B,$A22,Grid_BD!$V:$V))),"")</f>
        <v/>
      </c>
      <c r="S22" s="234"/>
      <c r="T22" s="239"/>
      <c r="U22" s="240" t="str">
        <f t="shared" si="6"/>
        <v/>
      </c>
      <c r="V22" s="240" t="str">
        <f>IFERROR(_xlfn.XLOOKUP($A22,Input_Raw!$A:$A,Input_Raw!$BS:$BS),"")</f>
        <v/>
      </c>
      <c r="W22" s="241">
        <f t="shared" si="7"/>
        <v>0</v>
      </c>
      <c r="X22" s="233">
        <f>IFERROR(_xlfn.XLOOKUP($A22,Input_Raw!$A:$A,Input_Raw!$AW:$AW),"")</f>
        <v>0</v>
      </c>
      <c r="Y22" s="233">
        <f>IFERROR(_xlfn.XLOOKUP($A22,Input_Raw!$A:$A,Input_Raw!$BN:$BN),"")</f>
        <v>0</v>
      </c>
      <c r="Z22" s="233"/>
      <c r="AA22" s="233">
        <f>IFERROR(_xlfn.XLOOKUP($A22,Input_Raw!$A:$A,Input_Raw!$BO:$BO),"")</f>
        <v>0</v>
      </c>
      <c r="AB22" s="233">
        <f>IFERROR(_xlfn.XLOOKUP($A22,Input_Raw!$A:$A,Input_Raw!$BP:$BP),"")</f>
        <v>0</v>
      </c>
      <c r="AC22" s="242">
        <f>IFERROR(_xlfn.XLOOKUP($D22,'Modelling New'!$D:$D,'Modelling New'!P:P),"")</f>
        <v>3.7225806451612904</v>
      </c>
      <c r="AD22" s="233">
        <f>IFERROR(_xlfn.XLOOKUP($D22,'Modelling New'!$D:$D,'Modelling New'!T:T)*1000,"")</f>
        <v>199162.56403298778</v>
      </c>
      <c r="AE22" s="243">
        <f>IFERROR(_xlfn.XLOOKUP($D22,'Modelling New'!$D:$D,'Modelling New'!$O:$O),"")</f>
        <v>0.60935317436258363</v>
      </c>
      <c r="AF22" s="243">
        <f>IFERROR(_xlfn.XLOOKUP($D22,'Modelling New'!$D:$D,'Modelling New'!$W:$W),"")</f>
        <v>9.4515263872906125E-2</v>
      </c>
      <c r="AG22" s="243">
        <f>IFERROR(_xlfn.XLOOKUP($D22,'Modelling New'!$D:$D,'Modelling New'!$AE:$AE),"")</f>
        <v>0.995</v>
      </c>
      <c r="AH22" s="243">
        <f>IFERROR(_xlfn.XLOOKUP($D22,'Modelling New'!$D:$D,'Modelling New'!$AF:$AF),"")</f>
        <v>0.995</v>
      </c>
      <c r="AI22" s="234"/>
      <c r="AJ22" s="234"/>
      <c r="AK22" s="234"/>
      <c r="AL22" s="234"/>
      <c r="AM22" s="234"/>
      <c r="AN22" s="244"/>
      <c r="AO22" s="241"/>
      <c r="AP22" s="241"/>
      <c r="AQ22" s="241"/>
      <c r="AR22" s="233">
        <f>_xlfn.XLOOKUP($D22,'Modelling New'!$D:$D,'Modelling New'!$N:$N)</f>
        <v>87.8</v>
      </c>
      <c r="AS22" s="233">
        <f t="shared" si="8"/>
        <v>0</v>
      </c>
    </row>
    <row r="23" spans="1:45">
      <c r="A23" s="232">
        <f t="shared" si="9"/>
        <v>45860</v>
      </c>
      <c r="B23" s="233">
        <f>YEAR(Daily_KPI[[#This Row],[Date]])+IF(MONTH(Daily_KPI[[#This Row],[Date]])&gt;=4,1,0)</f>
        <v>2026</v>
      </c>
      <c r="C23" s="234">
        <f>YEAR(Daily_KPI[[#This Row],[Date]])</f>
        <v>2025</v>
      </c>
      <c r="D23" s="235">
        <f>Daily_KPI[[#This Row],[Date]]-DAY(Daily_KPI[[#This Row],[Date]])+1</f>
        <v>45839</v>
      </c>
      <c r="E23" s="234">
        <f t="shared" si="5"/>
        <v>31</v>
      </c>
      <c r="F23" s="236">
        <f>IFERROR(_xlfn.XLOOKUP($A23,Input_Raw!$A:$A,Input_Raw!$BM:$BM),"")</f>
        <v>0</v>
      </c>
      <c r="G23" s="237">
        <f>IFERROR(_xlfn.XLOOKUP($A23,Input_Raw!$A:$A,Input_Raw!$AN:$AN),"")</f>
        <v>0</v>
      </c>
      <c r="H23" s="237"/>
      <c r="I23" s="237">
        <f>IFERROR(_xlfn.XLOOKUP($A23,Input_Raw!$A:$A,Input_Raw!$AM:$AM),"")</f>
        <v>0</v>
      </c>
      <c r="J23" s="237"/>
      <c r="K23" s="237">
        <f>IFERROR(_xlfn.XLOOKUP($A23,Input_Raw!$A:$A,Input_Raw!AO:AO),"")</f>
        <v>0</v>
      </c>
      <c r="L23" s="237">
        <f>IFERROR(_xlfn.XLOOKUP($A23,Input_Raw!$A:$A,Input_Raw!AP:AP),"")</f>
        <v>0</v>
      </c>
      <c r="M23" s="237">
        <f>IFERROR(_xlfn.XLOOKUP($A23,Input_Raw!$A:$A,Input_Raw!AS:AS),"")</f>
        <v>0</v>
      </c>
      <c r="N23" s="237">
        <f>IFERROR(_xlfn.XLOOKUP($A23,Input_Raw!$A:$A,Input_Raw!AT:AT),"")</f>
        <v>0</v>
      </c>
      <c r="O23" s="238" t="str">
        <f>IFERROR(1-(SUMIF(Plant_BD!$B:$B,$A23,Plant_BD!$AL:$AL)/($AA23+SUMIF(Plant_BD!$B:$B,$A23,Plant_BD!$AL:$AL))),"")</f>
        <v/>
      </c>
      <c r="P23" s="238"/>
      <c r="Q23" s="239"/>
      <c r="R23" s="238" t="str">
        <f>IFERROR(1-(SUMIF(Grid_BD!$B:$B,$A23,Grid_BD!$V:$V)/($AA23+SUMIF(Grid_BD!$B:$B,$A23,Grid_BD!$V:$V))),"")</f>
        <v/>
      </c>
      <c r="S23" s="234"/>
      <c r="T23" s="239"/>
      <c r="U23" s="240" t="str">
        <f t="shared" si="6"/>
        <v/>
      </c>
      <c r="V23" s="240" t="str">
        <f>IFERROR(_xlfn.XLOOKUP($A23,Input_Raw!$A:$A,Input_Raw!$BS:$BS),"")</f>
        <v/>
      </c>
      <c r="W23" s="241">
        <f t="shared" si="7"/>
        <v>0</v>
      </c>
      <c r="X23" s="233">
        <f>IFERROR(_xlfn.XLOOKUP($A23,Input_Raw!$A:$A,Input_Raw!$AW:$AW),"")</f>
        <v>0</v>
      </c>
      <c r="Y23" s="233">
        <f>IFERROR(_xlfn.XLOOKUP($A23,Input_Raw!$A:$A,Input_Raw!$BN:$BN),"")</f>
        <v>0</v>
      </c>
      <c r="Z23" s="233"/>
      <c r="AA23" s="233">
        <f>IFERROR(_xlfn.XLOOKUP($A23,Input_Raw!$A:$A,Input_Raw!$BO:$BO),"")</f>
        <v>0</v>
      </c>
      <c r="AB23" s="233">
        <f>IFERROR(_xlfn.XLOOKUP($A23,Input_Raw!$A:$A,Input_Raw!$BP:$BP),"")</f>
        <v>0</v>
      </c>
      <c r="AC23" s="242">
        <f>IFERROR(_xlfn.XLOOKUP($D23,'Modelling New'!$D:$D,'Modelling New'!P:P),"")</f>
        <v>3.7225806451612904</v>
      </c>
      <c r="AD23" s="233">
        <f>IFERROR(_xlfn.XLOOKUP($D23,'Modelling New'!$D:$D,'Modelling New'!T:T)*1000,"")</f>
        <v>199162.56403298778</v>
      </c>
      <c r="AE23" s="243">
        <f>IFERROR(_xlfn.XLOOKUP($D23,'Modelling New'!$D:$D,'Modelling New'!$O:$O),"")</f>
        <v>0.60935317436258363</v>
      </c>
      <c r="AF23" s="243">
        <f>IFERROR(_xlfn.XLOOKUP($D23,'Modelling New'!$D:$D,'Modelling New'!$W:$W),"")</f>
        <v>9.4515263872906125E-2</v>
      </c>
      <c r="AG23" s="243">
        <f>IFERROR(_xlfn.XLOOKUP($D23,'Modelling New'!$D:$D,'Modelling New'!$AE:$AE),"")</f>
        <v>0.995</v>
      </c>
      <c r="AH23" s="243">
        <f>IFERROR(_xlfn.XLOOKUP($D23,'Modelling New'!$D:$D,'Modelling New'!$AF:$AF),"")</f>
        <v>0.995</v>
      </c>
      <c r="AI23" s="234"/>
      <c r="AJ23" s="234"/>
      <c r="AK23" s="234"/>
      <c r="AL23" s="234"/>
      <c r="AM23" s="234"/>
      <c r="AN23" s="244"/>
      <c r="AO23" s="241"/>
      <c r="AP23" s="241"/>
      <c r="AQ23" s="241"/>
      <c r="AR23" s="233">
        <f>_xlfn.XLOOKUP($D23,'Modelling New'!$D:$D,'Modelling New'!$N:$N)</f>
        <v>87.8</v>
      </c>
      <c r="AS23" s="233">
        <f t="shared" si="8"/>
        <v>0</v>
      </c>
    </row>
    <row r="24" spans="1:45">
      <c r="A24" s="232">
        <f t="shared" si="9"/>
        <v>45861</v>
      </c>
      <c r="B24" s="233">
        <f>YEAR(Daily_KPI[[#This Row],[Date]])+IF(MONTH(Daily_KPI[[#This Row],[Date]])&gt;=4,1,0)</f>
        <v>2026</v>
      </c>
      <c r="C24" s="234">
        <f>YEAR(Daily_KPI[[#This Row],[Date]])</f>
        <v>2025</v>
      </c>
      <c r="D24" s="235">
        <f>Daily_KPI[[#This Row],[Date]]-DAY(Daily_KPI[[#This Row],[Date]])+1</f>
        <v>45839</v>
      </c>
      <c r="E24" s="234">
        <f t="shared" si="5"/>
        <v>31</v>
      </c>
      <c r="F24" s="236">
        <f>IFERROR(_xlfn.XLOOKUP($A24,Input_Raw!$A:$A,Input_Raw!$BM:$BM),"")</f>
        <v>0</v>
      </c>
      <c r="G24" s="237">
        <f>IFERROR(_xlfn.XLOOKUP($A24,Input_Raw!$A:$A,Input_Raw!$AN:$AN),"")</f>
        <v>0</v>
      </c>
      <c r="H24" s="237"/>
      <c r="I24" s="237">
        <f>IFERROR(_xlfn.XLOOKUP($A24,Input_Raw!$A:$A,Input_Raw!$AM:$AM),"")</f>
        <v>0</v>
      </c>
      <c r="J24" s="237"/>
      <c r="K24" s="237">
        <f>IFERROR(_xlfn.XLOOKUP($A24,Input_Raw!$A:$A,Input_Raw!AO:AO),"")</f>
        <v>0</v>
      </c>
      <c r="L24" s="237">
        <f>IFERROR(_xlfn.XLOOKUP($A24,Input_Raw!$A:$A,Input_Raw!AP:AP),"")</f>
        <v>0</v>
      </c>
      <c r="M24" s="237">
        <f>IFERROR(_xlfn.XLOOKUP($A24,Input_Raw!$A:$A,Input_Raw!AS:AS),"")</f>
        <v>0</v>
      </c>
      <c r="N24" s="237">
        <f>IFERROR(_xlfn.XLOOKUP($A24,Input_Raw!$A:$A,Input_Raw!AT:AT),"")</f>
        <v>0</v>
      </c>
      <c r="O24" s="238" t="str">
        <f>IFERROR(1-(SUMIF(Plant_BD!$B:$B,$A24,Plant_BD!$AL:$AL)/($AA24+SUMIF(Plant_BD!$B:$B,$A24,Plant_BD!$AL:$AL))),"")</f>
        <v/>
      </c>
      <c r="P24" s="238"/>
      <c r="Q24" s="239"/>
      <c r="R24" s="238" t="str">
        <f>IFERROR(1-(SUMIF(Grid_BD!$B:$B,$A24,Grid_BD!$V:$V)/($AA24+SUMIF(Grid_BD!$B:$B,$A24,Grid_BD!$V:$V))),"")</f>
        <v/>
      </c>
      <c r="S24" s="234"/>
      <c r="T24" s="239"/>
      <c r="U24" s="240" t="str">
        <f t="shared" si="6"/>
        <v/>
      </c>
      <c r="V24" s="240" t="str">
        <f>IFERROR(_xlfn.XLOOKUP($A24,Input_Raw!$A:$A,Input_Raw!$BS:$BS),"")</f>
        <v/>
      </c>
      <c r="W24" s="241">
        <f t="shared" si="7"/>
        <v>0</v>
      </c>
      <c r="X24" s="233">
        <f>IFERROR(_xlfn.XLOOKUP($A24,Input_Raw!$A:$A,Input_Raw!$AW:$AW),"")</f>
        <v>0</v>
      </c>
      <c r="Y24" s="233">
        <f>IFERROR(_xlfn.XLOOKUP($A24,Input_Raw!$A:$A,Input_Raw!$BN:$BN),"")</f>
        <v>0</v>
      </c>
      <c r="Z24" s="233"/>
      <c r="AA24" s="233">
        <f>IFERROR(_xlfn.XLOOKUP($A24,Input_Raw!$A:$A,Input_Raw!$BO:$BO),"")</f>
        <v>0</v>
      </c>
      <c r="AB24" s="233">
        <f>IFERROR(_xlfn.XLOOKUP($A24,Input_Raw!$A:$A,Input_Raw!$BP:$BP),"")</f>
        <v>0</v>
      </c>
      <c r="AC24" s="242">
        <f>IFERROR(_xlfn.XLOOKUP($D24,'Modelling New'!$D:$D,'Modelling New'!P:P),"")</f>
        <v>3.7225806451612904</v>
      </c>
      <c r="AD24" s="233">
        <f>IFERROR(_xlfn.XLOOKUP($D24,'Modelling New'!$D:$D,'Modelling New'!T:T)*1000,"")</f>
        <v>199162.56403298778</v>
      </c>
      <c r="AE24" s="243">
        <f>IFERROR(_xlfn.XLOOKUP($D24,'Modelling New'!$D:$D,'Modelling New'!$O:$O),"")</f>
        <v>0.60935317436258363</v>
      </c>
      <c r="AF24" s="243">
        <f>IFERROR(_xlfn.XLOOKUP($D24,'Modelling New'!$D:$D,'Modelling New'!$W:$W),"")</f>
        <v>9.4515263872906125E-2</v>
      </c>
      <c r="AG24" s="243">
        <f>IFERROR(_xlfn.XLOOKUP($D24,'Modelling New'!$D:$D,'Modelling New'!$AE:$AE),"")</f>
        <v>0.995</v>
      </c>
      <c r="AH24" s="243">
        <f>IFERROR(_xlfn.XLOOKUP($D24,'Modelling New'!$D:$D,'Modelling New'!$AF:$AF),"")</f>
        <v>0.995</v>
      </c>
      <c r="AI24" s="234"/>
      <c r="AJ24" s="234"/>
      <c r="AK24" s="234"/>
      <c r="AL24" s="234"/>
      <c r="AM24" s="234"/>
      <c r="AN24" s="244"/>
      <c r="AO24" s="241"/>
      <c r="AP24" s="241"/>
      <c r="AQ24" s="241"/>
      <c r="AR24" s="233">
        <f>_xlfn.XLOOKUP($D24,'Modelling New'!$D:$D,'Modelling New'!$N:$N)</f>
        <v>87.8</v>
      </c>
      <c r="AS24" s="233">
        <f t="shared" si="8"/>
        <v>0</v>
      </c>
    </row>
    <row r="25" spans="1:45">
      <c r="A25" s="232">
        <f t="shared" si="9"/>
        <v>45862</v>
      </c>
      <c r="B25" s="233">
        <f>YEAR(Daily_KPI[[#This Row],[Date]])+IF(MONTH(Daily_KPI[[#This Row],[Date]])&gt;=4,1,0)</f>
        <v>2026</v>
      </c>
      <c r="C25" s="234">
        <f>YEAR(Daily_KPI[[#This Row],[Date]])</f>
        <v>2025</v>
      </c>
      <c r="D25" s="235">
        <f>Daily_KPI[[#This Row],[Date]]-DAY(Daily_KPI[[#This Row],[Date]])+1</f>
        <v>45839</v>
      </c>
      <c r="E25" s="234">
        <f t="shared" si="5"/>
        <v>31</v>
      </c>
      <c r="F25" s="236">
        <f>IFERROR(_xlfn.XLOOKUP($A25,Input_Raw!$A:$A,Input_Raw!$BM:$BM),"")</f>
        <v>0</v>
      </c>
      <c r="G25" s="237">
        <f>IFERROR(_xlfn.XLOOKUP($A25,Input_Raw!$A:$A,Input_Raw!$AN:$AN),"")</f>
        <v>0</v>
      </c>
      <c r="H25" s="237"/>
      <c r="I25" s="237">
        <f>IFERROR(_xlfn.XLOOKUP($A25,Input_Raw!$A:$A,Input_Raw!$AM:$AM),"")</f>
        <v>0</v>
      </c>
      <c r="J25" s="237"/>
      <c r="K25" s="237">
        <f>IFERROR(_xlfn.XLOOKUP($A25,Input_Raw!$A:$A,Input_Raw!AO:AO),"")</f>
        <v>0</v>
      </c>
      <c r="L25" s="237">
        <f>IFERROR(_xlfn.XLOOKUP($A25,Input_Raw!$A:$A,Input_Raw!AP:AP),"")</f>
        <v>0</v>
      </c>
      <c r="M25" s="237">
        <f>IFERROR(_xlfn.XLOOKUP($A25,Input_Raw!$A:$A,Input_Raw!AS:AS),"")</f>
        <v>0</v>
      </c>
      <c r="N25" s="237">
        <f>IFERROR(_xlfn.XLOOKUP($A25,Input_Raw!$A:$A,Input_Raw!AT:AT),"")</f>
        <v>0</v>
      </c>
      <c r="O25" s="238" t="str">
        <f>IFERROR(1-(SUMIF(Plant_BD!$B:$B,$A25,Plant_BD!$AL:$AL)/($AA25+SUMIF(Plant_BD!$B:$B,$A25,Plant_BD!$AL:$AL))),"")</f>
        <v/>
      </c>
      <c r="P25" s="238"/>
      <c r="Q25" s="239"/>
      <c r="R25" s="238" t="str">
        <f>IFERROR(1-(SUMIF(Grid_BD!$B:$B,$A25,Grid_BD!$V:$V)/($AA25+SUMIF(Grid_BD!$B:$B,$A25,Grid_BD!$V:$V))),"")</f>
        <v/>
      </c>
      <c r="S25" s="234"/>
      <c r="T25" s="239"/>
      <c r="U25" s="240" t="str">
        <f t="shared" si="6"/>
        <v/>
      </c>
      <c r="V25" s="240" t="str">
        <f>IFERROR(_xlfn.XLOOKUP($A25,Input_Raw!$A:$A,Input_Raw!$BS:$BS),"")</f>
        <v/>
      </c>
      <c r="W25" s="241">
        <f t="shared" si="7"/>
        <v>0</v>
      </c>
      <c r="X25" s="233">
        <f>IFERROR(_xlfn.XLOOKUP($A25,Input_Raw!$A:$A,Input_Raw!$AW:$AW),"")</f>
        <v>0</v>
      </c>
      <c r="Y25" s="233">
        <f>IFERROR(_xlfn.XLOOKUP($A25,Input_Raw!$A:$A,Input_Raw!$BN:$BN),"")</f>
        <v>0</v>
      </c>
      <c r="Z25" s="233"/>
      <c r="AA25" s="233">
        <f>IFERROR(_xlfn.XLOOKUP($A25,Input_Raw!$A:$A,Input_Raw!$BO:$BO),"")</f>
        <v>0</v>
      </c>
      <c r="AB25" s="233">
        <f>IFERROR(_xlfn.XLOOKUP($A25,Input_Raw!$A:$A,Input_Raw!$BP:$BP),"")</f>
        <v>0</v>
      </c>
      <c r="AC25" s="242">
        <f>IFERROR(_xlfn.XLOOKUP($D25,'Modelling New'!$D:$D,'Modelling New'!P:P),"")</f>
        <v>3.7225806451612904</v>
      </c>
      <c r="AD25" s="233">
        <f>IFERROR(_xlfn.XLOOKUP($D25,'Modelling New'!$D:$D,'Modelling New'!T:T)*1000,"")</f>
        <v>199162.56403298778</v>
      </c>
      <c r="AE25" s="243">
        <f>IFERROR(_xlfn.XLOOKUP($D25,'Modelling New'!$D:$D,'Modelling New'!$O:$O),"")</f>
        <v>0.60935317436258363</v>
      </c>
      <c r="AF25" s="243">
        <f>IFERROR(_xlfn.XLOOKUP($D25,'Modelling New'!$D:$D,'Modelling New'!$W:$W),"")</f>
        <v>9.4515263872906125E-2</v>
      </c>
      <c r="AG25" s="243">
        <f>IFERROR(_xlfn.XLOOKUP($D25,'Modelling New'!$D:$D,'Modelling New'!$AE:$AE),"")</f>
        <v>0.995</v>
      </c>
      <c r="AH25" s="243">
        <f>IFERROR(_xlfn.XLOOKUP($D25,'Modelling New'!$D:$D,'Modelling New'!$AF:$AF),"")</f>
        <v>0.995</v>
      </c>
      <c r="AI25" s="234"/>
      <c r="AJ25" s="234"/>
      <c r="AK25" s="234"/>
      <c r="AL25" s="234"/>
      <c r="AM25" s="234"/>
      <c r="AN25" s="244"/>
      <c r="AO25" s="241"/>
      <c r="AP25" s="241"/>
      <c r="AQ25" s="241"/>
      <c r="AR25" s="233">
        <f>_xlfn.XLOOKUP($D25,'Modelling New'!$D:$D,'Modelling New'!$N:$N)</f>
        <v>87.8</v>
      </c>
      <c r="AS25" s="233">
        <f t="shared" si="8"/>
        <v>0</v>
      </c>
    </row>
    <row r="26" spans="1:45">
      <c r="A26" s="232">
        <f t="shared" si="9"/>
        <v>45863</v>
      </c>
      <c r="B26" s="233">
        <f>YEAR(Daily_KPI[[#This Row],[Date]])+IF(MONTH(Daily_KPI[[#This Row],[Date]])&gt;=4,1,0)</f>
        <v>2026</v>
      </c>
      <c r="C26" s="234">
        <f>YEAR(Daily_KPI[[#This Row],[Date]])</f>
        <v>2025</v>
      </c>
      <c r="D26" s="235">
        <f>Daily_KPI[[#This Row],[Date]]-DAY(Daily_KPI[[#This Row],[Date]])+1</f>
        <v>45839</v>
      </c>
      <c r="E26" s="234">
        <f t="shared" si="5"/>
        <v>31</v>
      </c>
      <c r="F26" s="236">
        <f>IFERROR(_xlfn.XLOOKUP($A26,Input_Raw!$A:$A,Input_Raw!$BM:$BM),"")</f>
        <v>0</v>
      </c>
      <c r="G26" s="237">
        <f>IFERROR(_xlfn.XLOOKUP($A26,Input_Raw!$A:$A,Input_Raw!$AN:$AN),"")</f>
        <v>0</v>
      </c>
      <c r="H26" s="237"/>
      <c r="I26" s="237">
        <f>IFERROR(_xlfn.XLOOKUP($A26,Input_Raw!$A:$A,Input_Raw!$AM:$AM),"")</f>
        <v>0</v>
      </c>
      <c r="J26" s="237"/>
      <c r="K26" s="237">
        <f>IFERROR(_xlfn.XLOOKUP($A26,Input_Raw!$A:$A,Input_Raw!AO:AO),"")</f>
        <v>0</v>
      </c>
      <c r="L26" s="237">
        <f>IFERROR(_xlfn.XLOOKUP($A26,Input_Raw!$A:$A,Input_Raw!AP:AP),"")</f>
        <v>0</v>
      </c>
      <c r="M26" s="237">
        <f>IFERROR(_xlfn.XLOOKUP($A26,Input_Raw!$A:$A,Input_Raw!AS:AS),"")</f>
        <v>0</v>
      </c>
      <c r="N26" s="237">
        <f>IFERROR(_xlfn.XLOOKUP($A26,Input_Raw!$A:$A,Input_Raw!AT:AT),"")</f>
        <v>0</v>
      </c>
      <c r="O26" s="238" t="str">
        <f>IFERROR(1-(SUMIF(Plant_BD!$B:$B,$A26,Plant_BD!$AL:$AL)/($AA26+SUMIF(Plant_BD!$B:$B,$A26,Plant_BD!$AL:$AL))),"")</f>
        <v/>
      </c>
      <c r="P26" s="238"/>
      <c r="Q26" s="239"/>
      <c r="R26" s="238" t="str">
        <f>IFERROR(1-(SUMIF(Grid_BD!$B:$B,$A26,Grid_BD!$V:$V)/($AA26+SUMIF(Grid_BD!$B:$B,$A26,Grid_BD!$V:$V))),"")</f>
        <v/>
      </c>
      <c r="S26" s="234"/>
      <c r="T26" s="239"/>
      <c r="U26" s="240" t="str">
        <f t="shared" si="6"/>
        <v/>
      </c>
      <c r="V26" s="240" t="str">
        <f>IFERROR(_xlfn.XLOOKUP($A26,Input_Raw!$A:$A,Input_Raw!$BS:$BS),"")</f>
        <v/>
      </c>
      <c r="W26" s="241">
        <f t="shared" si="7"/>
        <v>0</v>
      </c>
      <c r="X26" s="233">
        <f>IFERROR(_xlfn.XLOOKUP($A26,Input_Raw!$A:$A,Input_Raw!$AW:$AW),"")</f>
        <v>0</v>
      </c>
      <c r="Y26" s="233">
        <f>IFERROR(_xlfn.XLOOKUP($A26,Input_Raw!$A:$A,Input_Raw!$BN:$BN),"")</f>
        <v>0</v>
      </c>
      <c r="Z26" s="233"/>
      <c r="AA26" s="233">
        <f>IFERROR(_xlfn.XLOOKUP($A26,Input_Raw!$A:$A,Input_Raw!$BO:$BO),"")</f>
        <v>0</v>
      </c>
      <c r="AB26" s="233">
        <f>IFERROR(_xlfn.XLOOKUP($A26,Input_Raw!$A:$A,Input_Raw!$BP:$BP),"")</f>
        <v>0</v>
      </c>
      <c r="AC26" s="242">
        <f>IFERROR(_xlfn.XLOOKUP($D26,'Modelling New'!$D:$D,'Modelling New'!P:P),"")</f>
        <v>3.7225806451612904</v>
      </c>
      <c r="AD26" s="233">
        <f>IFERROR(_xlfn.XLOOKUP($D26,'Modelling New'!$D:$D,'Modelling New'!T:T)*1000,"")</f>
        <v>199162.56403298778</v>
      </c>
      <c r="AE26" s="243">
        <f>IFERROR(_xlfn.XLOOKUP($D26,'Modelling New'!$D:$D,'Modelling New'!$O:$O),"")</f>
        <v>0.60935317436258363</v>
      </c>
      <c r="AF26" s="243">
        <f>IFERROR(_xlfn.XLOOKUP($D26,'Modelling New'!$D:$D,'Modelling New'!$W:$W),"")</f>
        <v>9.4515263872906125E-2</v>
      </c>
      <c r="AG26" s="243">
        <f>IFERROR(_xlfn.XLOOKUP($D26,'Modelling New'!$D:$D,'Modelling New'!$AE:$AE),"")</f>
        <v>0.995</v>
      </c>
      <c r="AH26" s="243">
        <f>IFERROR(_xlfn.XLOOKUP($D26,'Modelling New'!$D:$D,'Modelling New'!$AF:$AF),"")</f>
        <v>0.995</v>
      </c>
      <c r="AI26" s="234"/>
      <c r="AJ26" s="234"/>
      <c r="AK26" s="234"/>
      <c r="AL26" s="234"/>
      <c r="AM26" s="234"/>
      <c r="AN26" s="244"/>
      <c r="AO26" s="241"/>
      <c r="AP26" s="241"/>
      <c r="AQ26" s="241"/>
      <c r="AR26" s="233">
        <f>_xlfn.XLOOKUP($D26,'Modelling New'!$D:$D,'Modelling New'!$N:$N)</f>
        <v>87.8</v>
      </c>
      <c r="AS26" s="233">
        <f t="shared" si="8"/>
        <v>0</v>
      </c>
    </row>
    <row r="27" spans="1:45">
      <c r="A27" s="232">
        <f t="shared" si="9"/>
        <v>45864</v>
      </c>
      <c r="B27" s="233">
        <f>YEAR(Daily_KPI[[#This Row],[Date]])+IF(MONTH(Daily_KPI[[#This Row],[Date]])&gt;=4,1,0)</f>
        <v>2026</v>
      </c>
      <c r="C27" s="234">
        <f>YEAR(Daily_KPI[[#This Row],[Date]])</f>
        <v>2025</v>
      </c>
      <c r="D27" s="235">
        <f>Daily_KPI[[#This Row],[Date]]-DAY(Daily_KPI[[#This Row],[Date]])+1</f>
        <v>45839</v>
      </c>
      <c r="E27" s="234">
        <f t="shared" si="5"/>
        <v>31</v>
      </c>
      <c r="F27" s="236">
        <f>IFERROR(_xlfn.XLOOKUP($A27,Input_Raw!$A:$A,Input_Raw!$BM:$BM),"")</f>
        <v>0</v>
      </c>
      <c r="G27" s="237">
        <f>IFERROR(_xlfn.XLOOKUP($A27,Input_Raw!$A:$A,Input_Raw!$AN:$AN),"")</f>
        <v>0</v>
      </c>
      <c r="H27" s="237"/>
      <c r="I27" s="237">
        <f>IFERROR(_xlfn.XLOOKUP($A27,Input_Raw!$A:$A,Input_Raw!$AM:$AM),"")</f>
        <v>0</v>
      </c>
      <c r="J27" s="237"/>
      <c r="K27" s="237">
        <f>IFERROR(_xlfn.XLOOKUP($A27,Input_Raw!$A:$A,Input_Raw!AO:AO),"")</f>
        <v>0</v>
      </c>
      <c r="L27" s="237">
        <f>IFERROR(_xlfn.XLOOKUP($A27,Input_Raw!$A:$A,Input_Raw!AP:AP),"")</f>
        <v>0</v>
      </c>
      <c r="M27" s="237">
        <f>IFERROR(_xlfn.XLOOKUP($A27,Input_Raw!$A:$A,Input_Raw!AS:AS),"")</f>
        <v>0</v>
      </c>
      <c r="N27" s="237">
        <f>IFERROR(_xlfn.XLOOKUP($A27,Input_Raw!$A:$A,Input_Raw!AT:AT),"")</f>
        <v>0</v>
      </c>
      <c r="O27" s="238" t="str">
        <f>IFERROR(1-(SUMIF(Plant_BD!$B:$B,$A27,Plant_BD!$AL:$AL)/($AA27+SUMIF(Plant_BD!$B:$B,$A27,Plant_BD!$AL:$AL))),"")</f>
        <v/>
      </c>
      <c r="P27" s="238"/>
      <c r="Q27" s="239"/>
      <c r="R27" s="238" t="str">
        <f>IFERROR(1-(SUMIF(Grid_BD!$B:$B,$A27,Grid_BD!$V:$V)/($AA27+SUMIF(Grid_BD!$B:$B,$A27,Grid_BD!$V:$V))),"")</f>
        <v/>
      </c>
      <c r="S27" s="234"/>
      <c r="T27" s="239"/>
      <c r="U27" s="240" t="str">
        <f t="shared" si="6"/>
        <v/>
      </c>
      <c r="V27" s="240" t="str">
        <f>IFERROR(_xlfn.XLOOKUP($A27,Input_Raw!$A:$A,Input_Raw!$BS:$BS),"")</f>
        <v/>
      </c>
      <c r="W27" s="241">
        <f t="shared" si="7"/>
        <v>0</v>
      </c>
      <c r="X27" s="233">
        <f>IFERROR(_xlfn.XLOOKUP($A27,Input_Raw!$A:$A,Input_Raw!$AW:$AW),"")</f>
        <v>0</v>
      </c>
      <c r="Y27" s="233">
        <f>IFERROR(_xlfn.XLOOKUP($A27,Input_Raw!$A:$A,Input_Raw!$BN:$BN),"")</f>
        <v>0</v>
      </c>
      <c r="Z27" s="233"/>
      <c r="AA27" s="233">
        <f>IFERROR(_xlfn.XLOOKUP($A27,Input_Raw!$A:$A,Input_Raw!$BO:$BO),"")</f>
        <v>0</v>
      </c>
      <c r="AB27" s="233">
        <f>IFERROR(_xlfn.XLOOKUP($A27,Input_Raw!$A:$A,Input_Raw!$BP:$BP),"")</f>
        <v>0</v>
      </c>
      <c r="AC27" s="242">
        <f>IFERROR(_xlfn.XLOOKUP($D27,'Modelling New'!$D:$D,'Modelling New'!P:P),"")</f>
        <v>3.7225806451612904</v>
      </c>
      <c r="AD27" s="233">
        <f>IFERROR(_xlfn.XLOOKUP($D27,'Modelling New'!$D:$D,'Modelling New'!T:T)*1000,"")</f>
        <v>199162.56403298778</v>
      </c>
      <c r="AE27" s="243">
        <f>IFERROR(_xlfn.XLOOKUP($D27,'Modelling New'!$D:$D,'Modelling New'!$O:$O),"")</f>
        <v>0.60935317436258363</v>
      </c>
      <c r="AF27" s="243">
        <f>IFERROR(_xlfn.XLOOKUP($D27,'Modelling New'!$D:$D,'Modelling New'!$W:$W),"")</f>
        <v>9.4515263872906125E-2</v>
      </c>
      <c r="AG27" s="243">
        <f>IFERROR(_xlfn.XLOOKUP($D27,'Modelling New'!$D:$D,'Modelling New'!$AE:$AE),"")</f>
        <v>0.995</v>
      </c>
      <c r="AH27" s="243">
        <f>IFERROR(_xlfn.XLOOKUP($D27,'Modelling New'!$D:$D,'Modelling New'!$AF:$AF),"")</f>
        <v>0.995</v>
      </c>
      <c r="AI27" s="234"/>
      <c r="AJ27" s="234"/>
      <c r="AK27" s="234"/>
      <c r="AL27" s="234"/>
      <c r="AM27" s="234"/>
      <c r="AN27" s="244"/>
      <c r="AO27" s="241"/>
      <c r="AP27" s="241"/>
      <c r="AQ27" s="241"/>
      <c r="AR27" s="233">
        <f>_xlfn.XLOOKUP($D27,'Modelling New'!$D:$D,'Modelling New'!$N:$N)</f>
        <v>87.8</v>
      </c>
      <c r="AS27" s="233">
        <f t="shared" si="8"/>
        <v>0</v>
      </c>
    </row>
    <row r="28" spans="1:45">
      <c r="A28" s="232">
        <f t="shared" si="9"/>
        <v>45865</v>
      </c>
      <c r="B28" s="233">
        <f>YEAR(Daily_KPI[[#This Row],[Date]])+IF(MONTH(Daily_KPI[[#This Row],[Date]])&gt;=4,1,0)</f>
        <v>2026</v>
      </c>
      <c r="C28" s="234">
        <f>YEAR(Daily_KPI[[#This Row],[Date]])</f>
        <v>2025</v>
      </c>
      <c r="D28" s="235">
        <f>Daily_KPI[[#This Row],[Date]]-DAY(Daily_KPI[[#This Row],[Date]])+1</f>
        <v>45839</v>
      </c>
      <c r="E28" s="234">
        <f t="shared" si="5"/>
        <v>31</v>
      </c>
      <c r="F28" s="236">
        <f>IFERROR(_xlfn.XLOOKUP($A28,Input_Raw!$A:$A,Input_Raw!$BM:$BM),"")</f>
        <v>0</v>
      </c>
      <c r="G28" s="237">
        <f>IFERROR(_xlfn.XLOOKUP($A28,Input_Raw!$A:$A,Input_Raw!$AN:$AN),"")</f>
        <v>0</v>
      </c>
      <c r="H28" s="237"/>
      <c r="I28" s="237">
        <f>IFERROR(_xlfn.XLOOKUP($A28,Input_Raw!$A:$A,Input_Raw!$AM:$AM),"")</f>
        <v>0</v>
      </c>
      <c r="J28" s="237"/>
      <c r="K28" s="237">
        <f>IFERROR(_xlfn.XLOOKUP($A28,Input_Raw!$A:$A,Input_Raw!AO:AO),"")</f>
        <v>0</v>
      </c>
      <c r="L28" s="237">
        <f>IFERROR(_xlfn.XLOOKUP($A28,Input_Raw!$A:$A,Input_Raw!AP:AP),"")</f>
        <v>0</v>
      </c>
      <c r="M28" s="237">
        <f>IFERROR(_xlfn.XLOOKUP($A28,Input_Raw!$A:$A,Input_Raw!AS:AS),"")</f>
        <v>0</v>
      </c>
      <c r="N28" s="237">
        <f>IFERROR(_xlfn.XLOOKUP($A28,Input_Raw!$A:$A,Input_Raw!AT:AT),"")</f>
        <v>0</v>
      </c>
      <c r="O28" s="238" t="str">
        <f>IFERROR(1-(SUMIF(Plant_BD!$B:$B,$A28,Plant_BD!$AL:$AL)/($AA28+SUMIF(Plant_BD!$B:$B,$A28,Plant_BD!$AL:$AL))),"")</f>
        <v/>
      </c>
      <c r="P28" s="238"/>
      <c r="Q28" s="239"/>
      <c r="R28" s="238" t="str">
        <f>IFERROR(1-(SUMIF(Grid_BD!$B:$B,$A28,Grid_BD!$V:$V)/($AA28+SUMIF(Grid_BD!$B:$B,$A28,Grid_BD!$V:$V))),"")</f>
        <v/>
      </c>
      <c r="S28" s="234"/>
      <c r="T28" s="239"/>
      <c r="U28" s="240" t="str">
        <f t="shared" si="6"/>
        <v/>
      </c>
      <c r="V28" s="240" t="str">
        <f>IFERROR(_xlfn.XLOOKUP($A28,Input_Raw!$A:$A,Input_Raw!$BS:$BS),"")</f>
        <v/>
      </c>
      <c r="W28" s="241">
        <f t="shared" si="7"/>
        <v>0</v>
      </c>
      <c r="X28" s="233">
        <f>IFERROR(_xlfn.XLOOKUP($A28,Input_Raw!$A:$A,Input_Raw!$AW:$AW),"")</f>
        <v>0</v>
      </c>
      <c r="Y28" s="233">
        <f>IFERROR(_xlfn.XLOOKUP($A28,Input_Raw!$A:$A,Input_Raw!$BN:$BN),"")</f>
        <v>0</v>
      </c>
      <c r="Z28" s="233"/>
      <c r="AA28" s="233">
        <f>IFERROR(_xlfn.XLOOKUP($A28,Input_Raw!$A:$A,Input_Raw!$BO:$BO),"")</f>
        <v>0</v>
      </c>
      <c r="AB28" s="233">
        <f>IFERROR(_xlfn.XLOOKUP($A28,Input_Raw!$A:$A,Input_Raw!$BP:$BP),"")</f>
        <v>0</v>
      </c>
      <c r="AC28" s="242">
        <f>IFERROR(_xlfn.XLOOKUP($D28,'Modelling New'!$D:$D,'Modelling New'!P:P),"")</f>
        <v>3.7225806451612904</v>
      </c>
      <c r="AD28" s="233">
        <f>IFERROR(_xlfn.XLOOKUP($D28,'Modelling New'!$D:$D,'Modelling New'!T:T)*1000,"")</f>
        <v>199162.56403298778</v>
      </c>
      <c r="AE28" s="243">
        <f>IFERROR(_xlfn.XLOOKUP($D28,'Modelling New'!$D:$D,'Modelling New'!$O:$O),"")</f>
        <v>0.60935317436258363</v>
      </c>
      <c r="AF28" s="243">
        <f>IFERROR(_xlfn.XLOOKUP($D28,'Modelling New'!$D:$D,'Modelling New'!$W:$W),"")</f>
        <v>9.4515263872906125E-2</v>
      </c>
      <c r="AG28" s="243">
        <f>IFERROR(_xlfn.XLOOKUP($D28,'Modelling New'!$D:$D,'Modelling New'!$AE:$AE),"")</f>
        <v>0.995</v>
      </c>
      <c r="AH28" s="243">
        <f>IFERROR(_xlfn.XLOOKUP($D28,'Modelling New'!$D:$D,'Modelling New'!$AF:$AF),"")</f>
        <v>0.995</v>
      </c>
      <c r="AI28" s="234"/>
      <c r="AJ28" s="234"/>
      <c r="AK28" s="234"/>
      <c r="AL28" s="234"/>
      <c r="AM28" s="234"/>
      <c r="AN28" s="244"/>
      <c r="AO28" s="241"/>
      <c r="AP28" s="241"/>
      <c r="AQ28" s="241"/>
      <c r="AR28" s="233">
        <f>_xlfn.XLOOKUP($D28,'Modelling New'!$D:$D,'Modelling New'!$N:$N)</f>
        <v>87.8</v>
      </c>
      <c r="AS28" s="233">
        <f t="shared" si="8"/>
        <v>0</v>
      </c>
    </row>
    <row r="29" spans="1:45">
      <c r="A29" s="232">
        <f t="shared" si="9"/>
        <v>45866</v>
      </c>
      <c r="B29" s="233">
        <f>YEAR(Daily_KPI[[#This Row],[Date]])+IF(MONTH(Daily_KPI[[#This Row],[Date]])&gt;=4,1,0)</f>
        <v>2026</v>
      </c>
      <c r="C29" s="234">
        <f>YEAR(Daily_KPI[[#This Row],[Date]])</f>
        <v>2025</v>
      </c>
      <c r="D29" s="235">
        <f>Daily_KPI[[#This Row],[Date]]-DAY(Daily_KPI[[#This Row],[Date]])+1</f>
        <v>45839</v>
      </c>
      <c r="E29" s="234">
        <f t="shared" si="5"/>
        <v>31</v>
      </c>
      <c r="F29" s="236">
        <f>IFERROR(_xlfn.XLOOKUP($A29,Input_Raw!$A:$A,Input_Raw!$BM:$BM),"")</f>
        <v>0</v>
      </c>
      <c r="G29" s="237">
        <f>IFERROR(_xlfn.XLOOKUP($A29,Input_Raw!$A:$A,Input_Raw!$AN:$AN),"")</f>
        <v>0</v>
      </c>
      <c r="H29" s="237"/>
      <c r="I29" s="237">
        <f>IFERROR(_xlfn.XLOOKUP($A29,Input_Raw!$A:$A,Input_Raw!$AM:$AM),"")</f>
        <v>0</v>
      </c>
      <c r="J29" s="237"/>
      <c r="K29" s="237">
        <f>IFERROR(_xlfn.XLOOKUP($A29,Input_Raw!$A:$A,Input_Raw!AO:AO),"")</f>
        <v>0</v>
      </c>
      <c r="L29" s="237">
        <f>IFERROR(_xlfn.XLOOKUP($A29,Input_Raw!$A:$A,Input_Raw!AP:AP),"")</f>
        <v>0</v>
      </c>
      <c r="M29" s="237">
        <f>IFERROR(_xlfn.XLOOKUP($A29,Input_Raw!$A:$A,Input_Raw!AS:AS),"")</f>
        <v>0</v>
      </c>
      <c r="N29" s="237">
        <f>IFERROR(_xlfn.XLOOKUP($A29,Input_Raw!$A:$A,Input_Raw!AT:AT),"")</f>
        <v>0</v>
      </c>
      <c r="O29" s="238" t="str">
        <f>IFERROR(1-(SUMIF(Plant_BD!$B:$B,$A29,Plant_BD!$AL:$AL)/($AA29+SUMIF(Plant_BD!$B:$B,$A29,Plant_BD!$AL:$AL))),"")</f>
        <v/>
      </c>
      <c r="P29" s="238"/>
      <c r="Q29" s="239"/>
      <c r="R29" s="238" t="str">
        <f>IFERROR(1-(SUMIF(Grid_BD!$B:$B,$A29,Grid_BD!$V:$V)/($AA29+SUMIF(Grid_BD!$B:$B,$A29,Grid_BD!$V:$V))),"")</f>
        <v/>
      </c>
      <c r="S29" s="234"/>
      <c r="T29" s="239"/>
      <c r="U29" s="240" t="str">
        <f t="shared" si="6"/>
        <v/>
      </c>
      <c r="V29" s="240" t="str">
        <f>IFERROR(_xlfn.XLOOKUP($A29,Input_Raw!$A:$A,Input_Raw!$BS:$BS),"")</f>
        <v/>
      </c>
      <c r="W29" s="241">
        <f t="shared" si="7"/>
        <v>0</v>
      </c>
      <c r="X29" s="233">
        <f>IFERROR(_xlfn.XLOOKUP($A29,Input_Raw!$A:$A,Input_Raw!$AW:$AW),"")</f>
        <v>0</v>
      </c>
      <c r="Y29" s="233">
        <f>IFERROR(_xlfn.XLOOKUP($A29,Input_Raw!$A:$A,Input_Raw!$BN:$BN),"")</f>
        <v>0</v>
      </c>
      <c r="Z29" s="233"/>
      <c r="AA29" s="233">
        <f>IFERROR(_xlfn.XLOOKUP($A29,Input_Raw!$A:$A,Input_Raw!$BO:$BO),"")</f>
        <v>0</v>
      </c>
      <c r="AB29" s="233">
        <f>IFERROR(_xlfn.XLOOKUP($A29,Input_Raw!$A:$A,Input_Raw!$BP:$BP),"")</f>
        <v>0</v>
      </c>
      <c r="AC29" s="242">
        <f>IFERROR(_xlfn.XLOOKUP($D29,'Modelling New'!$D:$D,'Modelling New'!P:P),"")</f>
        <v>3.7225806451612904</v>
      </c>
      <c r="AD29" s="233">
        <f>IFERROR(_xlfn.XLOOKUP($D29,'Modelling New'!$D:$D,'Modelling New'!T:T)*1000,"")</f>
        <v>199162.56403298778</v>
      </c>
      <c r="AE29" s="243">
        <f>IFERROR(_xlfn.XLOOKUP($D29,'Modelling New'!$D:$D,'Modelling New'!$O:$O),"")</f>
        <v>0.60935317436258363</v>
      </c>
      <c r="AF29" s="243">
        <f>IFERROR(_xlfn.XLOOKUP($D29,'Modelling New'!$D:$D,'Modelling New'!$W:$W),"")</f>
        <v>9.4515263872906125E-2</v>
      </c>
      <c r="AG29" s="243">
        <f>IFERROR(_xlfn.XLOOKUP($D29,'Modelling New'!$D:$D,'Modelling New'!$AE:$AE),"")</f>
        <v>0.995</v>
      </c>
      <c r="AH29" s="243">
        <f>IFERROR(_xlfn.XLOOKUP($D29,'Modelling New'!$D:$D,'Modelling New'!$AF:$AF),"")</f>
        <v>0.995</v>
      </c>
      <c r="AI29" s="234"/>
      <c r="AJ29" s="234"/>
      <c r="AK29" s="234"/>
      <c r="AL29" s="234"/>
      <c r="AM29" s="234"/>
      <c r="AN29" s="244"/>
      <c r="AO29" s="241"/>
      <c r="AP29" s="241"/>
      <c r="AQ29" s="241"/>
      <c r="AR29" s="233">
        <f>_xlfn.XLOOKUP($D29,'Modelling New'!$D:$D,'Modelling New'!$N:$N)</f>
        <v>87.8</v>
      </c>
      <c r="AS29" s="233">
        <f t="shared" si="8"/>
        <v>0</v>
      </c>
    </row>
    <row r="30" spans="1:45">
      <c r="A30" s="232">
        <f t="shared" si="9"/>
        <v>45867</v>
      </c>
      <c r="B30" s="233">
        <f>YEAR(Daily_KPI[[#This Row],[Date]])+IF(MONTH(Daily_KPI[[#This Row],[Date]])&gt;=4,1,0)</f>
        <v>2026</v>
      </c>
      <c r="C30" s="234">
        <f>YEAR(Daily_KPI[[#This Row],[Date]])</f>
        <v>2025</v>
      </c>
      <c r="D30" s="235">
        <f>Daily_KPI[[#This Row],[Date]]-DAY(Daily_KPI[[#This Row],[Date]])+1</f>
        <v>45839</v>
      </c>
      <c r="E30" s="234">
        <f t="shared" si="5"/>
        <v>31</v>
      </c>
      <c r="F30" s="236">
        <f>IFERROR(_xlfn.XLOOKUP($A30,Input_Raw!$A:$A,Input_Raw!$BM:$BM),"")</f>
        <v>0</v>
      </c>
      <c r="G30" s="237">
        <f>IFERROR(_xlfn.XLOOKUP($A30,Input_Raw!$A:$A,Input_Raw!$AN:$AN),"")</f>
        <v>0</v>
      </c>
      <c r="H30" s="237"/>
      <c r="I30" s="237">
        <f>IFERROR(_xlfn.XLOOKUP($A30,Input_Raw!$A:$A,Input_Raw!$AM:$AM),"")</f>
        <v>0</v>
      </c>
      <c r="J30" s="237"/>
      <c r="K30" s="237">
        <f>IFERROR(_xlfn.XLOOKUP($A30,Input_Raw!$A:$A,Input_Raw!AO:AO),"")</f>
        <v>0</v>
      </c>
      <c r="L30" s="237">
        <f>IFERROR(_xlfn.XLOOKUP($A30,Input_Raw!$A:$A,Input_Raw!AP:AP),"")</f>
        <v>0</v>
      </c>
      <c r="M30" s="237">
        <f>IFERROR(_xlfn.XLOOKUP($A30,Input_Raw!$A:$A,Input_Raw!AS:AS),"")</f>
        <v>0</v>
      </c>
      <c r="N30" s="237">
        <f>IFERROR(_xlfn.XLOOKUP($A30,Input_Raw!$A:$A,Input_Raw!AT:AT),"")</f>
        <v>0</v>
      </c>
      <c r="O30" s="238" t="str">
        <f>IFERROR(1-(SUMIF(Plant_BD!$B:$B,$A30,Plant_BD!$AL:$AL)/($AA30+SUMIF(Plant_BD!$B:$B,$A30,Plant_BD!$AL:$AL))),"")</f>
        <v/>
      </c>
      <c r="P30" s="238"/>
      <c r="Q30" s="239"/>
      <c r="R30" s="238" t="str">
        <f>IFERROR(1-(SUMIF(Grid_BD!$B:$B,$A30,Grid_BD!$V:$V)/($AA30+SUMIF(Grid_BD!$B:$B,$A30,Grid_BD!$V:$V))),"")</f>
        <v/>
      </c>
      <c r="S30" s="234"/>
      <c r="T30" s="239"/>
      <c r="U30" s="240" t="str">
        <f t="shared" si="6"/>
        <v/>
      </c>
      <c r="V30" s="240" t="str">
        <f>IFERROR(_xlfn.XLOOKUP($A30,Input_Raw!$A:$A,Input_Raw!$BS:$BS),"")</f>
        <v/>
      </c>
      <c r="W30" s="241">
        <f t="shared" si="7"/>
        <v>0</v>
      </c>
      <c r="X30" s="233">
        <f>IFERROR(_xlfn.XLOOKUP($A30,Input_Raw!$A:$A,Input_Raw!$AW:$AW),"")</f>
        <v>0</v>
      </c>
      <c r="Y30" s="233">
        <f>IFERROR(_xlfn.XLOOKUP($A30,Input_Raw!$A:$A,Input_Raw!$BN:$BN),"")</f>
        <v>0</v>
      </c>
      <c r="Z30" s="233"/>
      <c r="AA30" s="233">
        <f>IFERROR(_xlfn.XLOOKUP($A30,Input_Raw!$A:$A,Input_Raw!$BO:$BO),"")</f>
        <v>0</v>
      </c>
      <c r="AB30" s="233">
        <f>IFERROR(_xlfn.XLOOKUP($A30,Input_Raw!$A:$A,Input_Raw!$BP:$BP),"")</f>
        <v>0</v>
      </c>
      <c r="AC30" s="242">
        <f>IFERROR(_xlfn.XLOOKUP($D30,'Modelling New'!$D:$D,'Modelling New'!P:P),"")</f>
        <v>3.7225806451612904</v>
      </c>
      <c r="AD30" s="233">
        <f>IFERROR(_xlfn.XLOOKUP($D30,'Modelling New'!$D:$D,'Modelling New'!T:T)*1000,"")</f>
        <v>199162.56403298778</v>
      </c>
      <c r="AE30" s="243">
        <f>IFERROR(_xlfn.XLOOKUP($D30,'Modelling New'!$D:$D,'Modelling New'!$O:$O),"")</f>
        <v>0.60935317436258363</v>
      </c>
      <c r="AF30" s="243">
        <f>IFERROR(_xlfn.XLOOKUP($D30,'Modelling New'!$D:$D,'Modelling New'!$W:$W),"")</f>
        <v>9.4515263872906125E-2</v>
      </c>
      <c r="AG30" s="243">
        <f>IFERROR(_xlfn.XLOOKUP($D30,'Modelling New'!$D:$D,'Modelling New'!$AE:$AE),"")</f>
        <v>0.995</v>
      </c>
      <c r="AH30" s="243">
        <f>IFERROR(_xlfn.XLOOKUP($D30,'Modelling New'!$D:$D,'Modelling New'!$AF:$AF),"")</f>
        <v>0.995</v>
      </c>
      <c r="AI30" s="234"/>
      <c r="AJ30" s="234"/>
      <c r="AK30" s="234"/>
      <c r="AL30" s="234"/>
      <c r="AM30" s="234"/>
      <c r="AN30" s="244"/>
      <c r="AO30" s="241"/>
      <c r="AP30" s="241"/>
      <c r="AQ30" s="241"/>
      <c r="AR30" s="233">
        <f>_xlfn.XLOOKUP($D30,'Modelling New'!$D:$D,'Modelling New'!$N:$N)</f>
        <v>87.8</v>
      </c>
      <c r="AS30" s="233">
        <f t="shared" si="8"/>
        <v>0</v>
      </c>
    </row>
    <row r="31" spans="1:45">
      <c r="A31" s="232">
        <f t="shared" si="9"/>
        <v>45868</v>
      </c>
      <c r="B31" s="233">
        <f>YEAR(Daily_KPI[[#This Row],[Date]])+IF(MONTH(Daily_KPI[[#This Row],[Date]])&gt;=4,1,0)</f>
        <v>2026</v>
      </c>
      <c r="C31" s="234">
        <f>YEAR(Daily_KPI[[#This Row],[Date]])</f>
        <v>2025</v>
      </c>
      <c r="D31" s="235">
        <f>Daily_KPI[[#This Row],[Date]]-DAY(Daily_KPI[[#This Row],[Date]])+1</f>
        <v>45839</v>
      </c>
      <c r="E31" s="234">
        <f t="shared" si="5"/>
        <v>31</v>
      </c>
      <c r="F31" s="236">
        <f>IFERROR(_xlfn.XLOOKUP($A31,Input_Raw!$A:$A,Input_Raw!$BM:$BM),"")</f>
        <v>0</v>
      </c>
      <c r="G31" s="237">
        <f>IFERROR(_xlfn.XLOOKUP($A31,Input_Raw!$A:$A,Input_Raw!$AN:$AN),"")</f>
        <v>0</v>
      </c>
      <c r="H31" s="237"/>
      <c r="I31" s="237">
        <f>IFERROR(_xlfn.XLOOKUP($A31,Input_Raw!$A:$A,Input_Raw!$AM:$AM),"")</f>
        <v>0</v>
      </c>
      <c r="J31" s="237"/>
      <c r="K31" s="237">
        <f>IFERROR(_xlfn.XLOOKUP($A31,Input_Raw!$A:$A,Input_Raw!AO:AO),"")</f>
        <v>0</v>
      </c>
      <c r="L31" s="237">
        <f>IFERROR(_xlfn.XLOOKUP($A31,Input_Raw!$A:$A,Input_Raw!AP:AP),"")</f>
        <v>0</v>
      </c>
      <c r="M31" s="237">
        <f>IFERROR(_xlfn.XLOOKUP($A31,Input_Raw!$A:$A,Input_Raw!AS:AS),"")</f>
        <v>0</v>
      </c>
      <c r="N31" s="237">
        <f>IFERROR(_xlfn.XLOOKUP($A31,Input_Raw!$A:$A,Input_Raw!AT:AT),"")</f>
        <v>0</v>
      </c>
      <c r="O31" s="238" t="str">
        <f>IFERROR(1-(SUMIF(Plant_BD!$B:$B,$A31,Plant_BD!$AL:$AL)/($AA31+SUMIF(Plant_BD!$B:$B,$A31,Plant_BD!$AL:$AL))),"")</f>
        <v/>
      </c>
      <c r="P31" s="238"/>
      <c r="Q31" s="239"/>
      <c r="R31" s="238" t="str">
        <f>IFERROR(1-(SUMIF(Grid_BD!$B:$B,$A31,Grid_BD!$V:$V)/($AA31+SUMIF(Grid_BD!$B:$B,$A31,Grid_BD!$V:$V))),"")</f>
        <v/>
      </c>
      <c r="S31" s="234"/>
      <c r="T31" s="239"/>
      <c r="U31" s="240" t="str">
        <f t="shared" si="6"/>
        <v/>
      </c>
      <c r="V31" s="240" t="str">
        <f>IFERROR(_xlfn.XLOOKUP($A31,Input_Raw!$A:$A,Input_Raw!$BS:$BS),"")</f>
        <v/>
      </c>
      <c r="W31" s="241">
        <f t="shared" si="7"/>
        <v>0</v>
      </c>
      <c r="X31" s="233">
        <f>IFERROR(_xlfn.XLOOKUP($A31,Input_Raw!$A:$A,Input_Raw!$AW:$AW),"")</f>
        <v>0</v>
      </c>
      <c r="Y31" s="233">
        <f>IFERROR(_xlfn.XLOOKUP($A31,Input_Raw!$A:$A,Input_Raw!$BN:$BN),"")</f>
        <v>0</v>
      </c>
      <c r="Z31" s="233"/>
      <c r="AA31" s="233">
        <f>IFERROR(_xlfn.XLOOKUP($A31,Input_Raw!$A:$A,Input_Raw!$BO:$BO),"")</f>
        <v>0</v>
      </c>
      <c r="AB31" s="233">
        <f>IFERROR(_xlfn.XLOOKUP($A31,Input_Raw!$A:$A,Input_Raw!$BP:$BP),"")</f>
        <v>0</v>
      </c>
      <c r="AC31" s="242">
        <f>IFERROR(_xlfn.XLOOKUP($D31,'Modelling New'!$D:$D,'Modelling New'!P:P),"")</f>
        <v>3.7225806451612904</v>
      </c>
      <c r="AD31" s="233">
        <f>IFERROR(_xlfn.XLOOKUP($D31,'Modelling New'!$D:$D,'Modelling New'!T:T)*1000,"")</f>
        <v>199162.56403298778</v>
      </c>
      <c r="AE31" s="243">
        <f>IFERROR(_xlfn.XLOOKUP($D31,'Modelling New'!$D:$D,'Modelling New'!$O:$O),"")</f>
        <v>0.60935317436258363</v>
      </c>
      <c r="AF31" s="243">
        <f>IFERROR(_xlfn.XLOOKUP($D31,'Modelling New'!$D:$D,'Modelling New'!$W:$W),"")</f>
        <v>9.4515263872906125E-2</v>
      </c>
      <c r="AG31" s="243">
        <f>IFERROR(_xlfn.XLOOKUP($D31,'Modelling New'!$D:$D,'Modelling New'!$AE:$AE),"")</f>
        <v>0.995</v>
      </c>
      <c r="AH31" s="243">
        <f>IFERROR(_xlfn.XLOOKUP($D31,'Modelling New'!$D:$D,'Modelling New'!$AF:$AF),"")</f>
        <v>0.995</v>
      </c>
      <c r="AI31" s="234"/>
      <c r="AJ31" s="234"/>
      <c r="AK31" s="234"/>
      <c r="AL31" s="234"/>
      <c r="AM31" s="234"/>
      <c r="AN31" s="244"/>
      <c r="AO31" s="241"/>
      <c r="AP31" s="241"/>
      <c r="AQ31" s="241"/>
      <c r="AR31" s="233">
        <f>_xlfn.XLOOKUP($D31,'Modelling New'!$D:$D,'Modelling New'!$N:$N)</f>
        <v>87.8</v>
      </c>
      <c r="AS31" s="233">
        <f t="shared" si="8"/>
        <v>0</v>
      </c>
    </row>
    <row r="32" spans="1:45">
      <c r="A32" s="232">
        <f t="shared" si="9"/>
        <v>45869</v>
      </c>
      <c r="B32" s="233">
        <f>YEAR(Daily_KPI[[#This Row],[Date]])+IF(MONTH(Daily_KPI[[#This Row],[Date]])&gt;=4,1,0)</f>
        <v>2026</v>
      </c>
      <c r="C32" s="234">
        <f>YEAR(Daily_KPI[[#This Row],[Date]])</f>
        <v>2025</v>
      </c>
      <c r="D32" s="235">
        <f>Daily_KPI[[#This Row],[Date]]-DAY(Daily_KPI[[#This Row],[Date]])+1</f>
        <v>45839</v>
      </c>
      <c r="E32" s="234">
        <f t="shared" si="5"/>
        <v>31</v>
      </c>
      <c r="F32" s="236">
        <f>IFERROR(_xlfn.XLOOKUP($A32,Input_Raw!$A:$A,Input_Raw!$BM:$BM),"")</f>
        <v>0</v>
      </c>
      <c r="G32" s="237">
        <f>IFERROR(_xlfn.XLOOKUP($A32,Input_Raw!$A:$A,Input_Raw!$AN:$AN),"")</f>
        <v>0</v>
      </c>
      <c r="H32" s="237"/>
      <c r="I32" s="237">
        <f>IFERROR(_xlfn.XLOOKUP($A32,Input_Raw!$A:$A,Input_Raw!$AM:$AM),"")</f>
        <v>0</v>
      </c>
      <c r="J32" s="237"/>
      <c r="K32" s="237">
        <f>IFERROR(_xlfn.XLOOKUP($A32,Input_Raw!$A:$A,Input_Raw!AO:AO),"")</f>
        <v>0</v>
      </c>
      <c r="L32" s="237">
        <f>IFERROR(_xlfn.XLOOKUP($A32,Input_Raw!$A:$A,Input_Raw!AP:AP),"")</f>
        <v>0</v>
      </c>
      <c r="M32" s="237">
        <f>IFERROR(_xlfn.XLOOKUP($A32,Input_Raw!$A:$A,Input_Raw!AS:AS),"")</f>
        <v>0</v>
      </c>
      <c r="N32" s="237">
        <f>IFERROR(_xlfn.XLOOKUP($A32,Input_Raw!$A:$A,Input_Raw!AT:AT),"")</f>
        <v>0</v>
      </c>
      <c r="O32" s="238" t="str">
        <f>IFERROR(1-(SUMIF(Plant_BD!$B:$B,$A32,Plant_BD!$AL:$AL)/($AA32+SUMIF(Plant_BD!$B:$B,$A32,Plant_BD!$AL:$AL))),"")</f>
        <v/>
      </c>
      <c r="P32" s="238"/>
      <c r="Q32" s="239"/>
      <c r="R32" s="238" t="str">
        <f>IFERROR(1-(SUMIF(Grid_BD!$B:$B,$A32,Grid_BD!$V:$V)/($AA32+SUMIF(Grid_BD!$B:$B,$A32,Grid_BD!$V:$V))),"")</f>
        <v/>
      </c>
      <c r="S32" s="234"/>
      <c r="T32" s="239"/>
      <c r="U32" s="240" t="str">
        <f t="shared" si="6"/>
        <v/>
      </c>
      <c r="V32" s="240" t="str">
        <f>IFERROR(_xlfn.XLOOKUP($A32,Input_Raw!$A:$A,Input_Raw!$BS:$BS),"")</f>
        <v/>
      </c>
      <c r="W32" s="241">
        <f t="shared" si="7"/>
        <v>0</v>
      </c>
      <c r="X32" s="233">
        <f>IFERROR(_xlfn.XLOOKUP($A32,Input_Raw!$A:$A,Input_Raw!$AW:$AW),"")</f>
        <v>0</v>
      </c>
      <c r="Y32" s="233">
        <f>IFERROR(_xlfn.XLOOKUP($A32,Input_Raw!$A:$A,Input_Raw!$BN:$BN),"")</f>
        <v>0</v>
      </c>
      <c r="Z32" s="233"/>
      <c r="AA32" s="233">
        <f>IFERROR(_xlfn.XLOOKUP($A32,Input_Raw!$A:$A,Input_Raw!$BO:$BO),"")</f>
        <v>0</v>
      </c>
      <c r="AB32" s="233">
        <f>IFERROR(_xlfn.XLOOKUP($A32,Input_Raw!$A:$A,Input_Raw!$BP:$BP),"")</f>
        <v>0</v>
      </c>
      <c r="AC32" s="242">
        <f>IFERROR(_xlfn.XLOOKUP($D32,'Modelling New'!$D:$D,'Modelling New'!P:P),"")</f>
        <v>3.7225806451612904</v>
      </c>
      <c r="AD32" s="233">
        <f>IFERROR(_xlfn.XLOOKUP($D32,'Modelling New'!$D:$D,'Modelling New'!T:T)*1000,"")</f>
        <v>199162.56403298778</v>
      </c>
      <c r="AE32" s="243">
        <f>IFERROR(_xlfn.XLOOKUP($D32,'Modelling New'!$D:$D,'Modelling New'!$O:$O),"")</f>
        <v>0.60935317436258363</v>
      </c>
      <c r="AF32" s="243">
        <f>IFERROR(_xlfn.XLOOKUP($D32,'Modelling New'!$D:$D,'Modelling New'!$W:$W),"")</f>
        <v>9.4515263872906125E-2</v>
      </c>
      <c r="AG32" s="243">
        <f>IFERROR(_xlfn.XLOOKUP($D32,'Modelling New'!$D:$D,'Modelling New'!$AE:$AE),"")</f>
        <v>0.995</v>
      </c>
      <c r="AH32" s="243">
        <f>IFERROR(_xlfn.XLOOKUP($D32,'Modelling New'!$D:$D,'Modelling New'!$AF:$AF),"")</f>
        <v>0.995</v>
      </c>
      <c r="AI32" s="234"/>
      <c r="AJ32" s="234"/>
      <c r="AK32" s="234"/>
      <c r="AL32" s="234"/>
      <c r="AM32" s="234"/>
      <c r="AN32" s="244"/>
      <c r="AO32" s="241"/>
      <c r="AP32" s="241"/>
      <c r="AQ32" s="241"/>
      <c r="AR32" s="233">
        <f>_xlfn.XLOOKUP($D32,'Modelling New'!$D:$D,'Modelling New'!$N:$N)</f>
        <v>87.8</v>
      </c>
      <c r="AS32" s="233">
        <f t="shared" si="8"/>
        <v>0</v>
      </c>
    </row>
    <row r="33" spans="1:45">
      <c r="A33" s="232">
        <f t="shared" si="9"/>
        <v>45870</v>
      </c>
      <c r="B33" s="233">
        <f>YEAR(Daily_KPI[[#This Row],[Date]])+IF(MONTH(Daily_KPI[[#This Row],[Date]])&gt;=4,1,0)</f>
        <v>2026</v>
      </c>
      <c r="C33" s="234">
        <f>YEAR(Daily_KPI[[#This Row],[Date]])</f>
        <v>2025</v>
      </c>
      <c r="D33" s="235">
        <f>Daily_KPI[[#This Row],[Date]]-DAY(Daily_KPI[[#This Row],[Date]])+1</f>
        <v>45870</v>
      </c>
      <c r="E33" s="234">
        <f t="shared" si="5"/>
        <v>31</v>
      </c>
      <c r="F33" s="236">
        <f>IFERROR(_xlfn.XLOOKUP($A33,Input_Raw!$A:$A,Input_Raw!$BM:$BM),"")</f>
        <v>0</v>
      </c>
      <c r="G33" s="237">
        <f>IFERROR(_xlfn.XLOOKUP($A33,Input_Raw!$A:$A,Input_Raw!$AN:$AN),"")</f>
        <v>0</v>
      </c>
      <c r="H33" s="237"/>
      <c r="I33" s="237">
        <f>IFERROR(_xlfn.XLOOKUP($A33,Input_Raw!$A:$A,Input_Raw!$AM:$AM),"")</f>
        <v>0</v>
      </c>
      <c r="J33" s="237"/>
      <c r="K33" s="237">
        <f>IFERROR(_xlfn.XLOOKUP($A33,Input_Raw!$A:$A,Input_Raw!AO:AO),"")</f>
        <v>0</v>
      </c>
      <c r="L33" s="237">
        <f>IFERROR(_xlfn.XLOOKUP($A33,Input_Raw!$A:$A,Input_Raw!AP:AP),"")</f>
        <v>0</v>
      </c>
      <c r="M33" s="237">
        <f>IFERROR(_xlfn.XLOOKUP($A33,Input_Raw!$A:$A,Input_Raw!AS:AS),"")</f>
        <v>0</v>
      </c>
      <c r="N33" s="237">
        <f>IFERROR(_xlfn.XLOOKUP($A33,Input_Raw!$A:$A,Input_Raw!AT:AT),"")</f>
        <v>0</v>
      </c>
      <c r="O33" s="238" t="str">
        <f>IFERROR(1-(SUMIF(Plant_BD!$B:$B,$A33,Plant_BD!$AL:$AL)/($AA33+SUMIF(Plant_BD!$B:$B,$A33,Plant_BD!$AL:$AL))),"")</f>
        <v/>
      </c>
      <c r="P33" s="238"/>
      <c r="Q33" s="239"/>
      <c r="R33" s="238" t="str">
        <f>IFERROR(1-(SUMIF(Grid_BD!$B:$B,$A33,Grid_BD!$V:$V)/($AA33+SUMIF(Grid_BD!$B:$B,$A33,Grid_BD!$V:$V))),"")</f>
        <v/>
      </c>
      <c r="S33" s="234"/>
      <c r="T33" s="239"/>
      <c r="U33" s="240" t="str">
        <f t="shared" si="6"/>
        <v/>
      </c>
      <c r="V33" s="240" t="str">
        <f>IFERROR(_xlfn.XLOOKUP($A33,Input_Raw!$A:$A,Input_Raw!$BS:$BS),"")</f>
        <v/>
      </c>
      <c r="W33" s="241">
        <f t="shared" si="7"/>
        <v>0</v>
      </c>
      <c r="X33" s="233">
        <f>IFERROR(_xlfn.XLOOKUP($A33,Input_Raw!$A:$A,Input_Raw!$AW:$AW),"")</f>
        <v>0</v>
      </c>
      <c r="Y33" s="233">
        <f>IFERROR(_xlfn.XLOOKUP($A33,Input_Raw!$A:$A,Input_Raw!$BN:$BN),"")</f>
        <v>0</v>
      </c>
      <c r="Z33" s="233"/>
      <c r="AA33" s="233">
        <f>IFERROR(_xlfn.XLOOKUP($A33,Input_Raw!$A:$A,Input_Raw!$BO:$BO),"")</f>
        <v>0</v>
      </c>
      <c r="AB33" s="233">
        <f>IFERROR(_xlfn.XLOOKUP($A33,Input_Raw!$A:$A,Input_Raw!$BP:$BP),"")</f>
        <v>0</v>
      </c>
      <c r="AC33" s="242">
        <f>IFERROR(_xlfn.XLOOKUP($D33,'Modelling New'!$D:$D,'Modelling New'!P:P),"")</f>
        <v>3.9193548387096775</v>
      </c>
      <c r="AD33" s="233">
        <f>IFERROR(_xlfn.XLOOKUP($D33,'Modelling New'!$D:$D,'Modelling New'!T:T)*1000,"")</f>
        <v>288553.8699715368</v>
      </c>
      <c r="AE33" s="243">
        <f>IFERROR(_xlfn.XLOOKUP($D33,'Modelling New'!$D:$D,'Modelling New'!$O:$O),"")</f>
        <v>0.83852845216097582</v>
      </c>
      <c r="AF33" s="243">
        <f>IFERROR(_xlfn.XLOOKUP($D33,'Modelling New'!$D:$D,'Modelling New'!$W:$W),"")</f>
        <v>0.13693710609886903</v>
      </c>
      <c r="AG33" s="243">
        <f>IFERROR(_xlfn.XLOOKUP($D33,'Modelling New'!$D:$D,'Modelling New'!$AE:$AE),"")</f>
        <v>0.995</v>
      </c>
      <c r="AH33" s="243">
        <f>IFERROR(_xlfn.XLOOKUP($D33,'Modelling New'!$D:$D,'Modelling New'!$AF:$AF),"")</f>
        <v>0.995</v>
      </c>
      <c r="AI33" s="234"/>
      <c r="AJ33" s="234"/>
      <c r="AK33" s="234"/>
      <c r="AL33" s="234"/>
      <c r="AM33" s="234"/>
      <c r="AN33" s="244"/>
      <c r="AO33" s="241"/>
      <c r="AP33" s="241"/>
      <c r="AQ33" s="241"/>
      <c r="AR33" s="233">
        <f>_xlfn.XLOOKUP($D33,'Modelling New'!$D:$D,'Modelling New'!$N:$N)</f>
        <v>87.8</v>
      </c>
      <c r="AS33" s="233">
        <f t="shared" si="8"/>
        <v>0</v>
      </c>
    </row>
    <row r="34" spans="1:45">
      <c r="A34" s="232">
        <f t="shared" si="9"/>
        <v>45871</v>
      </c>
      <c r="B34" s="233">
        <f>YEAR(Daily_KPI[[#This Row],[Date]])+IF(MONTH(Daily_KPI[[#This Row],[Date]])&gt;=4,1,0)</f>
        <v>2026</v>
      </c>
      <c r="C34" s="234">
        <f>YEAR(Daily_KPI[[#This Row],[Date]])</f>
        <v>2025</v>
      </c>
      <c r="D34" s="235">
        <f>Daily_KPI[[#This Row],[Date]]-DAY(Daily_KPI[[#This Row],[Date]])+1</f>
        <v>45870</v>
      </c>
      <c r="E34" s="234">
        <f t="shared" si="5"/>
        <v>31</v>
      </c>
      <c r="F34" s="236">
        <f>IFERROR(_xlfn.XLOOKUP($A34,Input_Raw!$A:$A,Input_Raw!$BM:$BM),"")</f>
        <v>0</v>
      </c>
      <c r="G34" s="237">
        <f>IFERROR(_xlfn.XLOOKUP($A34,Input_Raw!$A:$A,Input_Raw!$AN:$AN),"")</f>
        <v>0</v>
      </c>
      <c r="H34" s="237"/>
      <c r="I34" s="237">
        <f>IFERROR(_xlfn.XLOOKUP($A34,Input_Raw!$A:$A,Input_Raw!$AM:$AM),"")</f>
        <v>0</v>
      </c>
      <c r="J34" s="237"/>
      <c r="K34" s="237">
        <f>IFERROR(_xlfn.XLOOKUP($A34,Input_Raw!$A:$A,Input_Raw!AO:AO),"")</f>
        <v>0</v>
      </c>
      <c r="L34" s="237">
        <f>IFERROR(_xlfn.XLOOKUP($A34,Input_Raw!$A:$A,Input_Raw!AP:AP),"")</f>
        <v>0</v>
      </c>
      <c r="M34" s="237">
        <f>IFERROR(_xlfn.XLOOKUP($A34,Input_Raw!$A:$A,Input_Raw!AS:AS),"")</f>
        <v>0</v>
      </c>
      <c r="N34" s="237">
        <f>IFERROR(_xlfn.XLOOKUP($A34,Input_Raw!$A:$A,Input_Raw!AT:AT),"")</f>
        <v>0</v>
      </c>
      <c r="O34" s="238" t="str">
        <f>IFERROR(1-(SUMIF(Plant_BD!$B:$B,$A34,Plant_BD!$AL:$AL)/($AA34+SUMIF(Plant_BD!$B:$B,$A34,Plant_BD!$AL:$AL))),"")</f>
        <v/>
      </c>
      <c r="P34" s="238"/>
      <c r="Q34" s="239"/>
      <c r="R34" s="238" t="str">
        <f>IFERROR(1-(SUMIF(Grid_BD!$B:$B,$A34,Grid_BD!$V:$V)/($AA34+SUMIF(Grid_BD!$B:$B,$A34,Grid_BD!$V:$V))),"")</f>
        <v/>
      </c>
      <c r="S34" s="234"/>
      <c r="T34" s="239"/>
      <c r="U34" s="240" t="str">
        <f t="shared" si="6"/>
        <v/>
      </c>
      <c r="V34" s="240" t="str">
        <f>IFERROR(_xlfn.XLOOKUP($A34,Input_Raw!$A:$A,Input_Raw!$BS:$BS),"")</f>
        <v/>
      </c>
      <c r="W34" s="241">
        <f t="shared" si="7"/>
        <v>0</v>
      </c>
      <c r="X34" s="233">
        <f>IFERROR(_xlfn.XLOOKUP($A34,Input_Raw!$A:$A,Input_Raw!$AW:$AW),"")</f>
        <v>0</v>
      </c>
      <c r="Y34" s="233">
        <f>IFERROR(_xlfn.XLOOKUP($A34,Input_Raw!$A:$A,Input_Raw!$BN:$BN),"")</f>
        <v>0</v>
      </c>
      <c r="Z34" s="233"/>
      <c r="AA34" s="233">
        <f>IFERROR(_xlfn.XLOOKUP($A34,Input_Raw!$A:$A,Input_Raw!$BO:$BO),"")</f>
        <v>0</v>
      </c>
      <c r="AB34" s="233">
        <f>IFERROR(_xlfn.XLOOKUP($A34,Input_Raw!$A:$A,Input_Raw!$BP:$BP),"")</f>
        <v>0</v>
      </c>
      <c r="AC34" s="242">
        <f>IFERROR(_xlfn.XLOOKUP($D34,'Modelling New'!$D:$D,'Modelling New'!P:P),"")</f>
        <v>3.9193548387096775</v>
      </c>
      <c r="AD34" s="233">
        <f>IFERROR(_xlfn.XLOOKUP($D34,'Modelling New'!$D:$D,'Modelling New'!T:T)*1000,"")</f>
        <v>288553.8699715368</v>
      </c>
      <c r="AE34" s="243">
        <f>IFERROR(_xlfn.XLOOKUP($D34,'Modelling New'!$D:$D,'Modelling New'!$O:$O),"")</f>
        <v>0.83852845216097582</v>
      </c>
      <c r="AF34" s="243">
        <f>IFERROR(_xlfn.XLOOKUP($D34,'Modelling New'!$D:$D,'Modelling New'!$W:$W),"")</f>
        <v>0.13693710609886903</v>
      </c>
      <c r="AG34" s="243">
        <f>IFERROR(_xlfn.XLOOKUP($D34,'Modelling New'!$D:$D,'Modelling New'!$AE:$AE),"")</f>
        <v>0.995</v>
      </c>
      <c r="AH34" s="243">
        <f>IFERROR(_xlfn.XLOOKUP($D34,'Modelling New'!$D:$D,'Modelling New'!$AF:$AF),"")</f>
        <v>0.995</v>
      </c>
      <c r="AI34" s="234"/>
      <c r="AJ34" s="234"/>
      <c r="AK34" s="234"/>
      <c r="AL34" s="234"/>
      <c r="AM34" s="234"/>
      <c r="AN34" s="244"/>
      <c r="AO34" s="241"/>
      <c r="AP34" s="241"/>
      <c r="AQ34" s="241"/>
      <c r="AR34" s="233">
        <f>_xlfn.XLOOKUP($D34,'Modelling New'!$D:$D,'Modelling New'!$N:$N)</f>
        <v>87.8</v>
      </c>
      <c r="AS34" s="233">
        <f t="shared" si="8"/>
        <v>0</v>
      </c>
    </row>
    <row r="35" spans="1:45">
      <c r="A35" s="232">
        <f t="shared" si="9"/>
        <v>45872</v>
      </c>
      <c r="B35" s="233">
        <f>YEAR(Daily_KPI[[#This Row],[Date]])+IF(MONTH(Daily_KPI[[#This Row],[Date]])&gt;=4,1,0)</f>
        <v>2026</v>
      </c>
      <c r="C35" s="234">
        <f>YEAR(Daily_KPI[[#This Row],[Date]])</f>
        <v>2025</v>
      </c>
      <c r="D35" s="235">
        <f>Daily_KPI[[#This Row],[Date]]-DAY(Daily_KPI[[#This Row],[Date]])+1</f>
        <v>45870</v>
      </c>
      <c r="E35" s="234">
        <f t="shared" si="5"/>
        <v>31</v>
      </c>
      <c r="F35" s="236">
        <f>IFERROR(_xlfn.XLOOKUP($A35,Input_Raw!$A:$A,Input_Raw!$BM:$BM),"")</f>
        <v>0</v>
      </c>
      <c r="G35" s="237">
        <f>IFERROR(_xlfn.XLOOKUP($A35,Input_Raw!$A:$A,Input_Raw!$AN:$AN),"")</f>
        <v>0</v>
      </c>
      <c r="H35" s="237"/>
      <c r="I35" s="237">
        <f>IFERROR(_xlfn.XLOOKUP($A35,Input_Raw!$A:$A,Input_Raw!$AM:$AM),"")</f>
        <v>0</v>
      </c>
      <c r="J35" s="237"/>
      <c r="K35" s="237">
        <f>IFERROR(_xlfn.XLOOKUP($A35,Input_Raw!$A:$A,Input_Raw!AO:AO),"")</f>
        <v>0</v>
      </c>
      <c r="L35" s="237">
        <f>IFERROR(_xlfn.XLOOKUP($A35,Input_Raw!$A:$A,Input_Raw!AP:AP),"")</f>
        <v>0</v>
      </c>
      <c r="M35" s="237">
        <f>IFERROR(_xlfn.XLOOKUP($A35,Input_Raw!$A:$A,Input_Raw!AS:AS),"")</f>
        <v>0</v>
      </c>
      <c r="N35" s="237">
        <f>IFERROR(_xlfn.XLOOKUP($A35,Input_Raw!$A:$A,Input_Raw!AT:AT),"")</f>
        <v>0</v>
      </c>
      <c r="O35" s="238" t="str">
        <f>IFERROR(1-(SUMIF(Plant_BD!$B:$B,$A35,Plant_BD!$AL:$AL)/($AA35+SUMIF(Plant_BD!$B:$B,$A35,Plant_BD!$AL:$AL))),"")</f>
        <v/>
      </c>
      <c r="P35" s="238"/>
      <c r="Q35" s="239"/>
      <c r="R35" s="238" t="str">
        <f>IFERROR(1-(SUMIF(Grid_BD!$B:$B,$A35,Grid_BD!$V:$V)/($AA35+SUMIF(Grid_BD!$B:$B,$A35,Grid_BD!$V:$V))),"")</f>
        <v/>
      </c>
      <c r="S35" s="234"/>
      <c r="T35" s="239"/>
      <c r="U35" s="240" t="str">
        <f t="shared" si="6"/>
        <v/>
      </c>
      <c r="V35" s="240" t="str">
        <f>IFERROR(_xlfn.XLOOKUP($A35,Input_Raw!$A:$A,Input_Raw!$BS:$BS),"")</f>
        <v/>
      </c>
      <c r="W35" s="241">
        <f t="shared" si="7"/>
        <v>0</v>
      </c>
      <c r="X35" s="233">
        <f>IFERROR(_xlfn.XLOOKUP($A35,Input_Raw!$A:$A,Input_Raw!$AW:$AW),"")</f>
        <v>0</v>
      </c>
      <c r="Y35" s="233">
        <f>IFERROR(_xlfn.XLOOKUP($A35,Input_Raw!$A:$A,Input_Raw!$BN:$BN),"")</f>
        <v>0</v>
      </c>
      <c r="Z35" s="233"/>
      <c r="AA35" s="233">
        <f>IFERROR(_xlfn.XLOOKUP($A35,Input_Raw!$A:$A,Input_Raw!$BO:$BO),"")</f>
        <v>0</v>
      </c>
      <c r="AB35" s="233">
        <f>IFERROR(_xlfn.XLOOKUP($A35,Input_Raw!$A:$A,Input_Raw!$BP:$BP),"")</f>
        <v>0</v>
      </c>
      <c r="AC35" s="242">
        <f>IFERROR(_xlfn.XLOOKUP($D35,'Modelling New'!$D:$D,'Modelling New'!P:P),"")</f>
        <v>3.9193548387096775</v>
      </c>
      <c r="AD35" s="233">
        <f>IFERROR(_xlfn.XLOOKUP($D35,'Modelling New'!$D:$D,'Modelling New'!T:T)*1000,"")</f>
        <v>288553.8699715368</v>
      </c>
      <c r="AE35" s="243">
        <f>IFERROR(_xlfn.XLOOKUP($D35,'Modelling New'!$D:$D,'Modelling New'!$O:$O),"")</f>
        <v>0.83852845216097582</v>
      </c>
      <c r="AF35" s="243">
        <f>IFERROR(_xlfn.XLOOKUP($D35,'Modelling New'!$D:$D,'Modelling New'!$W:$W),"")</f>
        <v>0.13693710609886903</v>
      </c>
      <c r="AG35" s="243">
        <f>IFERROR(_xlfn.XLOOKUP($D35,'Modelling New'!$D:$D,'Modelling New'!$AE:$AE),"")</f>
        <v>0.995</v>
      </c>
      <c r="AH35" s="243">
        <f>IFERROR(_xlfn.XLOOKUP($D35,'Modelling New'!$D:$D,'Modelling New'!$AF:$AF),"")</f>
        <v>0.995</v>
      </c>
      <c r="AI35" s="234"/>
      <c r="AJ35" s="234"/>
      <c r="AK35" s="234"/>
      <c r="AL35" s="234"/>
      <c r="AM35" s="234"/>
      <c r="AN35" s="244"/>
      <c r="AO35" s="241"/>
      <c r="AP35" s="241"/>
      <c r="AQ35" s="241"/>
      <c r="AR35" s="233">
        <f>_xlfn.XLOOKUP($D35,'Modelling New'!$D:$D,'Modelling New'!$N:$N)</f>
        <v>87.8</v>
      </c>
      <c r="AS35" s="233">
        <f t="shared" si="8"/>
        <v>0</v>
      </c>
    </row>
    <row r="36" spans="1:45">
      <c r="A36" s="232">
        <f t="shared" si="9"/>
        <v>45873</v>
      </c>
      <c r="B36" s="233">
        <f>YEAR(Daily_KPI[[#This Row],[Date]])+IF(MONTH(Daily_KPI[[#This Row],[Date]])&gt;=4,1,0)</f>
        <v>2026</v>
      </c>
      <c r="C36" s="234">
        <f>YEAR(Daily_KPI[[#This Row],[Date]])</f>
        <v>2025</v>
      </c>
      <c r="D36" s="235">
        <f>Daily_KPI[[#This Row],[Date]]-DAY(Daily_KPI[[#This Row],[Date]])+1</f>
        <v>45870</v>
      </c>
      <c r="E36" s="234">
        <f t="shared" si="5"/>
        <v>31</v>
      </c>
      <c r="F36" s="236">
        <f>IFERROR(_xlfn.XLOOKUP($A36,Input_Raw!$A:$A,Input_Raw!$BM:$BM),"")</f>
        <v>0</v>
      </c>
      <c r="G36" s="237">
        <f>IFERROR(_xlfn.XLOOKUP($A36,Input_Raw!$A:$A,Input_Raw!$AN:$AN),"")</f>
        <v>0</v>
      </c>
      <c r="H36" s="237"/>
      <c r="I36" s="237">
        <f>IFERROR(_xlfn.XLOOKUP($A36,Input_Raw!$A:$A,Input_Raw!$AM:$AM),"")</f>
        <v>0</v>
      </c>
      <c r="J36" s="237"/>
      <c r="K36" s="237">
        <f>IFERROR(_xlfn.XLOOKUP($A36,Input_Raw!$A:$A,Input_Raw!AO:AO),"")</f>
        <v>0</v>
      </c>
      <c r="L36" s="237">
        <f>IFERROR(_xlfn.XLOOKUP($A36,Input_Raw!$A:$A,Input_Raw!AP:AP),"")</f>
        <v>0</v>
      </c>
      <c r="M36" s="237">
        <f>IFERROR(_xlfn.XLOOKUP($A36,Input_Raw!$A:$A,Input_Raw!AS:AS),"")</f>
        <v>0</v>
      </c>
      <c r="N36" s="237">
        <f>IFERROR(_xlfn.XLOOKUP($A36,Input_Raw!$A:$A,Input_Raw!AT:AT),"")</f>
        <v>0</v>
      </c>
      <c r="O36" s="238" t="str">
        <f>IFERROR(1-(SUMIF(Plant_BD!$B:$B,$A36,Plant_BD!$AL:$AL)/($AA36+SUMIF(Plant_BD!$B:$B,$A36,Plant_BD!$AL:$AL))),"")</f>
        <v/>
      </c>
      <c r="P36" s="238"/>
      <c r="Q36" s="239"/>
      <c r="R36" s="238" t="str">
        <f>IFERROR(1-(SUMIF(Grid_BD!$B:$B,$A36,Grid_BD!$V:$V)/($AA36+SUMIF(Grid_BD!$B:$B,$A36,Grid_BD!$V:$V))),"")</f>
        <v/>
      </c>
      <c r="S36" s="234"/>
      <c r="T36" s="239"/>
      <c r="U36" s="240" t="str">
        <f t="shared" si="6"/>
        <v/>
      </c>
      <c r="V36" s="240" t="str">
        <f>IFERROR(_xlfn.XLOOKUP($A36,Input_Raw!$A:$A,Input_Raw!$BS:$BS),"")</f>
        <v/>
      </c>
      <c r="W36" s="241">
        <f t="shared" si="7"/>
        <v>0</v>
      </c>
      <c r="X36" s="233">
        <f>IFERROR(_xlfn.XLOOKUP($A36,Input_Raw!$A:$A,Input_Raw!$AW:$AW),"")</f>
        <v>0</v>
      </c>
      <c r="Y36" s="233">
        <f>IFERROR(_xlfn.XLOOKUP($A36,Input_Raw!$A:$A,Input_Raw!$BN:$BN),"")</f>
        <v>0</v>
      </c>
      <c r="Z36" s="233"/>
      <c r="AA36" s="233">
        <f>IFERROR(_xlfn.XLOOKUP($A36,Input_Raw!$A:$A,Input_Raw!$BO:$BO),"")</f>
        <v>0</v>
      </c>
      <c r="AB36" s="233">
        <f>IFERROR(_xlfn.XLOOKUP($A36,Input_Raw!$A:$A,Input_Raw!$BP:$BP),"")</f>
        <v>0</v>
      </c>
      <c r="AC36" s="242">
        <f>IFERROR(_xlfn.XLOOKUP($D36,'Modelling New'!$D:$D,'Modelling New'!P:P),"")</f>
        <v>3.9193548387096775</v>
      </c>
      <c r="AD36" s="233">
        <f>IFERROR(_xlfn.XLOOKUP($D36,'Modelling New'!$D:$D,'Modelling New'!T:T)*1000,"")</f>
        <v>288553.8699715368</v>
      </c>
      <c r="AE36" s="243">
        <f>IFERROR(_xlfn.XLOOKUP($D36,'Modelling New'!$D:$D,'Modelling New'!$O:$O),"")</f>
        <v>0.83852845216097582</v>
      </c>
      <c r="AF36" s="243">
        <f>IFERROR(_xlfn.XLOOKUP($D36,'Modelling New'!$D:$D,'Modelling New'!$W:$W),"")</f>
        <v>0.13693710609886903</v>
      </c>
      <c r="AG36" s="243">
        <f>IFERROR(_xlfn.XLOOKUP($D36,'Modelling New'!$D:$D,'Modelling New'!$AE:$AE),"")</f>
        <v>0.995</v>
      </c>
      <c r="AH36" s="243">
        <f>IFERROR(_xlfn.XLOOKUP($D36,'Modelling New'!$D:$D,'Modelling New'!$AF:$AF),"")</f>
        <v>0.995</v>
      </c>
      <c r="AI36" s="234"/>
      <c r="AJ36" s="234"/>
      <c r="AK36" s="234"/>
      <c r="AL36" s="234"/>
      <c r="AM36" s="234"/>
      <c r="AN36" s="244"/>
      <c r="AO36" s="241"/>
      <c r="AP36" s="241"/>
      <c r="AQ36" s="241"/>
      <c r="AR36" s="233">
        <f>_xlfn.XLOOKUP($D36,'Modelling New'!$D:$D,'Modelling New'!$N:$N)</f>
        <v>87.8</v>
      </c>
      <c r="AS36" s="233">
        <f t="shared" si="8"/>
        <v>0</v>
      </c>
    </row>
    <row r="37" spans="1:45">
      <c r="A37" s="232">
        <f t="shared" si="9"/>
        <v>45874</v>
      </c>
      <c r="B37" s="233">
        <f>YEAR(Daily_KPI[[#This Row],[Date]])+IF(MONTH(Daily_KPI[[#This Row],[Date]])&gt;=4,1,0)</f>
        <v>2026</v>
      </c>
      <c r="C37" s="234">
        <f>YEAR(Daily_KPI[[#This Row],[Date]])</f>
        <v>2025</v>
      </c>
      <c r="D37" s="235">
        <f>Daily_KPI[[#This Row],[Date]]-DAY(Daily_KPI[[#This Row],[Date]])+1</f>
        <v>45870</v>
      </c>
      <c r="E37" s="234">
        <f t="shared" si="5"/>
        <v>31</v>
      </c>
      <c r="F37" s="236">
        <f>IFERROR(_xlfn.XLOOKUP($A37,Input_Raw!$A:$A,Input_Raw!$BM:$BM),"")</f>
        <v>0</v>
      </c>
      <c r="G37" s="237">
        <f>IFERROR(_xlfn.XLOOKUP($A37,Input_Raw!$A:$A,Input_Raw!$AN:$AN),"")</f>
        <v>0</v>
      </c>
      <c r="H37" s="237"/>
      <c r="I37" s="237">
        <f>IFERROR(_xlfn.XLOOKUP($A37,Input_Raw!$A:$A,Input_Raw!$AM:$AM),"")</f>
        <v>0</v>
      </c>
      <c r="J37" s="237"/>
      <c r="K37" s="237">
        <f>IFERROR(_xlfn.XLOOKUP($A37,Input_Raw!$A:$A,Input_Raw!AO:AO),"")</f>
        <v>0</v>
      </c>
      <c r="L37" s="237">
        <f>IFERROR(_xlfn.XLOOKUP($A37,Input_Raw!$A:$A,Input_Raw!AP:AP),"")</f>
        <v>0</v>
      </c>
      <c r="M37" s="237">
        <f>IFERROR(_xlfn.XLOOKUP($A37,Input_Raw!$A:$A,Input_Raw!AS:AS),"")</f>
        <v>0</v>
      </c>
      <c r="N37" s="237">
        <f>IFERROR(_xlfn.XLOOKUP($A37,Input_Raw!$A:$A,Input_Raw!AT:AT),"")</f>
        <v>0</v>
      </c>
      <c r="O37" s="238" t="str">
        <f>IFERROR(1-(SUMIF(Plant_BD!$B:$B,$A37,Plant_BD!$AL:$AL)/($AA37+SUMIF(Plant_BD!$B:$B,$A37,Plant_BD!$AL:$AL))),"")</f>
        <v/>
      </c>
      <c r="P37" s="238"/>
      <c r="Q37" s="239"/>
      <c r="R37" s="238" t="str">
        <f>IFERROR(1-(SUMIF(Grid_BD!$B:$B,$A37,Grid_BD!$V:$V)/($AA37+SUMIF(Grid_BD!$B:$B,$A37,Grid_BD!$V:$V))),"")</f>
        <v/>
      </c>
      <c r="S37" s="234"/>
      <c r="T37" s="239"/>
      <c r="U37" s="240" t="str">
        <f t="shared" si="6"/>
        <v/>
      </c>
      <c r="V37" s="240" t="str">
        <f>IFERROR(_xlfn.XLOOKUP($A37,Input_Raw!$A:$A,Input_Raw!$BS:$BS),"")</f>
        <v/>
      </c>
      <c r="W37" s="241">
        <f t="shared" si="7"/>
        <v>0</v>
      </c>
      <c r="X37" s="233">
        <f>IFERROR(_xlfn.XLOOKUP($A37,Input_Raw!$A:$A,Input_Raw!$AW:$AW),"")</f>
        <v>0</v>
      </c>
      <c r="Y37" s="233">
        <f>IFERROR(_xlfn.XLOOKUP($A37,Input_Raw!$A:$A,Input_Raw!$BN:$BN),"")</f>
        <v>0</v>
      </c>
      <c r="Z37" s="233"/>
      <c r="AA37" s="233">
        <f>IFERROR(_xlfn.XLOOKUP($A37,Input_Raw!$A:$A,Input_Raw!$BO:$BO),"")</f>
        <v>0</v>
      </c>
      <c r="AB37" s="233">
        <f>IFERROR(_xlfn.XLOOKUP($A37,Input_Raw!$A:$A,Input_Raw!$BP:$BP),"")</f>
        <v>0</v>
      </c>
      <c r="AC37" s="242">
        <f>IFERROR(_xlfn.XLOOKUP($D37,'Modelling New'!$D:$D,'Modelling New'!P:P),"")</f>
        <v>3.9193548387096775</v>
      </c>
      <c r="AD37" s="233">
        <f>IFERROR(_xlfn.XLOOKUP($D37,'Modelling New'!$D:$D,'Modelling New'!T:T)*1000,"")</f>
        <v>288553.8699715368</v>
      </c>
      <c r="AE37" s="243">
        <f>IFERROR(_xlfn.XLOOKUP($D37,'Modelling New'!$D:$D,'Modelling New'!$O:$O),"")</f>
        <v>0.83852845216097582</v>
      </c>
      <c r="AF37" s="243">
        <f>IFERROR(_xlfn.XLOOKUP($D37,'Modelling New'!$D:$D,'Modelling New'!$W:$W),"")</f>
        <v>0.13693710609886903</v>
      </c>
      <c r="AG37" s="243">
        <f>IFERROR(_xlfn.XLOOKUP($D37,'Modelling New'!$D:$D,'Modelling New'!$AE:$AE),"")</f>
        <v>0.995</v>
      </c>
      <c r="AH37" s="243">
        <f>IFERROR(_xlfn.XLOOKUP($D37,'Modelling New'!$D:$D,'Modelling New'!$AF:$AF),"")</f>
        <v>0.995</v>
      </c>
      <c r="AI37" s="234"/>
      <c r="AJ37" s="234"/>
      <c r="AK37" s="234"/>
      <c r="AL37" s="234"/>
      <c r="AM37" s="234"/>
      <c r="AN37" s="244"/>
      <c r="AO37" s="241"/>
      <c r="AP37" s="241"/>
      <c r="AQ37" s="241"/>
      <c r="AR37" s="233">
        <f>_xlfn.XLOOKUP($D37,'Modelling New'!$D:$D,'Modelling New'!$N:$N)</f>
        <v>87.8</v>
      </c>
      <c r="AS37" s="233">
        <f t="shared" si="8"/>
        <v>0</v>
      </c>
    </row>
    <row r="38" spans="1:45">
      <c r="A38" s="232">
        <f t="shared" si="9"/>
        <v>45875</v>
      </c>
      <c r="B38" s="233">
        <f>YEAR(Daily_KPI[[#This Row],[Date]])+IF(MONTH(Daily_KPI[[#This Row],[Date]])&gt;=4,1,0)</f>
        <v>2026</v>
      </c>
      <c r="C38" s="234">
        <f>YEAR(Daily_KPI[[#This Row],[Date]])</f>
        <v>2025</v>
      </c>
      <c r="D38" s="235">
        <f>Daily_KPI[[#This Row],[Date]]-DAY(Daily_KPI[[#This Row],[Date]])+1</f>
        <v>45870</v>
      </c>
      <c r="E38" s="234">
        <f t="shared" si="5"/>
        <v>31</v>
      </c>
      <c r="F38" s="236">
        <f>IFERROR(_xlfn.XLOOKUP($A38,Input_Raw!$A:$A,Input_Raw!$BM:$BM),"")</f>
        <v>0</v>
      </c>
      <c r="G38" s="237">
        <f>IFERROR(_xlfn.XLOOKUP($A38,Input_Raw!$A:$A,Input_Raw!$AN:$AN),"")</f>
        <v>0</v>
      </c>
      <c r="H38" s="237"/>
      <c r="I38" s="237">
        <f>IFERROR(_xlfn.XLOOKUP($A38,Input_Raw!$A:$A,Input_Raw!$AM:$AM),"")</f>
        <v>0</v>
      </c>
      <c r="J38" s="237"/>
      <c r="K38" s="237">
        <f>IFERROR(_xlfn.XLOOKUP($A38,Input_Raw!$A:$A,Input_Raw!AO:AO),"")</f>
        <v>0</v>
      </c>
      <c r="L38" s="237">
        <f>IFERROR(_xlfn.XLOOKUP($A38,Input_Raw!$A:$A,Input_Raw!AP:AP),"")</f>
        <v>0</v>
      </c>
      <c r="M38" s="237">
        <f>IFERROR(_xlfn.XLOOKUP($A38,Input_Raw!$A:$A,Input_Raw!AS:AS),"")</f>
        <v>0</v>
      </c>
      <c r="N38" s="237">
        <f>IFERROR(_xlfn.XLOOKUP($A38,Input_Raw!$A:$A,Input_Raw!AT:AT),"")</f>
        <v>0</v>
      </c>
      <c r="O38" s="238" t="str">
        <f>IFERROR(1-(SUMIF(Plant_BD!$B:$B,$A38,Plant_BD!$AL:$AL)/($AA38+SUMIF(Plant_BD!$B:$B,$A38,Plant_BD!$AL:$AL))),"")</f>
        <v/>
      </c>
      <c r="P38" s="238"/>
      <c r="Q38" s="239"/>
      <c r="R38" s="238" t="str">
        <f>IFERROR(1-(SUMIF(Grid_BD!$B:$B,$A38,Grid_BD!$V:$V)/($AA38+SUMIF(Grid_BD!$B:$B,$A38,Grid_BD!$V:$V))),"")</f>
        <v/>
      </c>
      <c r="S38" s="234"/>
      <c r="T38" s="239"/>
      <c r="U38" s="240" t="str">
        <f t="shared" si="6"/>
        <v/>
      </c>
      <c r="V38" s="240" t="str">
        <f>IFERROR(_xlfn.XLOOKUP($A38,Input_Raw!$A:$A,Input_Raw!$BS:$BS),"")</f>
        <v/>
      </c>
      <c r="W38" s="241">
        <f t="shared" si="7"/>
        <v>0</v>
      </c>
      <c r="X38" s="233">
        <f>IFERROR(_xlfn.XLOOKUP($A38,Input_Raw!$A:$A,Input_Raw!$AW:$AW),"")</f>
        <v>0</v>
      </c>
      <c r="Y38" s="233">
        <f>IFERROR(_xlfn.XLOOKUP($A38,Input_Raw!$A:$A,Input_Raw!$BN:$BN),"")</f>
        <v>0</v>
      </c>
      <c r="Z38" s="233"/>
      <c r="AA38" s="233">
        <f>IFERROR(_xlfn.XLOOKUP($A38,Input_Raw!$A:$A,Input_Raw!$BO:$BO),"")</f>
        <v>0</v>
      </c>
      <c r="AB38" s="233">
        <f>IFERROR(_xlfn.XLOOKUP($A38,Input_Raw!$A:$A,Input_Raw!$BP:$BP),"")</f>
        <v>0</v>
      </c>
      <c r="AC38" s="242">
        <f>IFERROR(_xlfn.XLOOKUP($D38,'Modelling New'!$D:$D,'Modelling New'!P:P),"")</f>
        <v>3.9193548387096775</v>
      </c>
      <c r="AD38" s="233">
        <f>IFERROR(_xlfn.XLOOKUP($D38,'Modelling New'!$D:$D,'Modelling New'!T:T)*1000,"")</f>
        <v>288553.8699715368</v>
      </c>
      <c r="AE38" s="243">
        <f>IFERROR(_xlfn.XLOOKUP($D38,'Modelling New'!$D:$D,'Modelling New'!$O:$O),"")</f>
        <v>0.83852845216097582</v>
      </c>
      <c r="AF38" s="243">
        <f>IFERROR(_xlfn.XLOOKUP($D38,'Modelling New'!$D:$D,'Modelling New'!$W:$W),"")</f>
        <v>0.13693710609886903</v>
      </c>
      <c r="AG38" s="243">
        <f>IFERROR(_xlfn.XLOOKUP($D38,'Modelling New'!$D:$D,'Modelling New'!$AE:$AE),"")</f>
        <v>0.995</v>
      </c>
      <c r="AH38" s="243">
        <f>IFERROR(_xlfn.XLOOKUP($D38,'Modelling New'!$D:$D,'Modelling New'!$AF:$AF),"")</f>
        <v>0.995</v>
      </c>
      <c r="AI38" s="234"/>
      <c r="AJ38" s="234"/>
      <c r="AK38" s="234"/>
      <c r="AL38" s="234"/>
      <c r="AM38" s="234"/>
      <c r="AN38" s="244"/>
      <c r="AO38" s="241"/>
      <c r="AP38" s="241"/>
      <c r="AQ38" s="241"/>
      <c r="AR38" s="233">
        <f>_xlfn.XLOOKUP($D38,'Modelling New'!$D:$D,'Modelling New'!$N:$N)</f>
        <v>87.8</v>
      </c>
      <c r="AS38" s="233">
        <f t="shared" si="8"/>
        <v>0</v>
      </c>
    </row>
    <row r="39" spans="1:45">
      <c r="A39" s="232">
        <f t="shared" si="9"/>
        <v>45876</v>
      </c>
      <c r="B39" s="233">
        <f>YEAR(Daily_KPI[[#This Row],[Date]])+IF(MONTH(Daily_KPI[[#This Row],[Date]])&gt;=4,1,0)</f>
        <v>2026</v>
      </c>
      <c r="C39" s="234">
        <f>YEAR(Daily_KPI[[#This Row],[Date]])</f>
        <v>2025</v>
      </c>
      <c r="D39" s="235">
        <f>Daily_KPI[[#This Row],[Date]]-DAY(Daily_KPI[[#This Row],[Date]])+1</f>
        <v>45870</v>
      </c>
      <c r="E39" s="234">
        <f t="shared" si="5"/>
        <v>31</v>
      </c>
      <c r="F39" s="236">
        <f>IFERROR(_xlfn.XLOOKUP($A39,Input_Raw!$A:$A,Input_Raw!$BM:$BM),"")</f>
        <v>0</v>
      </c>
      <c r="G39" s="237">
        <f>IFERROR(_xlfn.XLOOKUP($A39,Input_Raw!$A:$A,Input_Raw!$AN:$AN),"")</f>
        <v>0</v>
      </c>
      <c r="H39" s="237"/>
      <c r="I39" s="237">
        <f>IFERROR(_xlfn.XLOOKUP($A39,Input_Raw!$A:$A,Input_Raw!$AM:$AM),"")</f>
        <v>0</v>
      </c>
      <c r="J39" s="237"/>
      <c r="K39" s="237">
        <f>IFERROR(_xlfn.XLOOKUP($A39,Input_Raw!$A:$A,Input_Raw!AO:AO),"")</f>
        <v>0</v>
      </c>
      <c r="L39" s="237">
        <f>IFERROR(_xlfn.XLOOKUP($A39,Input_Raw!$A:$A,Input_Raw!AP:AP),"")</f>
        <v>0</v>
      </c>
      <c r="M39" s="237">
        <f>IFERROR(_xlfn.XLOOKUP($A39,Input_Raw!$A:$A,Input_Raw!AS:AS),"")</f>
        <v>0</v>
      </c>
      <c r="N39" s="237">
        <f>IFERROR(_xlfn.XLOOKUP($A39,Input_Raw!$A:$A,Input_Raw!AT:AT),"")</f>
        <v>0</v>
      </c>
      <c r="O39" s="238" t="str">
        <f>IFERROR(1-(SUMIF(Plant_BD!$B:$B,$A39,Plant_BD!$AL:$AL)/($AA39+SUMIF(Plant_BD!$B:$B,$A39,Plant_BD!$AL:$AL))),"")</f>
        <v/>
      </c>
      <c r="P39" s="238"/>
      <c r="Q39" s="239"/>
      <c r="R39" s="238" t="str">
        <f>IFERROR(1-(SUMIF(Grid_BD!$B:$B,$A39,Grid_BD!$V:$V)/($AA39+SUMIF(Grid_BD!$B:$B,$A39,Grid_BD!$V:$V))),"")</f>
        <v/>
      </c>
      <c r="S39" s="234"/>
      <c r="T39" s="239"/>
      <c r="U39" s="240" t="str">
        <f t="shared" si="6"/>
        <v/>
      </c>
      <c r="V39" s="240" t="str">
        <f>IFERROR(_xlfn.XLOOKUP($A39,Input_Raw!$A:$A,Input_Raw!$BS:$BS),"")</f>
        <v/>
      </c>
      <c r="W39" s="241">
        <f t="shared" si="7"/>
        <v>0</v>
      </c>
      <c r="X39" s="233">
        <f>IFERROR(_xlfn.XLOOKUP($A39,Input_Raw!$A:$A,Input_Raw!$AW:$AW),"")</f>
        <v>0</v>
      </c>
      <c r="Y39" s="233">
        <f>IFERROR(_xlfn.XLOOKUP($A39,Input_Raw!$A:$A,Input_Raw!$BN:$BN),"")</f>
        <v>0</v>
      </c>
      <c r="Z39" s="233"/>
      <c r="AA39" s="233">
        <f>IFERROR(_xlfn.XLOOKUP($A39,Input_Raw!$A:$A,Input_Raw!$BO:$BO),"")</f>
        <v>0</v>
      </c>
      <c r="AB39" s="233">
        <f>IFERROR(_xlfn.XLOOKUP($A39,Input_Raw!$A:$A,Input_Raw!$BP:$BP),"")</f>
        <v>0</v>
      </c>
      <c r="AC39" s="242">
        <f>IFERROR(_xlfn.XLOOKUP($D39,'Modelling New'!$D:$D,'Modelling New'!P:P),"")</f>
        <v>3.9193548387096775</v>
      </c>
      <c r="AD39" s="233">
        <f>IFERROR(_xlfn.XLOOKUP($D39,'Modelling New'!$D:$D,'Modelling New'!T:T)*1000,"")</f>
        <v>288553.8699715368</v>
      </c>
      <c r="AE39" s="243">
        <f>IFERROR(_xlfn.XLOOKUP($D39,'Modelling New'!$D:$D,'Modelling New'!$O:$O),"")</f>
        <v>0.83852845216097582</v>
      </c>
      <c r="AF39" s="243">
        <f>IFERROR(_xlfn.XLOOKUP($D39,'Modelling New'!$D:$D,'Modelling New'!$W:$W),"")</f>
        <v>0.13693710609886903</v>
      </c>
      <c r="AG39" s="243">
        <f>IFERROR(_xlfn.XLOOKUP($D39,'Modelling New'!$D:$D,'Modelling New'!$AE:$AE),"")</f>
        <v>0.995</v>
      </c>
      <c r="AH39" s="243">
        <f>IFERROR(_xlfn.XLOOKUP($D39,'Modelling New'!$D:$D,'Modelling New'!$AF:$AF),"")</f>
        <v>0.995</v>
      </c>
      <c r="AI39" s="234"/>
      <c r="AJ39" s="234"/>
      <c r="AK39" s="234"/>
      <c r="AL39" s="234"/>
      <c r="AM39" s="234"/>
      <c r="AN39" s="244"/>
      <c r="AO39" s="241"/>
      <c r="AP39" s="241"/>
      <c r="AQ39" s="241"/>
      <c r="AR39" s="233">
        <f>_xlfn.XLOOKUP($D39,'Modelling New'!$D:$D,'Modelling New'!$N:$N)</f>
        <v>87.8</v>
      </c>
      <c r="AS39" s="233">
        <f t="shared" si="8"/>
        <v>0</v>
      </c>
    </row>
    <row r="40" spans="1:45">
      <c r="A40" s="232">
        <f t="shared" si="9"/>
        <v>45877</v>
      </c>
      <c r="B40" s="233">
        <f>YEAR(Daily_KPI[[#This Row],[Date]])+IF(MONTH(Daily_KPI[[#This Row],[Date]])&gt;=4,1,0)</f>
        <v>2026</v>
      </c>
      <c r="C40" s="234">
        <f>YEAR(Daily_KPI[[#This Row],[Date]])</f>
        <v>2025</v>
      </c>
      <c r="D40" s="235">
        <f>Daily_KPI[[#This Row],[Date]]-DAY(Daily_KPI[[#This Row],[Date]])+1</f>
        <v>45870</v>
      </c>
      <c r="E40" s="234">
        <f t="shared" si="5"/>
        <v>31</v>
      </c>
      <c r="F40" s="236">
        <f>IFERROR(_xlfn.XLOOKUP($A40,Input_Raw!$A:$A,Input_Raw!$BM:$BM),"")</f>
        <v>0</v>
      </c>
      <c r="G40" s="237">
        <f>IFERROR(_xlfn.XLOOKUP($A40,Input_Raw!$A:$A,Input_Raw!$AN:$AN),"")</f>
        <v>0</v>
      </c>
      <c r="H40" s="237"/>
      <c r="I40" s="237">
        <f>IFERROR(_xlfn.XLOOKUP($A40,Input_Raw!$A:$A,Input_Raw!$AM:$AM),"")</f>
        <v>0</v>
      </c>
      <c r="J40" s="237"/>
      <c r="K40" s="237">
        <f>IFERROR(_xlfn.XLOOKUP($A40,Input_Raw!$A:$A,Input_Raw!AO:AO),"")</f>
        <v>0</v>
      </c>
      <c r="L40" s="237">
        <f>IFERROR(_xlfn.XLOOKUP($A40,Input_Raw!$A:$A,Input_Raw!AP:AP),"")</f>
        <v>0</v>
      </c>
      <c r="M40" s="237">
        <f>IFERROR(_xlfn.XLOOKUP($A40,Input_Raw!$A:$A,Input_Raw!AS:AS),"")</f>
        <v>0</v>
      </c>
      <c r="N40" s="237">
        <f>IFERROR(_xlfn.XLOOKUP($A40,Input_Raw!$A:$A,Input_Raw!AT:AT),"")</f>
        <v>0</v>
      </c>
      <c r="O40" s="238" t="str">
        <f>IFERROR(1-(SUMIF(Plant_BD!$B:$B,$A40,Plant_BD!$AL:$AL)/($AA40+SUMIF(Plant_BD!$B:$B,$A40,Plant_BD!$AL:$AL))),"")</f>
        <v/>
      </c>
      <c r="P40" s="238"/>
      <c r="Q40" s="239"/>
      <c r="R40" s="238" t="str">
        <f>IFERROR(1-(SUMIF(Grid_BD!$B:$B,$A40,Grid_BD!$V:$V)/($AA40+SUMIF(Grid_BD!$B:$B,$A40,Grid_BD!$V:$V))),"")</f>
        <v/>
      </c>
      <c r="S40" s="234"/>
      <c r="T40" s="239"/>
      <c r="U40" s="240" t="str">
        <f t="shared" si="6"/>
        <v/>
      </c>
      <c r="V40" s="240" t="str">
        <f>IFERROR(_xlfn.XLOOKUP($A40,Input_Raw!$A:$A,Input_Raw!$BS:$BS),"")</f>
        <v/>
      </c>
      <c r="W40" s="241">
        <f t="shared" si="7"/>
        <v>0</v>
      </c>
      <c r="X40" s="233">
        <f>IFERROR(_xlfn.XLOOKUP($A40,Input_Raw!$A:$A,Input_Raw!$AW:$AW),"")</f>
        <v>0</v>
      </c>
      <c r="Y40" s="233">
        <f>IFERROR(_xlfn.XLOOKUP($A40,Input_Raw!$A:$A,Input_Raw!$BN:$BN),"")</f>
        <v>0</v>
      </c>
      <c r="Z40" s="233"/>
      <c r="AA40" s="233">
        <f>IFERROR(_xlfn.XLOOKUP($A40,Input_Raw!$A:$A,Input_Raw!$BO:$BO),"")</f>
        <v>0</v>
      </c>
      <c r="AB40" s="233">
        <f>IFERROR(_xlfn.XLOOKUP($A40,Input_Raw!$A:$A,Input_Raw!$BP:$BP),"")</f>
        <v>0</v>
      </c>
      <c r="AC40" s="242">
        <f>IFERROR(_xlfn.XLOOKUP($D40,'Modelling New'!$D:$D,'Modelling New'!P:P),"")</f>
        <v>3.9193548387096775</v>
      </c>
      <c r="AD40" s="233">
        <f>IFERROR(_xlfn.XLOOKUP($D40,'Modelling New'!$D:$D,'Modelling New'!T:T)*1000,"")</f>
        <v>288553.8699715368</v>
      </c>
      <c r="AE40" s="243">
        <f>IFERROR(_xlfn.XLOOKUP($D40,'Modelling New'!$D:$D,'Modelling New'!$O:$O),"")</f>
        <v>0.83852845216097582</v>
      </c>
      <c r="AF40" s="243">
        <f>IFERROR(_xlfn.XLOOKUP($D40,'Modelling New'!$D:$D,'Modelling New'!$W:$W),"")</f>
        <v>0.13693710609886903</v>
      </c>
      <c r="AG40" s="243">
        <f>IFERROR(_xlfn.XLOOKUP($D40,'Modelling New'!$D:$D,'Modelling New'!$AE:$AE),"")</f>
        <v>0.995</v>
      </c>
      <c r="AH40" s="243">
        <f>IFERROR(_xlfn.XLOOKUP($D40,'Modelling New'!$D:$D,'Modelling New'!$AF:$AF),"")</f>
        <v>0.995</v>
      </c>
      <c r="AI40" s="234"/>
      <c r="AJ40" s="234"/>
      <c r="AK40" s="234"/>
      <c r="AL40" s="234"/>
      <c r="AM40" s="234"/>
      <c r="AN40" s="244"/>
      <c r="AO40" s="241"/>
      <c r="AP40" s="241"/>
      <c r="AQ40" s="241"/>
      <c r="AR40" s="233">
        <f>_xlfn.XLOOKUP($D40,'Modelling New'!$D:$D,'Modelling New'!$N:$N)</f>
        <v>87.8</v>
      </c>
      <c r="AS40" s="233">
        <f t="shared" si="8"/>
        <v>0</v>
      </c>
    </row>
    <row r="41" spans="1:45">
      <c r="A41" s="232">
        <f t="shared" si="9"/>
        <v>45878</v>
      </c>
      <c r="B41" s="233">
        <f>YEAR(Daily_KPI[[#This Row],[Date]])+IF(MONTH(Daily_KPI[[#This Row],[Date]])&gt;=4,1,0)</f>
        <v>2026</v>
      </c>
      <c r="C41" s="234">
        <f>YEAR(Daily_KPI[[#This Row],[Date]])</f>
        <v>2025</v>
      </c>
      <c r="D41" s="235">
        <f>Daily_KPI[[#This Row],[Date]]-DAY(Daily_KPI[[#This Row],[Date]])+1</f>
        <v>45870</v>
      </c>
      <c r="E41" s="234">
        <f t="shared" si="5"/>
        <v>31</v>
      </c>
      <c r="F41" s="236">
        <f>IFERROR(_xlfn.XLOOKUP($A41,Input_Raw!$A:$A,Input_Raw!$BM:$BM),"")</f>
        <v>0</v>
      </c>
      <c r="G41" s="237">
        <f>IFERROR(_xlfn.XLOOKUP($A41,Input_Raw!$A:$A,Input_Raw!$AN:$AN),"")</f>
        <v>0</v>
      </c>
      <c r="H41" s="237"/>
      <c r="I41" s="237">
        <f>IFERROR(_xlfn.XLOOKUP($A41,Input_Raw!$A:$A,Input_Raw!$AM:$AM),"")</f>
        <v>0</v>
      </c>
      <c r="J41" s="237"/>
      <c r="K41" s="237">
        <f>IFERROR(_xlfn.XLOOKUP($A41,Input_Raw!$A:$A,Input_Raw!AO:AO),"")</f>
        <v>0</v>
      </c>
      <c r="L41" s="237">
        <f>IFERROR(_xlfn.XLOOKUP($A41,Input_Raw!$A:$A,Input_Raw!AP:AP),"")</f>
        <v>0</v>
      </c>
      <c r="M41" s="237">
        <f>IFERROR(_xlfn.XLOOKUP($A41,Input_Raw!$A:$A,Input_Raw!AS:AS),"")</f>
        <v>0</v>
      </c>
      <c r="N41" s="237">
        <f>IFERROR(_xlfn.XLOOKUP($A41,Input_Raw!$A:$A,Input_Raw!AT:AT),"")</f>
        <v>0</v>
      </c>
      <c r="O41" s="238" t="str">
        <f>IFERROR(1-(SUMIF(Plant_BD!$B:$B,$A41,Plant_BD!$AL:$AL)/($AA41+SUMIF(Plant_BD!$B:$B,$A41,Plant_BD!$AL:$AL))),"")</f>
        <v/>
      </c>
      <c r="P41" s="238"/>
      <c r="Q41" s="239"/>
      <c r="R41" s="238" t="str">
        <f>IFERROR(1-(SUMIF(Grid_BD!$B:$B,$A41,Grid_BD!$V:$V)/($AA41+SUMIF(Grid_BD!$B:$B,$A41,Grid_BD!$V:$V))),"")</f>
        <v/>
      </c>
      <c r="S41" s="234"/>
      <c r="T41" s="239"/>
      <c r="U41" s="240" t="str">
        <f t="shared" si="6"/>
        <v/>
      </c>
      <c r="V41" s="240" t="str">
        <f>IFERROR(_xlfn.XLOOKUP($A41,Input_Raw!$A:$A,Input_Raw!$BS:$BS),"")</f>
        <v/>
      </c>
      <c r="W41" s="241">
        <f t="shared" si="7"/>
        <v>0</v>
      </c>
      <c r="X41" s="233">
        <f>IFERROR(_xlfn.XLOOKUP($A41,Input_Raw!$A:$A,Input_Raw!$AW:$AW),"")</f>
        <v>0</v>
      </c>
      <c r="Y41" s="233">
        <f>IFERROR(_xlfn.XLOOKUP($A41,Input_Raw!$A:$A,Input_Raw!$BN:$BN),"")</f>
        <v>0</v>
      </c>
      <c r="Z41" s="233"/>
      <c r="AA41" s="233">
        <f>IFERROR(_xlfn.XLOOKUP($A41,Input_Raw!$A:$A,Input_Raw!$BO:$BO),"")</f>
        <v>0</v>
      </c>
      <c r="AB41" s="233">
        <f>IFERROR(_xlfn.XLOOKUP($A41,Input_Raw!$A:$A,Input_Raw!$BP:$BP),"")</f>
        <v>0</v>
      </c>
      <c r="AC41" s="242">
        <f>IFERROR(_xlfn.XLOOKUP($D41,'Modelling New'!$D:$D,'Modelling New'!P:P),"")</f>
        <v>3.9193548387096775</v>
      </c>
      <c r="AD41" s="233">
        <f>IFERROR(_xlfn.XLOOKUP($D41,'Modelling New'!$D:$D,'Modelling New'!T:T)*1000,"")</f>
        <v>288553.8699715368</v>
      </c>
      <c r="AE41" s="243">
        <f>IFERROR(_xlfn.XLOOKUP($D41,'Modelling New'!$D:$D,'Modelling New'!$O:$O),"")</f>
        <v>0.83852845216097582</v>
      </c>
      <c r="AF41" s="243">
        <f>IFERROR(_xlfn.XLOOKUP($D41,'Modelling New'!$D:$D,'Modelling New'!$W:$W),"")</f>
        <v>0.13693710609886903</v>
      </c>
      <c r="AG41" s="243">
        <f>IFERROR(_xlfn.XLOOKUP($D41,'Modelling New'!$D:$D,'Modelling New'!$AE:$AE),"")</f>
        <v>0.995</v>
      </c>
      <c r="AH41" s="243">
        <f>IFERROR(_xlfn.XLOOKUP($D41,'Modelling New'!$D:$D,'Modelling New'!$AF:$AF),"")</f>
        <v>0.995</v>
      </c>
      <c r="AI41" s="234"/>
      <c r="AJ41" s="234"/>
      <c r="AK41" s="234"/>
      <c r="AL41" s="234"/>
      <c r="AM41" s="234"/>
      <c r="AN41" s="244"/>
      <c r="AO41" s="241"/>
      <c r="AP41" s="241"/>
      <c r="AQ41" s="241"/>
      <c r="AR41" s="233">
        <f>_xlfn.XLOOKUP($D41,'Modelling New'!$D:$D,'Modelling New'!$N:$N)</f>
        <v>87.8</v>
      </c>
      <c r="AS41" s="233">
        <f t="shared" si="8"/>
        <v>0</v>
      </c>
    </row>
    <row r="42" spans="1:45">
      <c r="A42" s="232">
        <f t="shared" si="9"/>
        <v>45879</v>
      </c>
      <c r="B42" s="233">
        <f>YEAR(Daily_KPI[[#This Row],[Date]])+IF(MONTH(Daily_KPI[[#This Row],[Date]])&gt;=4,1,0)</f>
        <v>2026</v>
      </c>
      <c r="C42" s="234">
        <f>YEAR(Daily_KPI[[#This Row],[Date]])</f>
        <v>2025</v>
      </c>
      <c r="D42" s="235">
        <f>Daily_KPI[[#This Row],[Date]]-DAY(Daily_KPI[[#This Row],[Date]])+1</f>
        <v>45870</v>
      </c>
      <c r="E42" s="234">
        <f t="shared" si="5"/>
        <v>31</v>
      </c>
      <c r="F42" s="236">
        <f>IFERROR(_xlfn.XLOOKUP($A42,Input_Raw!$A:$A,Input_Raw!$BM:$BM),"")</f>
        <v>0</v>
      </c>
      <c r="G42" s="237">
        <f>IFERROR(_xlfn.XLOOKUP($A42,Input_Raw!$A:$A,Input_Raw!$AN:$AN),"")</f>
        <v>0</v>
      </c>
      <c r="H42" s="237"/>
      <c r="I42" s="237">
        <f>IFERROR(_xlfn.XLOOKUP($A42,Input_Raw!$A:$A,Input_Raw!$AM:$AM),"")</f>
        <v>0</v>
      </c>
      <c r="J42" s="237"/>
      <c r="K42" s="237">
        <f>IFERROR(_xlfn.XLOOKUP($A42,Input_Raw!$A:$A,Input_Raw!AO:AO),"")</f>
        <v>0</v>
      </c>
      <c r="L42" s="237">
        <f>IFERROR(_xlfn.XLOOKUP($A42,Input_Raw!$A:$A,Input_Raw!AP:AP),"")</f>
        <v>0</v>
      </c>
      <c r="M42" s="237">
        <f>IFERROR(_xlfn.XLOOKUP($A42,Input_Raw!$A:$A,Input_Raw!AS:AS),"")</f>
        <v>0</v>
      </c>
      <c r="N42" s="237">
        <f>IFERROR(_xlfn.XLOOKUP($A42,Input_Raw!$A:$A,Input_Raw!AT:AT),"")</f>
        <v>0</v>
      </c>
      <c r="O42" s="238" t="str">
        <f>IFERROR(1-(SUMIF(Plant_BD!$B:$B,$A42,Plant_BD!$AL:$AL)/($AA42+SUMIF(Plant_BD!$B:$B,$A42,Plant_BD!$AL:$AL))),"")</f>
        <v/>
      </c>
      <c r="P42" s="238"/>
      <c r="Q42" s="239"/>
      <c r="R42" s="238" t="str">
        <f>IFERROR(1-(SUMIF(Grid_BD!$B:$B,$A42,Grid_BD!$V:$V)/($AA42+SUMIF(Grid_BD!$B:$B,$A42,Grid_BD!$V:$V))),"")</f>
        <v/>
      </c>
      <c r="S42" s="234"/>
      <c r="T42" s="239"/>
      <c r="U42" s="240" t="str">
        <f t="shared" si="6"/>
        <v/>
      </c>
      <c r="V42" s="240" t="str">
        <f>IFERROR(_xlfn.XLOOKUP($A42,Input_Raw!$A:$A,Input_Raw!$BS:$BS),"")</f>
        <v/>
      </c>
      <c r="W42" s="241">
        <f t="shared" si="7"/>
        <v>0</v>
      </c>
      <c r="X42" s="233">
        <f>IFERROR(_xlfn.XLOOKUP($A42,Input_Raw!$A:$A,Input_Raw!$AW:$AW),"")</f>
        <v>0</v>
      </c>
      <c r="Y42" s="233">
        <f>IFERROR(_xlfn.XLOOKUP($A42,Input_Raw!$A:$A,Input_Raw!$BN:$BN),"")</f>
        <v>0</v>
      </c>
      <c r="Z42" s="233"/>
      <c r="AA42" s="233">
        <f>IFERROR(_xlfn.XLOOKUP($A42,Input_Raw!$A:$A,Input_Raw!$BO:$BO),"")</f>
        <v>0</v>
      </c>
      <c r="AB42" s="233">
        <f>IFERROR(_xlfn.XLOOKUP($A42,Input_Raw!$A:$A,Input_Raw!$BP:$BP),"")</f>
        <v>0</v>
      </c>
      <c r="AC42" s="242">
        <f>IFERROR(_xlfn.XLOOKUP($D42,'Modelling New'!$D:$D,'Modelling New'!P:P),"")</f>
        <v>3.9193548387096775</v>
      </c>
      <c r="AD42" s="233">
        <f>IFERROR(_xlfn.XLOOKUP($D42,'Modelling New'!$D:$D,'Modelling New'!T:T)*1000,"")</f>
        <v>288553.8699715368</v>
      </c>
      <c r="AE42" s="243">
        <f>IFERROR(_xlfn.XLOOKUP($D42,'Modelling New'!$D:$D,'Modelling New'!$O:$O),"")</f>
        <v>0.83852845216097582</v>
      </c>
      <c r="AF42" s="243">
        <f>IFERROR(_xlfn.XLOOKUP($D42,'Modelling New'!$D:$D,'Modelling New'!$W:$W),"")</f>
        <v>0.13693710609886903</v>
      </c>
      <c r="AG42" s="243">
        <f>IFERROR(_xlfn.XLOOKUP($D42,'Modelling New'!$D:$D,'Modelling New'!$AE:$AE),"")</f>
        <v>0.995</v>
      </c>
      <c r="AH42" s="243">
        <f>IFERROR(_xlfn.XLOOKUP($D42,'Modelling New'!$D:$D,'Modelling New'!$AF:$AF),"")</f>
        <v>0.995</v>
      </c>
      <c r="AI42" s="234"/>
      <c r="AJ42" s="234"/>
      <c r="AK42" s="234"/>
      <c r="AL42" s="234"/>
      <c r="AM42" s="234"/>
      <c r="AN42" s="244"/>
      <c r="AO42" s="241"/>
      <c r="AP42" s="241"/>
      <c r="AQ42" s="241"/>
      <c r="AR42" s="233">
        <f>_xlfn.XLOOKUP($D42,'Modelling New'!$D:$D,'Modelling New'!$N:$N)</f>
        <v>87.8</v>
      </c>
      <c r="AS42" s="233">
        <f t="shared" si="8"/>
        <v>0</v>
      </c>
    </row>
    <row r="43" spans="1:45">
      <c r="A43" s="232">
        <f t="shared" si="9"/>
        <v>45880</v>
      </c>
      <c r="B43" s="233">
        <f>YEAR(Daily_KPI[[#This Row],[Date]])+IF(MONTH(Daily_KPI[[#This Row],[Date]])&gt;=4,1,0)</f>
        <v>2026</v>
      </c>
      <c r="C43" s="234">
        <f>YEAR(Daily_KPI[[#This Row],[Date]])</f>
        <v>2025</v>
      </c>
      <c r="D43" s="235">
        <f>Daily_KPI[[#This Row],[Date]]-DAY(Daily_KPI[[#This Row],[Date]])+1</f>
        <v>45870</v>
      </c>
      <c r="E43" s="234">
        <f t="shared" si="5"/>
        <v>31</v>
      </c>
      <c r="F43" s="236">
        <f>IFERROR(_xlfn.XLOOKUP($A43,Input_Raw!$A:$A,Input_Raw!$BM:$BM),"")</f>
        <v>0</v>
      </c>
      <c r="G43" s="237">
        <f>IFERROR(_xlfn.XLOOKUP($A43,Input_Raw!$A:$A,Input_Raw!$AN:$AN),"")</f>
        <v>0</v>
      </c>
      <c r="H43" s="237"/>
      <c r="I43" s="237">
        <f>IFERROR(_xlfn.XLOOKUP($A43,Input_Raw!$A:$A,Input_Raw!$AM:$AM),"")</f>
        <v>0</v>
      </c>
      <c r="J43" s="237"/>
      <c r="K43" s="237">
        <f>IFERROR(_xlfn.XLOOKUP($A43,Input_Raw!$A:$A,Input_Raw!AO:AO),"")</f>
        <v>0</v>
      </c>
      <c r="L43" s="237">
        <f>IFERROR(_xlfn.XLOOKUP($A43,Input_Raw!$A:$A,Input_Raw!AP:AP),"")</f>
        <v>0</v>
      </c>
      <c r="M43" s="237">
        <f>IFERROR(_xlfn.XLOOKUP($A43,Input_Raw!$A:$A,Input_Raw!AS:AS),"")</f>
        <v>0</v>
      </c>
      <c r="N43" s="237">
        <f>IFERROR(_xlfn.XLOOKUP($A43,Input_Raw!$A:$A,Input_Raw!AT:AT),"")</f>
        <v>0</v>
      </c>
      <c r="O43" s="238" t="str">
        <f>IFERROR(1-(SUMIF(Plant_BD!$B:$B,$A43,Plant_BD!$AL:$AL)/($AA43+SUMIF(Plant_BD!$B:$B,$A43,Plant_BD!$AL:$AL))),"")</f>
        <v/>
      </c>
      <c r="P43" s="238"/>
      <c r="Q43" s="239"/>
      <c r="R43" s="238" t="str">
        <f>IFERROR(1-(SUMIF(Grid_BD!$B:$B,$A43,Grid_BD!$V:$V)/($AA43+SUMIF(Grid_BD!$B:$B,$A43,Grid_BD!$V:$V))),"")</f>
        <v/>
      </c>
      <c r="S43" s="234"/>
      <c r="T43" s="239"/>
      <c r="U43" s="240" t="str">
        <f t="shared" si="6"/>
        <v/>
      </c>
      <c r="V43" s="240" t="str">
        <f>IFERROR(_xlfn.XLOOKUP($A43,Input_Raw!$A:$A,Input_Raw!$BS:$BS),"")</f>
        <v/>
      </c>
      <c r="W43" s="241">
        <f t="shared" si="7"/>
        <v>0</v>
      </c>
      <c r="X43" s="233">
        <f>IFERROR(_xlfn.XLOOKUP($A43,Input_Raw!$A:$A,Input_Raw!$AW:$AW),"")</f>
        <v>0</v>
      </c>
      <c r="Y43" s="233">
        <f>IFERROR(_xlfn.XLOOKUP($A43,Input_Raw!$A:$A,Input_Raw!$BN:$BN),"")</f>
        <v>0</v>
      </c>
      <c r="Z43" s="233"/>
      <c r="AA43" s="233">
        <f>IFERROR(_xlfn.XLOOKUP($A43,Input_Raw!$A:$A,Input_Raw!$BO:$BO),"")</f>
        <v>0</v>
      </c>
      <c r="AB43" s="233">
        <f>IFERROR(_xlfn.XLOOKUP($A43,Input_Raw!$A:$A,Input_Raw!$BP:$BP),"")</f>
        <v>0</v>
      </c>
      <c r="AC43" s="242">
        <f>IFERROR(_xlfn.XLOOKUP($D43,'Modelling New'!$D:$D,'Modelling New'!P:P),"")</f>
        <v>3.9193548387096775</v>
      </c>
      <c r="AD43" s="233">
        <f>IFERROR(_xlfn.XLOOKUP($D43,'Modelling New'!$D:$D,'Modelling New'!T:T)*1000,"")</f>
        <v>288553.8699715368</v>
      </c>
      <c r="AE43" s="243">
        <f>IFERROR(_xlfn.XLOOKUP($D43,'Modelling New'!$D:$D,'Modelling New'!$O:$O),"")</f>
        <v>0.83852845216097582</v>
      </c>
      <c r="AF43" s="243">
        <f>IFERROR(_xlfn.XLOOKUP($D43,'Modelling New'!$D:$D,'Modelling New'!$W:$W),"")</f>
        <v>0.13693710609886903</v>
      </c>
      <c r="AG43" s="243">
        <f>IFERROR(_xlfn.XLOOKUP($D43,'Modelling New'!$D:$D,'Modelling New'!$AE:$AE),"")</f>
        <v>0.995</v>
      </c>
      <c r="AH43" s="243">
        <f>IFERROR(_xlfn.XLOOKUP($D43,'Modelling New'!$D:$D,'Modelling New'!$AF:$AF),"")</f>
        <v>0.995</v>
      </c>
      <c r="AI43" s="234"/>
      <c r="AJ43" s="234"/>
      <c r="AK43" s="234"/>
      <c r="AL43" s="234"/>
      <c r="AM43" s="234"/>
      <c r="AN43" s="244"/>
      <c r="AO43" s="241"/>
      <c r="AP43" s="241"/>
      <c r="AQ43" s="241"/>
      <c r="AR43" s="233">
        <f>_xlfn.XLOOKUP($D43,'Modelling New'!$D:$D,'Modelling New'!$N:$N)</f>
        <v>87.8</v>
      </c>
      <c r="AS43" s="233">
        <f t="shared" si="8"/>
        <v>0</v>
      </c>
    </row>
    <row r="44" spans="1:45">
      <c r="A44" s="232">
        <f t="shared" si="9"/>
        <v>45881</v>
      </c>
      <c r="B44" s="233">
        <f>YEAR(Daily_KPI[[#This Row],[Date]])+IF(MONTH(Daily_KPI[[#This Row],[Date]])&gt;=4,1,0)</f>
        <v>2026</v>
      </c>
      <c r="C44" s="234">
        <f>YEAR(Daily_KPI[[#This Row],[Date]])</f>
        <v>2025</v>
      </c>
      <c r="D44" s="235">
        <f>Daily_KPI[[#This Row],[Date]]-DAY(Daily_KPI[[#This Row],[Date]])+1</f>
        <v>45870</v>
      </c>
      <c r="E44" s="234">
        <f t="shared" si="5"/>
        <v>31</v>
      </c>
      <c r="F44" s="236">
        <f>IFERROR(_xlfn.XLOOKUP($A44,Input_Raw!$A:$A,Input_Raw!$BM:$BM),"")</f>
        <v>0</v>
      </c>
      <c r="G44" s="237">
        <f>IFERROR(_xlfn.XLOOKUP($A44,Input_Raw!$A:$A,Input_Raw!$AN:$AN),"")</f>
        <v>0</v>
      </c>
      <c r="H44" s="237"/>
      <c r="I44" s="237">
        <f>IFERROR(_xlfn.XLOOKUP($A44,Input_Raw!$A:$A,Input_Raw!$AM:$AM),"")</f>
        <v>0</v>
      </c>
      <c r="J44" s="237"/>
      <c r="K44" s="237">
        <f>IFERROR(_xlfn.XLOOKUP($A44,Input_Raw!$A:$A,Input_Raw!AO:AO),"")</f>
        <v>0</v>
      </c>
      <c r="L44" s="237">
        <f>IFERROR(_xlfn.XLOOKUP($A44,Input_Raw!$A:$A,Input_Raw!AP:AP),"")</f>
        <v>0</v>
      </c>
      <c r="M44" s="237">
        <f>IFERROR(_xlfn.XLOOKUP($A44,Input_Raw!$A:$A,Input_Raw!AS:AS),"")</f>
        <v>0</v>
      </c>
      <c r="N44" s="237">
        <f>IFERROR(_xlfn.XLOOKUP($A44,Input_Raw!$A:$A,Input_Raw!AT:AT),"")</f>
        <v>0</v>
      </c>
      <c r="O44" s="238" t="str">
        <f>IFERROR(1-(SUMIF(Plant_BD!$B:$B,$A44,Plant_BD!$AL:$AL)/($AA44+SUMIF(Plant_BD!$B:$B,$A44,Plant_BD!$AL:$AL))),"")</f>
        <v/>
      </c>
      <c r="P44" s="238"/>
      <c r="Q44" s="239"/>
      <c r="R44" s="238" t="str">
        <f>IFERROR(1-(SUMIF(Grid_BD!$B:$B,$A44,Grid_BD!$V:$V)/($AA44+SUMIF(Grid_BD!$B:$B,$A44,Grid_BD!$V:$V))),"")</f>
        <v/>
      </c>
      <c r="S44" s="234"/>
      <c r="T44" s="239"/>
      <c r="U44" s="240" t="str">
        <f t="shared" si="6"/>
        <v/>
      </c>
      <c r="V44" s="240" t="str">
        <f>IFERROR(_xlfn.XLOOKUP($A44,Input_Raw!$A:$A,Input_Raw!$BS:$BS),"")</f>
        <v/>
      </c>
      <c r="W44" s="241">
        <f t="shared" si="7"/>
        <v>0</v>
      </c>
      <c r="X44" s="233">
        <f>IFERROR(_xlfn.XLOOKUP($A44,Input_Raw!$A:$A,Input_Raw!$AW:$AW),"")</f>
        <v>0</v>
      </c>
      <c r="Y44" s="233">
        <f>IFERROR(_xlfn.XLOOKUP($A44,Input_Raw!$A:$A,Input_Raw!$BN:$BN),"")</f>
        <v>0</v>
      </c>
      <c r="Z44" s="233"/>
      <c r="AA44" s="233">
        <f>IFERROR(_xlfn.XLOOKUP($A44,Input_Raw!$A:$A,Input_Raw!$BO:$BO),"")</f>
        <v>0</v>
      </c>
      <c r="AB44" s="233">
        <f>IFERROR(_xlfn.XLOOKUP($A44,Input_Raw!$A:$A,Input_Raw!$BP:$BP),"")</f>
        <v>0</v>
      </c>
      <c r="AC44" s="242">
        <f>IFERROR(_xlfn.XLOOKUP($D44,'Modelling New'!$D:$D,'Modelling New'!P:P),"")</f>
        <v>3.9193548387096775</v>
      </c>
      <c r="AD44" s="233">
        <f>IFERROR(_xlfn.XLOOKUP($D44,'Modelling New'!$D:$D,'Modelling New'!T:T)*1000,"")</f>
        <v>288553.8699715368</v>
      </c>
      <c r="AE44" s="243">
        <f>IFERROR(_xlfn.XLOOKUP($D44,'Modelling New'!$D:$D,'Modelling New'!$O:$O),"")</f>
        <v>0.83852845216097582</v>
      </c>
      <c r="AF44" s="243">
        <f>IFERROR(_xlfn.XLOOKUP($D44,'Modelling New'!$D:$D,'Modelling New'!$W:$W),"")</f>
        <v>0.13693710609886903</v>
      </c>
      <c r="AG44" s="243">
        <f>IFERROR(_xlfn.XLOOKUP($D44,'Modelling New'!$D:$D,'Modelling New'!$AE:$AE),"")</f>
        <v>0.995</v>
      </c>
      <c r="AH44" s="243">
        <f>IFERROR(_xlfn.XLOOKUP($D44,'Modelling New'!$D:$D,'Modelling New'!$AF:$AF),"")</f>
        <v>0.995</v>
      </c>
      <c r="AI44" s="234"/>
      <c r="AJ44" s="234"/>
      <c r="AK44" s="234"/>
      <c r="AL44" s="234"/>
      <c r="AM44" s="234"/>
      <c r="AN44" s="244"/>
      <c r="AO44" s="241"/>
      <c r="AP44" s="241"/>
      <c r="AQ44" s="241"/>
      <c r="AR44" s="233">
        <f>_xlfn.XLOOKUP($D44,'Modelling New'!$D:$D,'Modelling New'!$N:$N)</f>
        <v>87.8</v>
      </c>
      <c r="AS44" s="233">
        <f t="shared" si="8"/>
        <v>0</v>
      </c>
    </row>
    <row r="45" spans="1:45">
      <c r="A45" s="232">
        <f t="shared" si="9"/>
        <v>45882</v>
      </c>
      <c r="B45" s="233">
        <f>YEAR(Daily_KPI[[#This Row],[Date]])+IF(MONTH(Daily_KPI[[#This Row],[Date]])&gt;=4,1,0)</f>
        <v>2026</v>
      </c>
      <c r="C45" s="234">
        <f>YEAR(Daily_KPI[[#This Row],[Date]])</f>
        <v>2025</v>
      </c>
      <c r="D45" s="235">
        <f>Daily_KPI[[#This Row],[Date]]-DAY(Daily_KPI[[#This Row],[Date]])+1</f>
        <v>45870</v>
      </c>
      <c r="E45" s="234">
        <f t="shared" si="5"/>
        <v>31</v>
      </c>
      <c r="F45" s="236">
        <f>IFERROR(_xlfn.XLOOKUP($A45,Input_Raw!$A:$A,Input_Raw!$BM:$BM),"")</f>
        <v>0</v>
      </c>
      <c r="G45" s="237">
        <f>IFERROR(_xlfn.XLOOKUP($A45,Input_Raw!$A:$A,Input_Raw!$AN:$AN),"")</f>
        <v>0</v>
      </c>
      <c r="H45" s="237"/>
      <c r="I45" s="237">
        <f>IFERROR(_xlfn.XLOOKUP($A45,Input_Raw!$A:$A,Input_Raw!$AM:$AM),"")</f>
        <v>0</v>
      </c>
      <c r="J45" s="237"/>
      <c r="K45" s="237">
        <f>IFERROR(_xlfn.XLOOKUP($A45,Input_Raw!$A:$A,Input_Raw!AO:AO),"")</f>
        <v>0</v>
      </c>
      <c r="L45" s="237">
        <f>IFERROR(_xlfn.XLOOKUP($A45,Input_Raw!$A:$A,Input_Raw!AP:AP),"")</f>
        <v>0</v>
      </c>
      <c r="M45" s="237">
        <f>IFERROR(_xlfn.XLOOKUP($A45,Input_Raw!$A:$A,Input_Raw!AS:AS),"")</f>
        <v>0</v>
      </c>
      <c r="N45" s="237">
        <f>IFERROR(_xlfn.XLOOKUP($A45,Input_Raw!$A:$A,Input_Raw!AT:AT),"")</f>
        <v>0</v>
      </c>
      <c r="O45" s="238" t="str">
        <f>IFERROR(1-(SUMIF(Plant_BD!$B:$B,$A45,Plant_BD!$AL:$AL)/($AA45+SUMIF(Plant_BD!$B:$B,$A45,Plant_BD!$AL:$AL))),"")</f>
        <v/>
      </c>
      <c r="P45" s="238"/>
      <c r="Q45" s="239"/>
      <c r="R45" s="238" t="str">
        <f>IFERROR(1-(SUMIF(Grid_BD!$B:$B,$A45,Grid_BD!$V:$V)/($AA45+SUMIF(Grid_BD!$B:$B,$A45,Grid_BD!$V:$V))),"")</f>
        <v/>
      </c>
      <c r="S45" s="234"/>
      <c r="T45" s="239"/>
      <c r="U45" s="240" t="str">
        <f t="shared" si="6"/>
        <v/>
      </c>
      <c r="V45" s="240" t="str">
        <f>IFERROR(_xlfn.XLOOKUP($A45,Input_Raw!$A:$A,Input_Raw!$BS:$BS),"")</f>
        <v/>
      </c>
      <c r="W45" s="241">
        <f t="shared" si="7"/>
        <v>0</v>
      </c>
      <c r="X45" s="233">
        <f>IFERROR(_xlfn.XLOOKUP($A45,Input_Raw!$A:$A,Input_Raw!$AW:$AW),"")</f>
        <v>0</v>
      </c>
      <c r="Y45" s="233">
        <f>IFERROR(_xlfn.XLOOKUP($A45,Input_Raw!$A:$A,Input_Raw!$BN:$BN),"")</f>
        <v>0</v>
      </c>
      <c r="Z45" s="233"/>
      <c r="AA45" s="233">
        <f>IFERROR(_xlfn.XLOOKUP($A45,Input_Raw!$A:$A,Input_Raw!$BO:$BO),"")</f>
        <v>0</v>
      </c>
      <c r="AB45" s="233">
        <f>IFERROR(_xlfn.XLOOKUP($A45,Input_Raw!$A:$A,Input_Raw!$BP:$BP),"")</f>
        <v>0</v>
      </c>
      <c r="AC45" s="242">
        <f>IFERROR(_xlfn.XLOOKUP($D45,'Modelling New'!$D:$D,'Modelling New'!P:P),"")</f>
        <v>3.9193548387096775</v>
      </c>
      <c r="AD45" s="233">
        <f>IFERROR(_xlfn.XLOOKUP($D45,'Modelling New'!$D:$D,'Modelling New'!T:T)*1000,"")</f>
        <v>288553.8699715368</v>
      </c>
      <c r="AE45" s="243">
        <f>IFERROR(_xlfn.XLOOKUP($D45,'Modelling New'!$D:$D,'Modelling New'!$O:$O),"")</f>
        <v>0.83852845216097582</v>
      </c>
      <c r="AF45" s="243">
        <f>IFERROR(_xlfn.XLOOKUP($D45,'Modelling New'!$D:$D,'Modelling New'!$W:$W),"")</f>
        <v>0.13693710609886903</v>
      </c>
      <c r="AG45" s="243">
        <f>IFERROR(_xlfn.XLOOKUP($D45,'Modelling New'!$D:$D,'Modelling New'!$AE:$AE),"")</f>
        <v>0.995</v>
      </c>
      <c r="AH45" s="243">
        <f>IFERROR(_xlfn.XLOOKUP($D45,'Modelling New'!$D:$D,'Modelling New'!$AF:$AF),"")</f>
        <v>0.995</v>
      </c>
      <c r="AI45" s="234"/>
      <c r="AJ45" s="234"/>
      <c r="AK45" s="234"/>
      <c r="AL45" s="234"/>
      <c r="AM45" s="234"/>
      <c r="AN45" s="244"/>
      <c r="AO45" s="241"/>
      <c r="AP45" s="241"/>
      <c r="AQ45" s="241"/>
      <c r="AR45" s="233">
        <f>_xlfn.XLOOKUP($D45,'Modelling New'!$D:$D,'Modelling New'!$N:$N)</f>
        <v>87.8</v>
      </c>
      <c r="AS45" s="233">
        <f t="shared" si="8"/>
        <v>0</v>
      </c>
    </row>
    <row r="46" spans="1:45">
      <c r="A46" s="232">
        <f t="shared" si="9"/>
        <v>45883</v>
      </c>
      <c r="B46" s="233">
        <f>YEAR(Daily_KPI[[#This Row],[Date]])+IF(MONTH(Daily_KPI[[#This Row],[Date]])&gt;=4,1,0)</f>
        <v>2026</v>
      </c>
      <c r="C46" s="234">
        <f>YEAR(Daily_KPI[[#This Row],[Date]])</f>
        <v>2025</v>
      </c>
      <c r="D46" s="235">
        <f>Daily_KPI[[#This Row],[Date]]-DAY(Daily_KPI[[#This Row],[Date]])+1</f>
        <v>45870</v>
      </c>
      <c r="E46" s="234">
        <f t="shared" si="5"/>
        <v>31</v>
      </c>
      <c r="F46" s="236">
        <f>IFERROR(_xlfn.XLOOKUP($A46,Input_Raw!$A:$A,Input_Raw!$BM:$BM),"")</f>
        <v>0</v>
      </c>
      <c r="G46" s="237">
        <f>IFERROR(_xlfn.XLOOKUP($A46,Input_Raw!$A:$A,Input_Raw!$AN:$AN),"")</f>
        <v>0</v>
      </c>
      <c r="H46" s="237"/>
      <c r="I46" s="237">
        <f>IFERROR(_xlfn.XLOOKUP($A46,Input_Raw!$A:$A,Input_Raw!$AM:$AM),"")</f>
        <v>0</v>
      </c>
      <c r="J46" s="237"/>
      <c r="K46" s="237">
        <f>IFERROR(_xlfn.XLOOKUP($A46,Input_Raw!$A:$A,Input_Raw!AO:AO),"")</f>
        <v>0</v>
      </c>
      <c r="L46" s="237">
        <f>IFERROR(_xlfn.XLOOKUP($A46,Input_Raw!$A:$A,Input_Raw!AP:AP),"")</f>
        <v>0</v>
      </c>
      <c r="M46" s="237">
        <f>IFERROR(_xlfn.XLOOKUP($A46,Input_Raw!$A:$A,Input_Raw!AS:AS),"")</f>
        <v>0</v>
      </c>
      <c r="N46" s="237">
        <f>IFERROR(_xlfn.XLOOKUP($A46,Input_Raw!$A:$A,Input_Raw!AT:AT),"")</f>
        <v>0</v>
      </c>
      <c r="O46" s="238" t="str">
        <f>IFERROR(1-(SUMIF(Plant_BD!$B:$B,$A46,Plant_BD!$AL:$AL)/($AA46+SUMIF(Plant_BD!$B:$B,$A46,Plant_BD!$AL:$AL))),"")</f>
        <v/>
      </c>
      <c r="P46" s="238"/>
      <c r="Q46" s="239"/>
      <c r="R46" s="238" t="str">
        <f>IFERROR(1-(SUMIF(Grid_BD!$B:$B,$A46,Grid_BD!$V:$V)/($AA46+SUMIF(Grid_BD!$B:$B,$A46,Grid_BD!$V:$V))),"")</f>
        <v/>
      </c>
      <c r="S46" s="234"/>
      <c r="T46" s="239"/>
      <c r="U46" s="240" t="str">
        <f t="shared" si="6"/>
        <v/>
      </c>
      <c r="V46" s="240" t="str">
        <f>IFERROR(_xlfn.XLOOKUP($A46,Input_Raw!$A:$A,Input_Raw!$BS:$BS),"")</f>
        <v/>
      </c>
      <c r="W46" s="241">
        <f t="shared" si="7"/>
        <v>0</v>
      </c>
      <c r="X46" s="233">
        <f>IFERROR(_xlfn.XLOOKUP($A46,Input_Raw!$A:$A,Input_Raw!$AW:$AW),"")</f>
        <v>0</v>
      </c>
      <c r="Y46" s="233">
        <f>IFERROR(_xlfn.XLOOKUP($A46,Input_Raw!$A:$A,Input_Raw!$BN:$BN),"")</f>
        <v>0</v>
      </c>
      <c r="Z46" s="233"/>
      <c r="AA46" s="233">
        <f>IFERROR(_xlfn.XLOOKUP($A46,Input_Raw!$A:$A,Input_Raw!$BO:$BO),"")</f>
        <v>0</v>
      </c>
      <c r="AB46" s="233">
        <f>IFERROR(_xlfn.XLOOKUP($A46,Input_Raw!$A:$A,Input_Raw!$BP:$BP),"")</f>
        <v>0</v>
      </c>
      <c r="AC46" s="242">
        <f>IFERROR(_xlfn.XLOOKUP($D46,'Modelling New'!$D:$D,'Modelling New'!P:P),"")</f>
        <v>3.9193548387096775</v>
      </c>
      <c r="AD46" s="233">
        <f>IFERROR(_xlfn.XLOOKUP($D46,'Modelling New'!$D:$D,'Modelling New'!T:T)*1000,"")</f>
        <v>288553.8699715368</v>
      </c>
      <c r="AE46" s="243">
        <f>IFERROR(_xlfn.XLOOKUP($D46,'Modelling New'!$D:$D,'Modelling New'!$O:$O),"")</f>
        <v>0.83852845216097582</v>
      </c>
      <c r="AF46" s="243">
        <f>IFERROR(_xlfn.XLOOKUP($D46,'Modelling New'!$D:$D,'Modelling New'!$W:$W),"")</f>
        <v>0.13693710609886903</v>
      </c>
      <c r="AG46" s="243">
        <f>IFERROR(_xlfn.XLOOKUP($D46,'Modelling New'!$D:$D,'Modelling New'!$AE:$AE),"")</f>
        <v>0.995</v>
      </c>
      <c r="AH46" s="243">
        <f>IFERROR(_xlfn.XLOOKUP($D46,'Modelling New'!$D:$D,'Modelling New'!$AF:$AF),"")</f>
        <v>0.995</v>
      </c>
      <c r="AI46" s="234"/>
      <c r="AJ46" s="234"/>
      <c r="AK46" s="234"/>
      <c r="AL46" s="234"/>
      <c r="AM46" s="234"/>
      <c r="AN46" s="244"/>
      <c r="AO46" s="241"/>
      <c r="AP46" s="241"/>
      <c r="AQ46" s="241"/>
      <c r="AR46" s="233">
        <f>_xlfn.XLOOKUP($D46,'Modelling New'!$D:$D,'Modelling New'!$N:$N)</f>
        <v>87.8</v>
      </c>
      <c r="AS46" s="233">
        <f t="shared" si="8"/>
        <v>0</v>
      </c>
    </row>
    <row r="47" spans="1:45">
      <c r="A47" s="232">
        <f t="shared" si="9"/>
        <v>45884</v>
      </c>
      <c r="B47" s="233">
        <f>YEAR(Daily_KPI[[#This Row],[Date]])+IF(MONTH(Daily_KPI[[#This Row],[Date]])&gt;=4,1,0)</f>
        <v>2026</v>
      </c>
      <c r="C47" s="234">
        <f>YEAR(Daily_KPI[[#This Row],[Date]])</f>
        <v>2025</v>
      </c>
      <c r="D47" s="235">
        <f>Daily_KPI[[#This Row],[Date]]-DAY(Daily_KPI[[#This Row],[Date]])+1</f>
        <v>45870</v>
      </c>
      <c r="E47" s="234">
        <f t="shared" si="5"/>
        <v>31</v>
      </c>
      <c r="F47" s="236">
        <f>IFERROR(_xlfn.XLOOKUP($A47,Input_Raw!$A:$A,Input_Raw!$BM:$BM),"")</f>
        <v>0</v>
      </c>
      <c r="G47" s="237">
        <f>IFERROR(_xlfn.XLOOKUP($A47,Input_Raw!$A:$A,Input_Raw!$AN:$AN),"")</f>
        <v>0</v>
      </c>
      <c r="H47" s="237"/>
      <c r="I47" s="237">
        <f>IFERROR(_xlfn.XLOOKUP($A47,Input_Raw!$A:$A,Input_Raw!$AM:$AM),"")</f>
        <v>0</v>
      </c>
      <c r="J47" s="237"/>
      <c r="K47" s="237">
        <f>IFERROR(_xlfn.XLOOKUP($A47,Input_Raw!$A:$A,Input_Raw!AO:AO),"")</f>
        <v>0</v>
      </c>
      <c r="L47" s="237">
        <f>IFERROR(_xlfn.XLOOKUP($A47,Input_Raw!$A:$A,Input_Raw!AP:AP),"")</f>
        <v>0</v>
      </c>
      <c r="M47" s="237">
        <f>IFERROR(_xlfn.XLOOKUP($A47,Input_Raw!$A:$A,Input_Raw!AS:AS),"")</f>
        <v>0</v>
      </c>
      <c r="N47" s="237">
        <f>IFERROR(_xlfn.XLOOKUP($A47,Input_Raw!$A:$A,Input_Raw!AT:AT),"")</f>
        <v>0</v>
      </c>
      <c r="O47" s="238" t="str">
        <f>IFERROR(1-(SUMIF(Plant_BD!$B:$B,$A47,Plant_BD!$AL:$AL)/($AA47+SUMIF(Plant_BD!$B:$B,$A47,Plant_BD!$AL:$AL))),"")</f>
        <v/>
      </c>
      <c r="P47" s="238"/>
      <c r="Q47" s="239"/>
      <c r="R47" s="238" t="str">
        <f>IFERROR(1-(SUMIF(Grid_BD!$B:$B,$A47,Grid_BD!$V:$V)/($AA47+SUMIF(Grid_BD!$B:$B,$A47,Grid_BD!$V:$V))),"")</f>
        <v/>
      </c>
      <c r="S47" s="234"/>
      <c r="T47" s="239"/>
      <c r="U47" s="240" t="str">
        <f t="shared" si="6"/>
        <v/>
      </c>
      <c r="V47" s="240" t="str">
        <f>IFERROR(_xlfn.XLOOKUP($A47,Input_Raw!$A:$A,Input_Raw!$BS:$BS),"")</f>
        <v/>
      </c>
      <c r="W47" s="241">
        <f t="shared" si="7"/>
        <v>0</v>
      </c>
      <c r="X47" s="233">
        <f>IFERROR(_xlfn.XLOOKUP($A47,Input_Raw!$A:$A,Input_Raw!$AW:$AW),"")</f>
        <v>0</v>
      </c>
      <c r="Y47" s="233">
        <f>IFERROR(_xlfn.XLOOKUP($A47,Input_Raw!$A:$A,Input_Raw!$BN:$BN),"")</f>
        <v>0</v>
      </c>
      <c r="Z47" s="233"/>
      <c r="AA47" s="233">
        <f>IFERROR(_xlfn.XLOOKUP($A47,Input_Raw!$A:$A,Input_Raw!$BO:$BO),"")</f>
        <v>0</v>
      </c>
      <c r="AB47" s="233">
        <f>IFERROR(_xlfn.XLOOKUP($A47,Input_Raw!$A:$A,Input_Raw!$BP:$BP),"")</f>
        <v>0</v>
      </c>
      <c r="AC47" s="242">
        <f>IFERROR(_xlfn.XLOOKUP($D47,'Modelling New'!$D:$D,'Modelling New'!P:P),"")</f>
        <v>3.9193548387096775</v>
      </c>
      <c r="AD47" s="233">
        <f>IFERROR(_xlfn.XLOOKUP($D47,'Modelling New'!$D:$D,'Modelling New'!T:T)*1000,"")</f>
        <v>288553.8699715368</v>
      </c>
      <c r="AE47" s="243">
        <f>IFERROR(_xlfn.XLOOKUP($D47,'Modelling New'!$D:$D,'Modelling New'!$O:$O),"")</f>
        <v>0.83852845216097582</v>
      </c>
      <c r="AF47" s="243">
        <f>IFERROR(_xlfn.XLOOKUP($D47,'Modelling New'!$D:$D,'Modelling New'!$W:$W),"")</f>
        <v>0.13693710609886903</v>
      </c>
      <c r="AG47" s="243">
        <f>IFERROR(_xlfn.XLOOKUP($D47,'Modelling New'!$D:$D,'Modelling New'!$AE:$AE),"")</f>
        <v>0.995</v>
      </c>
      <c r="AH47" s="243">
        <f>IFERROR(_xlfn.XLOOKUP($D47,'Modelling New'!$D:$D,'Modelling New'!$AF:$AF),"")</f>
        <v>0.995</v>
      </c>
      <c r="AI47" s="234"/>
      <c r="AJ47" s="234"/>
      <c r="AK47" s="234"/>
      <c r="AL47" s="234"/>
      <c r="AM47" s="234"/>
      <c r="AN47" s="244"/>
      <c r="AO47" s="241"/>
      <c r="AP47" s="241"/>
      <c r="AQ47" s="241"/>
      <c r="AR47" s="233">
        <f>_xlfn.XLOOKUP($D47,'Modelling New'!$D:$D,'Modelling New'!$N:$N)</f>
        <v>87.8</v>
      </c>
      <c r="AS47" s="233">
        <f t="shared" si="8"/>
        <v>0</v>
      </c>
    </row>
    <row r="48" spans="1:45">
      <c r="A48" s="232">
        <f t="shared" si="9"/>
        <v>45885</v>
      </c>
      <c r="B48" s="233">
        <f>YEAR(Daily_KPI[[#This Row],[Date]])+IF(MONTH(Daily_KPI[[#This Row],[Date]])&gt;=4,1,0)</f>
        <v>2026</v>
      </c>
      <c r="C48" s="234">
        <f>YEAR(Daily_KPI[[#This Row],[Date]])</f>
        <v>2025</v>
      </c>
      <c r="D48" s="235">
        <f>Daily_KPI[[#This Row],[Date]]-DAY(Daily_KPI[[#This Row],[Date]])+1</f>
        <v>45870</v>
      </c>
      <c r="E48" s="234">
        <f t="shared" si="5"/>
        <v>31</v>
      </c>
      <c r="F48" s="236">
        <f>IFERROR(_xlfn.XLOOKUP($A48,Input_Raw!$A:$A,Input_Raw!$BM:$BM),"")</f>
        <v>0</v>
      </c>
      <c r="G48" s="237">
        <f>IFERROR(_xlfn.XLOOKUP($A48,Input_Raw!$A:$A,Input_Raw!$AN:$AN),"")</f>
        <v>0</v>
      </c>
      <c r="H48" s="237"/>
      <c r="I48" s="237">
        <f>IFERROR(_xlfn.XLOOKUP($A48,Input_Raw!$A:$A,Input_Raw!$AM:$AM),"")</f>
        <v>0</v>
      </c>
      <c r="J48" s="237"/>
      <c r="K48" s="237">
        <f>IFERROR(_xlfn.XLOOKUP($A48,Input_Raw!$A:$A,Input_Raw!AO:AO),"")</f>
        <v>0</v>
      </c>
      <c r="L48" s="237">
        <f>IFERROR(_xlfn.XLOOKUP($A48,Input_Raw!$A:$A,Input_Raw!AP:AP),"")</f>
        <v>0</v>
      </c>
      <c r="M48" s="237">
        <f>IFERROR(_xlfn.XLOOKUP($A48,Input_Raw!$A:$A,Input_Raw!AS:AS),"")</f>
        <v>0</v>
      </c>
      <c r="N48" s="237">
        <f>IFERROR(_xlfn.XLOOKUP($A48,Input_Raw!$A:$A,Input_Raw!AT:AT),"")</f>
        <v>0</v>
      </c>
      <c r="O48" s="238" t="str">
        <f>IFERROR(1-(SUMIF(Plant_BD!$B:$B,$A48,Plant_BD!$AL:$AL)/($AA48+SUMIF(Plant_BD!$B:$B,$A48,Plant_BD!$AL:$AL))),"")</f>
        <v/>
      </c>
      <c r="P48" s="238"/>
      <c r="Q48" s="239"/>
      <c r="R48" s="238" t="str">
        <f>IFERROR(1-(SUMIF(Grid_BD!$B:$B,$A48,Grid_BD!$V:$V)/($AA48+SUMIF(Grid_BD!$B:$B,$A48,Grid_BD!$V:$V))),"")</f>
        <v/>
      </c>
      <c r="S48" s="234"/>
      <c r="T48" s="239"/>
      <c r="U48" s="240" t="str">
        <f t="shared" si="6"/>
        <v/>
      </c>
      <c r="V48" s="240" t="str">
        <f>IFERROR(_xlfn.XLOOKUP($A48,Input_Raw!$A:$A,Input_Raw!$BS:$BS),"")</f>
        <v/>
      </c>
      <c r="W48" s="241">
        <f t="shared" si="7"/>
        <v>0</v>
      </c>
      <c r="X48" s="233">
        <f>IFERROR(_xlfn.XLOOKUP($A48,Input_Raw!$A:$A,Input_Raw!$AW:$AW),"")</f>
        <v>0</v>
      </c>
      <c r="Y48" s="233">
        <f>IFERROR(_xlfn.XLOOKUP($A48,Input_Raw!$A:$A,Input_Raw!$BN:$BN),"")</f>
        <v>0</v>
      </c>
      <c r="Z48" s="233"/>
      <c r="AA48" s="233">
        <f>IFERROR(_xlfn.XLOOKUP($A48,Input_Raw!$A:$A,Input_Raw!$BO:$BO),"")</f>
        <v>0</v>
      </c>
      <c r="AB48" s="233">
        <f>IFERROR(_xlfn.XLOOKUP($A48,Input_Raw!$A:$A,Input_Raw!$BP:$BP),"")</f>
        <v>0</v>
      </c>
      <c r="AC48" s="242">
        <f>IFERROR(_xlfn.XLOOKUP($D48,'Modelling New'!$D:$D,'Modelling New'!P:P),"")</f>
        <v>3.9193548387096775</v>
      </c>
      <c r="AD48" s="233">
        <f>IFERROR(_xlfn.XLOOKUP($D48,'Modelling New'!$D:$D,'Modelling New'!T:T)*1000,"")</f>
        <v>288553.8699715368</v>
      </c>
      <c r="AE48" s="243">
        <f>IFERROR(_xlfn.XLOOKUP($D48,'Modelling New'!$D:$D,'Modelling New'!$O:$O),"")</f>
        <v>0.83852845216097582</v>
      </c>
      <c r="AF48" s="243">
        <f>IFERROR(_xlfn.XLOOKUP($D48,'Modelling New'!$D:$D,'Modelling New'!$W:$W),"")</f>
        <v>0.13693710609886903</v>
      </c>
      <c r="AG48" s="243">
        <f>IFERROR(_xlfn.XLOOKUP($D48,'Modelling New'!$D:$D,'Modelling New'!$AE:$AE),"")</f>
        <v>0.995</v>
      </c>
      <c r="AH48" s="243">
        <f>IFERROR(_xlfn.XLOOKUP($D48,'Modelling New'!$D:$D,'Modelling New'!$AF:$AF),"")</f>
        <v>0.995</v>
      </c>
      <c r="AI48" s="234"/>
      <c r="AJ48" s="234"/>
      <c r="AK48" s="234"/>
      <c r="AL48" s="234"/>
      <c r="AM48" s="234"/>
      <c r="AN48" s="244"/>
      <c r="AO48" s="241"/>
      <c r="AP48" s="241"/>
      <c r="AQ48" s="241"/>
      <c r="AR48" s="233">
        <f>_xlfn.XLOOKUP($D48,'Modelling New'!$D:$D,'Modelling New'!$N:$N)</f>
        <v>87.8</v>
      </c>
      <c r="AS48" s="233">
        <f t="shared" si="8"/>
        <v>0</v>
      </c>
    </row>
    <row r="49" spans="1:45">
      <c r="A49" s="232">
        <f t="shared" si="9"/>
        <v>45886</v>
      </c>
      <c r="B49" s="233">
        <f>YEAR(Daily_KPI[[#This Row],[Date]])+IF(MONTH(Daily_KPI[[#This Row],[Date]])&gt;=4,1,0)</f>
        <v>2026</v>
      </c>
      <c r="C49" s="234">
        <f>YEAR(Daily_KPI[[#This Row],[Date]])</f>
        <v>2025</v>
      </c>
      <c r="D49" s="235">
        <f>Daily_KPI[[#This Row],[Date]]-DAY(Daily_KPI[[#This Row],[Date]])+1</f>
        <v>45870</v>
      </c>
      <c r="E49" s="234">
        <f t="shared" si="5"/>
        <v>31</v>
      </c>
      <c r="F49" s="236">
        <f>IFERROR(_xlfn.XLOOKUP($A49,Input_Raw!$A:$A,Input_Raw!$BM:$BM),"")</f>
        <v>0</v>
      </c>
      <c r="G49" s="237">
        <f>IFERROR(_xlfn.XLOOKUP($A49,Input_Raw!$A:$A,Input_Raw!$AN:$AN),"")</f>
        <v>0</v>
      </c>
      <c r="H49" s="237"/>
      <c r="I49" s="237">
        <f>IFERROR(_xlfn.XLOOKUP($A49,Input_Raw!$A:$A,Input_Raw!$AM:$AM),"")</f>
        <v>0</v>
      </c>
      <c r="J49" s="237"/>
      <c r="K49" s="237">
        <f>IFERROR(_xlfn.XLOOKUP($A49,Input_Raw!$A:$A,Input_Raw!AO:AO),"")</f>
        <v>0</v>
      </c>
      <c r="L49" s="237">
        <f>IFERROR(_xlfn.XLOOKUP($A49,Input_Raw!$A:$A,Input_Raw!AP:AP),"")</f>
        <v>0</v>
      </c>
      <c r="M49" s="237">
        <f>IFERROR(_xlfn.XLOOKUP($A49,Input_Raw!$A:$A,Input_Raw!AS:AS),"")</f>
        <v>0</v>
      </c>
      <c r="N49" s="237">
        <f>IFERROR(_xlfn.XLOOKUP($A49,Input_Raw!$A:$A,Input_Raw!AT:AT),"")</f>
        <v>0</v>
      </c>
      <c r="O49" s="238" t="str">
        <f>IFERROR(1-(SUMIF(Plant_BD!$B:$B,$A49,Plant_BD!$AL:$AL)/($AA49+SUMIF(Plant_BD!$B:$B,$A49,Plant_BD!$AL:$AL))),"")</f>
        <v/>
      </c>
      <c r="P49" s="238"/>
      <c r="Q49" s="239"/>
      <c r="R49" s="238" t="str">
        <f>IFERROR(1-(SUMIF(Grid_BD!$B:$B,$A49,Grid_BD!$V:$V)/($AA49+SUMIF(Grid_BD!$B:$B,$A49,Grid_BD!$V:$V))),"")</f>
        <v/>
      </c>
      <c r="S49" s="234"/>
      <c r="T49" s="239"/>
      <c r="U49" s="240" t="str">
        <f t="shared" si="6"/>
        <v/>
      </c>
      <c r="V49" s="240" t="str">
        <f>IFERROR(_xlfn.XLOOKUP($A49,Input_Raw!$A:$A,Input_Raw!$BS:$BS),"")</f>
        <v/>
      </c>
      <c r="W49" s="241">
        <f t="shared" si="7"/>
        <v>0</v>
      </c>
      <c r="X49" s="233">
        <f>IFERROR(_xlfn.XLOOKUP($A49,Input_Raw!$A:$A,Input_Raw!$AW:$AW),"")</f>
        <v>0</v>
      </c>
      <c r="Y49" s="233">
        <f>IFERROR(_xlfn.XLOOKUP($A49,Input_Raw!$A:$A,Input_Raw!$BN:$BN),"")</f>
        <v>0</v>
      </c>
      <c r="Z49" s="233"/>
      <c r="AA49" s="233">
        <f>IFERROR(_xlfn.XLOOKUP($A49,Input_Raw!$A:$A,Input_Raw!$BO:$BO),"")</f>
        <v>0</v>
      </c>
      <c r="AB49" s="233">
        <f>IFERROR(_xlfn.XLOOKUP($A49,Input_Raw!$A:$A,Input_Raw!$BP:$BP),"")</f>
        <v>0</v>
      </c>
      <c r="AC49" s="242">
        <f>IFERROR(_xlfn.XLOOKUP($D49,'Modelling New'!$D:$D,'Modelling New'!P:P),"")</f>
        <v>3.9193548387096775</v>
      </c>
      <c r="AD49" s="233">
        <f>IFERROR(_xlfn.XLOOKUP($D49,'Modelling New'!$D:$D,'Modelling New'!T:T)*1000,"")</f>
        <v>288553.8699715368</v>
      </c>
      <c r="AE49" s="243">
        <f>IFERROR(_xlfn.XLOOKUP($D49,'Modelling New'!$D:$D,'Modelling New'!$O:$O),"")</f>
        <v>0.83852845216097582</v>
      </c>
      <c r="AF49" s="243">
        <f>IFERROR(_xlfn.XLOOKUP($D49,'Modelling New'!$D:$D,'Modelling New'!$W:$W),"")</f>
        <v>0.13693710609886903</v>
      </c>
      <c r="AG49" s="243">
        <f>IFERROR(_xlfn.XLOOKUP($D49,'Modelling New'!$D:$D,'Modelling New'!$AE:$AE),"")</f>
        <v>0.995</v>
      </c>
      <c r="AH49" s="243">
        <f>IFERROR(_xlfn.XLOOKUP($D49,'Modelling New'!$D:$D,'Modelling New'!$AF:$AF),"")</f>
        <v>0.995</v>
      </c>
      <c r="AI49" s="234"/>
      <c r="AJ49" s="234"/>
      <c r="AK49" s="234"/>
      <c r="AL49" s="234"/>
      <c r="AM49" s="234"/>
      <c r="AN49" s="244"/>
      <c r="AO49" s="241"/>
      <c r="AP49" s="241"/>
      <c r="AQ49" s="241"/>
      <c r="AR49" s="233">
        <f>_xlfn.XLOOKUP($D49,'Modelling New'!$D:$D,'Modelling New'!$N:$N)</f>
        <v>87.8</v>
      </c>
      <c r="AS49" s="233">
        <f t="shared" si="8"/>
        <v>0</v>
      </c>
    </row>
    <row r="50" spans="1:45">
      <c r="A50" s="232">
        <f t="shared" si="9"/>
        <v>45887</v>
      </c>
      <c r="B50" s="233">
        <f>YEAR(Daily_KPI[[#This Row],[Date]])+IF(MONTH(Daily_KPI[[#This Row],[Date]])&gt;=4,1,0)</f>
        <v>2026</v>
      </c>
      <c r="C50" s="234">
        <f>YEAR(Daily_KPI[[#This Row],[Date]])</f>
        <v>2025</v>
      </c>
      <c r="D50" s="235">
        <f>Daily_KPI[[#This Row],[Date]]-DAY(Daily_KPI[[#This Row],[Date]])+1</f>
        <v>45870</v>
      </c>
      <c r="E50" s="234">
        <f t="shared" si="5"/>
        <v>31</v>
      </c>
      <c r="F50" s="236">
        <f>IFERROR(_xlfn.XLOOKUP($A50,Input_Raw!$A:$A,Input_Raw!$BM:$BM),"")</f>
        <v>0</v>
      </c>
      <c r="G50" s="237">
        <f>IFERROR(_xlfn.XLOOKUP($A50,Input_Raw!$A:$A,Input_Raw!$AN:$AN),"")</f>
        <v>0</v>
      </c>
      <c r="H50" s="237"/>
      <c r="I50" s="237">
        <f>IFERROR(_xlfn.XLOOKUP($A50,Input_Raw!$A:$A,Input_Raw!$AM:$AM),"")</f>
        <v>0</v>
      </c>
      <c r="J50" s="237"/>
      <c r="K50" s="237">
        <f>IFERROR(_xlfn.XLOOKUP($A50,Input_Raw!$A:$A,Input_Raw!AO:AO),"")</f>
        <v>0</v>
      </c>
      <c r="L50" s="237">
        <f>IFERROR(_xlfn.XLOOKUP($A50,Input_Raw!$A:$A,Input_Raw!AP:AP),"")</f>
        <v>0</v>
      </c>
      <c r="M50" s="237">
        <f>IFERROR(_xlfn.XLOOKUP($A50,Input_Raw!$A:$A,Input_Raw!AS:AS),"")</f>
        <v>0</v>
      </c>
      <c r="N50" s="237">
        <f>IFERROR(_xlfn.XLOOKUP($A50,Input_Raw!$A:$A,Input_Raw!AT:AT),"")</f>
        <v>0</v>
      </c>
      <c r="O50" s="238" t="str">
        <f>IFERROR(1-(SUMIF(Plant_BD!$B:$B,$A50,Plant_BD!$AL:$AL)/($AA50+SUMIF(Plant_BD!$B:$B,$A50,Plant_BD!$AL:$AL))),"")</f>
        <v/>
      </c>
      <c r="P50" s="238"/>
      <c r="Q50" s="239"/>
      <c r="R50" s="238" t="str">
        <f>IFERROR(1-(SUMIF(Grid_BD!$B:$B,$A50,Grid_BD!$V:$V)/($AA50+SUMIF(Grid_BD!$B:$B,$A50,Grid_BD!$V:$V))),"")</f>
        <v/>
      </c>
      <c r="S50" s="234"/>
      <c r="T50" s="239"/>
      <c r="U50" s="240" t="str">
        <f t="shared" si="6"/>
        <v/>
      </c>
      <c r="V50" s="240" t="str">
        <f>IFERROR(_xlfn.XLOOKUP($A50,Input_Raw!$A:$A,Input_Raw!$BS:$BS),"")</f>
        <v/>
      </c>
      <c r="W50" s="241">
        <f t="shared" si="7"/>
        <v>0</v>
      </c>
      <c r="X50" s="233">
        <f>IFERROR(_xlfn.XLOOKUP($A50,Input_Raw!$A:$A,Input_Raw!$AW:$AW),"")</f>
        <v>0</v>
      </c>
      <c r="Y50" s="233">
        <f>IFERROR(_xlfn.XLOOKUP($A50,Input_Raw!$A:$A,Input_Raw!$BN:$BN),"")</f>
        <v>0</v>
      </c>
      <c r="Z50" s="233"/>
      <c r="AA50" s="233">
        <f>IFERROR(_xlfn.XLOOKUP($A50,Input_Raw!$A:$A,Input_Raw!$BO:$BO),"")</f>
        <v>0</v>
      </c>
      <c r="AB50" s="233">
        <f>IFERROR(_xlfn.XLOOKUP($A50,Input_Raw!$A:$A,Input_Raw!$BP:$BP),"")</f>
        <v>0</v>
      </c>
      <c r="AC50" s="242">
        <f>IFERROR(_xlfn.XLOOKUP($D50,'Modelling New'!$D:$D,'Modelling New'!P:P),"")</f>
        <v>3.9193548387096775</v>
      </c>
      <c r="AD50" s="233">
        <f>IFERROR(_xlfn.XLOOKUP($D50,'Modelling New'!$D:$D,'Modelling New'!T:T)*1000,"")</f>
        <v>288553.8699715368</v>
      </c>
      <c r="AE50" s="243">
        <f>IFERROR(_xlfn.XLOOKUP($D50,'Modelling New'!$D:$D,'Modelling New'!$O:$O),"")</f>
        <v>0.83852845216097582</v>
      </c>
      <c r="AF50" s="243">
        <f>IFERROR(_xlfn.XLOOKUP($D50,'Modelling New'!$D:$D,'Modelling New'!$W:$W),"")</f>
        <v>0.13693710609886903</v>
      </c>
      <c r="AG50" s="243">
        <f>IFERROR(_xlfn.XLOOKUP($D50,'Modelling New'!$D:$D,'Modelling New'!$AE:$AE),"")</f>
        <v>0.995</v>
      </c>
      <c r="AH50" s="243">
        <f>IFERROR(_xlfn.XLOOKUP($D50,'Modelling New'!$D:$D,'Modelling New'!$AF:$AF),"")</f>
        <v>0.995</v>
      </c>
      <c r="AI50" s="234"/>
      <c r="AJ50" s="234"/>
      <c r="AK50" s="234"/>
      <c r="AL50" s="234"/>
      <c r="AM50" s="234"/>
      <c r="AN50" s="244"/>
      <c r="AO50" s="241"/>
      <c r="AP50" s="241"/>
      <c r="AQ50" s="241"/>
      <c r="AR50" s="233">
        <f>_xlfn.XLOOKUP($D50,'Modelling New'!$D:$D,'Modelling New'!$N:$N)</f>
        <v>87.8</v>
      </c>
      <c r="AS50" s="233">
        <f t="shared" si="8"/>
        <v>0</v>
      </c>
    </row>
    <row r="51" spans="1:45">
      <c r="A51" s="232">
        <f t="shared" si="9"/>
        <v>45888</v>
      </c>
      <c r="B51" s="233">
        <f>YEAR(Daily_KPI[[#This Row],[Date]])+IF(MONTH(Daily_KPI[[#This Row],[Date]])&gt;=4,1,0)</f>
        <v>2026</v>
      </c>
      <c r="C51" s="234">
        <f>YEAR(Daily_KPI[[#This Row],[Date]])</f>
        <v>2025</v>
      </c>
      <c r="D51" s="235">
        <f>Daily_KPI[[#This Row],[Date]]-DAY(Daily_KPI[[#This Row],[Date]])+1</f>
        <v>45870</v>
      </c>
      <c r="E51" s="234">
        <f t="shared" si="5"/>
        <v>31</v>
      </c>
      <c r="F51" s="236">
        <f>IFERROR(_xlfn.XLOOKUP($A51,Input_Raw!$A:$A,Input_Raw!$BM:$BM),"")</f>
        <v>0</v>
      </c>
      <c r="G51" s="237">
        <f>IFERROR(_xlfn.XLOOKUP($A51,Input_Raw!$A:$A,Input_Raw!$AN:$AN),"")</f>
        <v>0</v>
      </c>
      <c r="H51" s="237"/>
      <c r="I51" s="237">
        <f>IFERROR(_xlfn.XLOOKUP($A51,Input_Raw!$A:$A,Input_Raw!$AM:$AM),"")</f>
        <v>0</v>
      </c>
      <c r="J51" s="237"/>
      <c r="K51" s="237">
        <f>IFERROR(_xlfn.XLOOKUP($A51,Input_Raw!$A:$A,Input_Raw!AO:AO),"")</f>
        <v>0</v>
      </c>
      <c r="L51" s="237">
        <f>IFERROR(_xlfn.XLOOKUP($A51,Input_Raw!$A:$A,Input_Raw!AP:AP),"")</f>
        <v>0</v>
      </c>
      <c r="M51" s="237">
        <f>IFERROR(_xlfn.XLOOKUP($A51,Input_Raw!$A:$A,Input_Raw!AS:AS),"")</f>
        <v>0</v>
      </c>
      <c r="N51" s="237">
        <f>IFERROR(_xlfn.XLOOKUP($A51,Input_Raw!$A:$A,Input_Raw!AT:AT),"")</f>
        <v>0</v>
      </c>
      <c r="O51" s="238" t="str">
        <f>IFERROR(1-(SUMIF(Plant_BD!$B:$B,$A51,Plant_BD!$AL:$AL)/($AA51+SUMIF(Plant_BD!$B:$B,$A51,Plant_BD!$AL:$AL))),"")</f>
        <v/>
      </c>
      <c r="P51" s="238"/>
      <c r="Q51" s="239"/>
      <c r="R51" s="238" t="str">
        <f>IFERROR(1-(SUMIF(Grid_BD!$B:$B,$A51,Grid_BD!$V:$V)/($AA51+SUMIF(Grid_BD!$B:$B,$A51,Grid_BD!$V:$V))),"")</f>
        <v/>
      </c>
      <c r="S51" s="234"/>
      <c r="T51" s="239"/>
      <c r="U51" s="240" t="str">
        <f t="shared" si="6"/>
        <v/>
      </c>
      <c r="V51" s="240" t="str">
        <f>IFERROR(_xlfn.XLOOKUP($A51,Input_Raw!$A:$A,Input_Raw!$BS:$BS),"")</f>
        <v/>
      </c>
      <c r="W51" s="241">
        <f t="shared" si="7"/>
        <v>0</v>
      </c>
      <c r="X51" s="233">
        <f>IFERROR(_xlfn.XLOOKUP($A51,Input_Raw!$A:$A,Input_Raw!$AW:$AW),"")</f>
        <v>0</v>
      </c>
      <c r="Y51" s="233">
        <f>IFERROR(_xlfn.XLOOKUP($A51,Input_Raw!$A:$A,Input_Raw!$BN:$BN),"")</f>
        <v>0</v>
      </c>
      <c r="Z51" s="233"/>
      <c r="AA51" s="233">
        <f>IFERROR(_xlfn.XLOOKUP($A51,Input_Raw!$A:$A,Input_Raw!$BO:$BO),"")</f>
        <v>0</v>
      </c>
      <c r="AB51" s="233">
        <f>IFERROR(_xlfn.XLOOKUP($A51,Input_Raw!$A:$A,Input_Raw!$BP:$BP),"")</f>
        <v>0</v>
      </c>
      <c r="AC51" s="242">
        <f>IFERROR(_xlfn.XLOOKUP($D51,'Modelling New'!$D:$D,'Modelling New'!P:P),"")</f>
        <v>3.9193548387096775</v>
      </c>
      <c r="AD51" s="233">
        <f>IFERROR(_xlfn.XLOOKUP($D51,'Modelling New'!$D:$D,'Modelling New'!T:T)*1000,"")</f>
        <v>288553.8699715368</v>
      </c>
      <c r="AE51" s="243">
        <f>IFERROR(_xlfn.XLOOKUP($D51,'Modelling New'!$D:$D,'Modelling New'!$O:$O),"")</f>
        <v>0.83852845216097582</v>
      </c>
      <c r="AF51" s="243">
        <f>IFERROR(_xlfn.XLOOKUP($D51,'Modelling New'!$D:$D,'Modelling New'!$W:$W),"")</f>
        <v>0.13693710609886903</v>
      </c>
      <c r="AG51" s="243">
        <f>IFERROR(_xlfn.XLOOKUP($D51,'Modelling New'!$D:$D,'Modelling New'!$AE:$AE),"")</f>
        <v>0.995</v>
      </c>
      <c r="AH51" s="243">
        <f>IFERROR(_xlfn.XLOOKUP($D51,'Modelling New'!$D:$D,'Modelling New'!$AF:$AF),"")</f>
        <v>0.995</v>
      </c>
      <c r="AI51" s="234"/>
      <c r="AJ51" s="234"/>
      <c r="AK51" s="234"/>
      <c r="AL51" s="234"/>
      <c r="AM51" s="234"/>
      <c r="AN51" s="244"/>
      <c r="AO51" s="241"/>
      <c r="AP51" s="241"/>
      <c r="AQ51" s="241"/>
      <c r="AR51" s="233">
        <f>_xlfn.XLOOKUP($D51,'Modelling New'!$D:$D,'Modelling New'!$N:$N)</f>
        <v>87.8</v>
      </c>
      <c r="AS51" s="233">
        <f t="shared" si="8"/>
        <v>0</v>
      </c>
    </row>
    <row r="52" spans="1:45">
      <c r="A52" s="232">
        <f t="shared" si="9"/>
        <v>45889</v>
      </c>
      <c r="B52" s="233">
        <f>YEAR(Daily_KPI[[#This Row],[Date]])+IF(MONTH(Daily_KPI[[#This Row],[Date]])&gt;=4,1,0)</f>
        <v>2026</v>
      </c>
      <c r="C52" s="234">
        <f>YEAR(Daily_KPI[[#This Row],[Date]])</f>
        <v>2025</v>
      </c>
      <c r="D52" s="235">
        <f>Daily_KPI[[#This Row],[Date]]-DAY(Daily_KPI[[#This Row],[Date]])+1</f>
        <v>45870</v>
      </c>
      <c r="E52" s="234">
        <f t="shared" si="5"/>
        <v>31</v>
      </c>
      <c r="F52" s="236">
        <f>IFERROR(_xlfn.XLOOKUP($A52,Input_Raw!$A:$A,Input_Raw!$BM:$BM),"")</f>
        <v>0</v>
      </c>
      <c r="G52" s="237">
        <f>IFERROR(_xlfn.XLOOKUP($A52,Input_Raw!$A:$A,Input_Raw!$AN:$AN),"")</f>
        <v>0</v>
      </c>
      <c r="H52" s="237"/>
      <c r="I52" s="237">
        <f>IFERROR(_xlfn.XLOOKUP($A52,Input_Raw!$A:$A,Input_Raw!$AM:$AM),"")</f>
        <v>0</v>
      </c>
      <c r="J52" s="237"/>
      <c r="K52" s="237">
        <f>IFERROR(_xlfn.XLOOKUP($A52,Input_Raw!$A:$A,Input_Raw!AO:AO),"")</f>
        <v>0</v>
      </c>
      <c r="L52" s="237">
        <f>IFERROR(_xlfn.XLOOKUP($A52,Input_Raw!$A:$A,Input_Raw!AP:AP),"")</f>
        <v>0</v>
      </c>
      <c r="M52" s="237">
        <f>IFERROR(_xlfn.XLOOKUP($A52,Input_Raw!$A:$A,Input_Raw!AS:AS),"")</f>
        <v>0</v>
      </c>
      <c r="N52" s="237">
        <f>IFERROR(_xlfn.XLOOKUP($A52,Input_Raw!$A:$A,Input_Raw!AT:AT),"")</f>
        <v>0</v>
      </c>
      <c r="O52" s="238" t="str">
        <f>IFERROR(1-(SUMIF(Plant_BD!$B:$B,$A52,Plant_BD!$AL:$AL)/($AA52+SUMIF(Plant_BD!$B:$B,$A52,Plant_BD!$AL:$AL))),"")</f>
        <v/>
      </c>
      <c r="P52" s="238"/>
      <c r="Q52" s="239"/>
      <c r="R52" s="238" t="str">
        <f>IFERROR(1-(SUMIF(Grid_BD!$B:$B,$A52,Grid_BD!$V:$V)/($AA52+SUMIF(Grid_BD!$B:$B,$A52,Grid_BD!$V:$V))),"")</f>
        <v/>
      </c>
      <c r="S52" s="234"/>
      <c r="T52" s="239"/>
      <c r="U52" s="240" t="str">
        <f t="shared" si="6"/>
        <v/>
      </c>
      <c r="V52" s="240" t="str">
        <f>IFERROR(_xlfn.XLOOKUP($A52,Input_Raw!$A:$A,Input_Raw!$BS:$BS),"")</f>
        <v/>
      </c>
      <c r="W52" s="241">
        <f t="shared" si="7"/>
        <v>0</v>
      </c>
      <c r="X52" s="233">
        <f>IFERROR(_xlfn.XLOOKUP($A52,Input_Raw!$A:$A,Input_Raw!$AW:$AW),"")</f>
        <v>0</v>
      </c>
      <c r="Y52" s="233">
        <f>IFERROR(_xlfn.XLOOKUP($A52,Input_Raw!$A:$A,Input_Raw!$BN:$BN),"")</f>
        <v>0</v>
      </c>
      <c r="Z52" s="233"/>
      <c r="AA52" s="233">
        <f>IFERROR(_xlfn.XLOOKUP($A52,Input_Raw!$A:$A,Input_Raw!$BO:$BO),"")</f>
        <v>0</v>
      </c>
      <c r="AB52" s="233">
        <f>IFERROR(_xlfn.XLOOKUP($A52,Input_Raw!$A:$A,Input_Raw!$BP:$BP),"")</f>
        <v>0</v>
      </c>
      <c r="AC52" s="242">
        <f>IFERROR(_xlfn.XLOOKUP($D52,'Modelling New'!$D:$D,'Modelling New'!P:P),"")</f>
        <v>3.9193548387096775</v>
      </c>
      <c r="AD52" s="233">
        <f>IFERROR(_xlfn.XLOOKUP($D52,'Modelling New'!$D:$D,'Modelling New'!T:T)*1000,"")</f>
        <v>288553.8699715368</v>
      </c>
      <c r="AE52" s="243">
        <f>IFERROR(_xlfn.XLOOKUP($D52,'Modelling New'!$D:$D,'Modelling New'!$O:$O),"")</f>
        <v>0.83852845216097582</v>
      </c>
      <c r="AF52" s="243">
        <f>IFERROR(_xlfn.XLOOKUP($D52,'Modelling New'!$D:$D,'Modelling New'!$W:$W),"")</f>
        <v>0.13693710609886903</v>
      </c>
      <c r="AG52" s="243">
        <f>IFERROR(_xlfn.XLOOKUP($D52,'Modelling New'!$D:$D,'Modelling New'!$AE:$AE),"")</f>
        <v>0.995</v>
      </c>
      <c r="AH52" s="243">
        <f>IFERROR(_xlfn.XLOOKUP($D52,'Modelling New'!$D:$D,'Modelling New'!$AF:$AF),"")</f>
        <v>0.995</v>
      </c>
      <c r="AI52" s="234"/>
      <c r="AJ52" s="234"/>
      <c r="AK52" s="234"/>
      <c r="AL52" s="234"/>
      <c r="AM52" s="234"/>
      <c r="AN52" s="244"/>
      <c r="AO52" s="241"/>
      <c r="AP52" s="241"/>
      <c r="AQ52" s="241"/>
      <c r="AR52" s="233">
        <f>_xlfn.XLOOKUP($D52,'Modelling New'!$D:$D,'Modelling New'!$N:$N)</f>
        <v>87.8</v>
      </c>
      <c r="AS52" s="233">
        <f t="shared" si="8"/>
        <v>0</v>
      </c>
    </row>
    <row r="53" spans="1:45">
      <c r="A53" s="232">
        <f t="shared" si="9"/>
        <v>45890</v>
      </c>
      <c r="B53" s="233">
        <f>YEAR(Daily_KPI[[#This Row],[Date]])+IF(MONTH(Daily_KPI[[#This Row],[Date]])&gt;=4,1,0)</f>
        <v>2026</v>
      </c>
      <c r="C53" s="234">
        <f>YEAR(Daily_KPI[[#This Row],[Date]])</f>
        <v>2025</v>
      </c>
      <c r="D53" s="235">
        <f>Daily_KPI[[#This Row],[Date]]-DAY(Daily_KPI[[#This Row],[Date]])+1</f>
        <v>45870</v>
      </c>
      <c r="E53" s="234">
        <f t="shared" si="5"/>
        <v>31</v>
      </c>
      <c r="F53" s="236">
        <f>IFERROR(_xlfn.XLOOKUP($A53,Input_Raw!$A:$A,Input_Raw!$BM:$BM),"")</f>
        <v>0</v>
      </c>
      <c r="G53" s="237">
        <f>IFERROR(_xlfn.XLOOKUP($A53,Input_Raw!$A:$A,Input_Raw!$AN:$AN),"")</f>
        <v>0</v>
      </c>
      <c r="H53" s="237"/>
      <c r="I53" s="237">
        <f>IFERROR(_xlfn.XLOOKUP($A53,Input_Raw!$A:$A,Input_Raw!$AM:$AM),"")</f>
        <v>0</v>
      </c>
      <c r="J53" s="237"/>
      <c r="K53" s="237">
        <f>IFERROR(_xlfn.XLOOKUP($A53,Input_Raw!$A:$A,Input_Raw!AO:AO),"")</f>
        <v>0</v>
      </c>
      <c r="L53" s="237">
        <f>IFERROR(_xlfn.XLOOKUP($A53,Input_Raw!$A:$A,Input_Raw!AP:AP),"")</f>
        <v>0</v>
      </c>
      <c r="M53" s="237">
        <f>IFERROR(_xlfn.XLOOKUP($A53,Input_Raw!$A:$A,Input_Raw!AS:AS),"")</f>
        <v>0</v>
      </c>
      <c r="N53" s="237">
        <f>IFERROR(_xlfn.XLOOKUP($A53,Input_Raw!$A:$A,Input_Raw!AT:AT),"")</f>
        <v>0</v>
      </c>
      <c r="O53" s="238" t="str">
        <f>IFERROR(1-(SUMIF(Plant_BD!$B:$B,$A53,Plant_BD!$AL:$AL)/($AA53+SUMIF(Plant_BD!$B:$B,$A53,Plant_BD!$AL:$AL))),"")</f>
        <v/>
      </c>
      <c r="P53" s="238"/>
      <c r="Q53" s="239"/>
      <c r="R53" s="238" t="str">
        <f>IFERROR(1-(SUMIF(Grid_BD!$B:$B,$A53,Grid_BD!$V:$V)/($AA53+SUMIF(Grid_BD!$B:$B,$A53,Grid_BD!$V:$V))),"")</f>
        <v/>
      </c>
      <c r="S53" s="234"/>
      <c r="T53" s="239"/>
      <c r="U53" s="240" t="str">
        <f t="shared" si="6"/>
        <v/>
      </c>
      <c r="V53" s="240" t="str">
        <f>IFERROR(_xlfn.XLOOKUP($A53,Input_Raw!$A:$A,Input_Raw!$BS:$BS),"")</f>
        <v/>
      </c>
      <c r="W53" s="241">
        <f t="shared" si="7"/>
        <v>0</v>
      </c>
      <c r="X53" s="233">
        <f>IFERROR(_xlfn.XLOOKUP($A53,Input_Raw!$A:$A,Input_Raw!$AW:$AW),"")</f>
        <v>0</v>
      </c>
      <c r="Y53" s="233">
        <f>IFERROR(_xlfn.XLOOKUP($A53,Input_Raw!$A:$A,Input_Raw!$BN:$BN),"")</f>
        <v>0</v>
      </c>
      <c r="Z53" s="233"/>
      <c r="AA53" s="233">
        <f>IFERROR(_xlfn.XLOOKUP($A53,Input_Raw!$A:$A,Input_Raw!$BO:$BO),"")</f>
        <v>0</v>
      </c>
      <c r="AB53" s="233">
        <f>IFERROR(_xlfn.XLOOKUP($A53,Input_Raw!$A:$A,Input_Raw!$BP:$BP),"")</f>
        <v>0</v>
      </c>
      <c r="AC53" s="242">
        <f>IFERROR(_xlfn.XLOOKUP($D53,'Modelling New'!$D:$D,'Modelling New'!P:P),"")</f>
        <v>3.9193548387096775</v>
      </c>
      <c r="AD53" s="233">
        <f>IFERROR(_xlfn.XLOOKUP($D53,'Modelling New'!$D:$D,'Modelling New'!T:T)*1000,"")</f>
        <v>288553.8699715368</v>
      </c>
      <c r="AE53" s="243">
        <f>IFERROR(_xlfn.XLOOKUP($D53,'Modelling New'!$D:$D,'Modelling New'!$O:$O),"")</f>
        <v>0.83852845216097582</v>
      </c>
      <c r="AF53" s="243">
        <f>IFERROR(_xlfn.XLOOKUP($D53,'Modelling New'!$D:$D,'Modelling New'!$W:$W),"")</f>
        <v>0.13693710609886903</v>
      </c>
      <c r="AG53" s="243">
        <f>IFERROR(_xlfn.XLOOKUP($D53,'Modelling New'!$D:$D,'Modelling New'!$AE:$AE),"")</f>
        <v>0.995</v>
      </c>
      <c r="AH53" s="243">
        <f>IFERROR(_xlfn.XLOOKUP($D53,'Modelling New'!$D:$D,'Modelling New'!$AF:$AF),"")</f>
        <v>0.995</v>
      </c>
      <c r="AI53" s="234"/>
      <c r="AJ53" s="234"/>
      <c r="AK53" s="234"/>
      <c r="AL53" s="234"/>
      <c r="AM53" s="234"/>
      <c r="AN53" s="244"/>
      <c r="AO53" s="241"/>
      <c r="AP53" s="241"/>
      <c r="AQ53" s="241"/>
      <c r="AR53" s="233">
        <f>_xlfn.XLOOKUP($D53,'Modelling New'!$D:$D,'Modelling New'!$N:$N)</f>
        <v>87.8</v>
      </c>
      <c r="AS53" s="233">
        <f t="shared" si="8"/>
        <v>0</v>
      </c>
    </row>
    <row r="54" spans="1:45">
      <c r="A54" s="232">
        <f t="shared" si="9"/>
        <v>45891</v>
      </c>
      <c r="B54" s="233">
        <f>YEAR(Daily_KPI[[#This Row],[Date]])+IF(MONTH(Daily_KPI[[#This Row],[Date]])&gt;=4,1,0)</f>
        <v>2026</v>
      </c>
      <c r="C54" s="234">
        <f>YEAR(Daily_KPI[[#This Row],[Date]])</f>
        <v>2025</v>
      </c>
      <c r="D54" s="235">
        <f>Daily_KPI[[#This Row],[Date]]-DAY(Daily_KPI[[#This Row],[Date]])+1</f>
        <v>45870</v>
      </c>
      <c r="E54" s="234">
        <f t="shared" si="5"/>
        <v>31</v>
      </c>
      <c r="F54" s="236">
        <f>IFERROR(_xlfn.XLOOKUP($A54,Input_Raw!$A:$A,Input_Raw!$BM:$BM),"")</f>
        <v>0</v>
      </c>
      <c r="G54" s="237">
        <f>IFERROR(_xlfn.XLOOKUP($A54,Input_Raw!$A:$A,Input_Raw!$AN:$AN),"")</f>
        <v>0</v>
      </c>
      <c r="H54" s="237"/>
      <c r="I54" s="237">
        <f>IFERROR(_xlfn.XLOOKUP($A54,Input_Raw!$A:$A,Input_Raw!$AM:$AM),"")</f>
        <v>0</v>
      </c>
      <c r="J54" s="237"/>
      <c r="K54" s="237">
        <f>IFERROR(_xlfn.XLOOKUP($A54,Input_Raw!$A:$A,Input_Raw!AO:AO),"")</f>
        <v>0</v>
      </c>
      <c r="L54" s="237">
        <f>IFERROR(_xlfn.XLOOKUP($A54,Input_Raw!$A:$A,Input_Raw!AP:AP),"")</f>
        <v>0</v>
      </c>
      <c r="M54" s="237">
        <f>IFERROR(_xlfn.XLOOKUP($A54,Input_Raw!$A:$A,Input_Raw!AS:AS),"")</f>
        <v>0</v>
      </c>
      <c r="N54" s="237">
        <f>IFERROR(_xlfn.XLOOKUP($A54,Input_Raw!$A:$A,Input_Raw!AT:AT),"")</f>
        <v>0</v>
      </c>
      <c r="O54" s="238" t="str">
        <f>IFERROR(1-(SUMIF(Plant_BD!$B:$B,$A54,Plant_BD!$AL:$AL)/($AA54+SUMIF(Plant_BD!$B:$B,$A54,Plant_BD!$AL:$AL))),"")</f>
        <v/>
      </c>
      <c r="P54" s="238"/>
      <c r="Q54" s="239"/>
      <c r="R54" s="238" t="str">
        <f>IFERROR(1-(SUMIF(Grid_BD!$B:$B,$A54,Grid_BD!$V:$V)/($AA54+SUMIF(Grid_BD!$B:$B,$A54,Grid_BD!$V:$V))),"")</f>
        <v/>
      </c>
      <c r="S54" s="234"/>
      <c r="T54" s="239"/>
      <c r="U54" s="240" t="str">
        <f t="shared" si="6"/>
        <v/>
      </c>
      <c r="V54" s="240" t="str">
        <f>IFERROR(_xlfn.XLOOKUP($A54,Input_Raw!$A:$A,Input_Raw!$BS:$BS),"")</f>
        <v/>
      </c>
      <c r="W54" s="241">
        <f t="shared" si="7"/>
        <v>0</v>
      </c>
      <c r="X54" s="233">
        <f>IFERROR(_xlfn.XLOOKUP($A54,Input_Raw!$A:$A,Input_Raw!$AW:$AW),"")</f>
        <v>0</v>
      </c>
      <c r="Y54" s="233">
        <f>IFERROR(_xlfn.XLOOKUP($A54,Input_Raw!$A:$A,Input_Raw!$BN:$BN),"")</f>
        <v>0</v>
      </c>
      <c r="Z54" s="233"/>
      <c r="AA54" s="233">
        <f>IFERROR(_xlfn.XLOOKUP($A54,Input_Raw!$A:$A,Input_Raw!$BO:$BO),"")</f>
        <v>0</v>
      </c>
      <c r="AB54" s="233">
        <f>IFERROR(_xlfn.XLOOKUP($A54,Input_Raw!$A:$A,Input_Raw!$BP:$BP),"")</f>
        <v>0</v>
      </c>
      <c r="AC54" s="242">
        <f>IFERROR(_xlfn.XLOOKUP($D54,'Modelling New'!$D:$D,'Modelling New'!P:P),"")</f>
        <v>3.9193548387096775</v>
      </c>
      <c r="AD54" s="233">
        <f>IFERROR(_xlfn.XLOOKUP($D54,'Modelling New'!$D:$D,'Modelling New'!T:T)*1000,"")</f>
        <v>288553.8699715368</v>
      </c>
      <c r="AE54" s="243">
        <f>IFERROR(_xlfn.XLOOKUP($D54,'Modelling New'!$D:$D,'Modelling New'!$O:$O),"")</f>
        <v>0.83852845216097582</v>
      </c>
      <c r="AF54" s="243">
        <f>IFERROR(_xlfn.XLOOKUP($D54,'Modelling New'!$D:$D,'Modelling New'!$W:$W),"")</f>
        <v>0.13693710609886903</v>
      </c>
      <c r="AG54" s="243">
        <f>IFERROR(_xlfn.XLOOKUP($D54,'Modelling New'!$D:$D,'Modelling New'!$AE:$AE),"")</f>
        <v>0.995</v>
      </c>
      <c r="AH54" s="243">
        <f>IFERROR(_xlfn.XLOOKUP($D54,'Modelling New'!$D:$D,'Modelling New'!$AF:$AF),"")</f>
        <v>0.995</v>
      </c>
      <c r="AI54" s="234"/>
      <c r="AJ54" s="234"/>
      <c r="AK54" s="234"/>
      <c r="AL54" s="234"/>
      <c r="AM54" s="234"/>
      <c r="AN54" s="244"/>
      <c r="AO54" s="241"/>
      <c r="AP54" s="241"/>
      <c r="AQ54" s="241"/>
      <c r="AR54" s="233">
        <f>_xlfn.XLOOKUP($D54,'Modelling New'!$D:$D,'Modelling New'!$N:$N)</f>
        <v>87.8</v>
      </c>
      <c r="AS54" s="233">
        <f t="shared" si="8"/>
        <v>0</v>
      </c>
    </row>
    <row r="55" spans="1:45">
      <c r="A55" s="232">
        <f t="shared" si="9"/>
        <v>45892</v>
      </c>
      <c r="B55" s="233">
        <f>YEAR(Daily_KPI[[#This Row],[Date]])+IF(MONTH(Daily_KPI[[#This Row],[Date]])&gt;=4,1,0)</f>
        <v>2026</v>
      </c>
      <c r="C55" s="234">
        <f>YEAR(Daily_KPI[[#This Row],[Date]])</f>
        <v>2025</v>
      </c>
      <c r="D55" s="235">
        <f>Daily_KPI[[#This Row],[Date]]-DAY(Daily_KPI[[#This Row],[Date]])+1</f>
        <v>45870</v>
      </c>
      <c r="E55" s="234">
        <f t="shared" si="5"/>
        <v>31</v>
      </c>
      <c r="F55" s="236">
        <f>IFERROR(_xlfn.XLOOKUP($A55,Input_Raw!$A:$A,Input_Raw!$BM:$BM),"")</f>
        <v>0</v>
      </c>
      <c r="G55" s="237">
        <f>IFERROR(_xlfn.XLOOKUP($A55,Input_Raw!$A:$A,Input_Raw!$AN:$AN),"")</f>
        <v>0</v>
      </c>
      <c r="H55" s="237"/>
      <c r="I55" s="237">
        <f>IFERROR(_xlfn.XLOOKUP($A55,Input_Raw!$A:$A,Input_Raw!$AM:$AM),"")</f>
        <v>0</v>
      </c>
      <c r="J55" s="237"/>
      <c r="K55" s="237">
        <f>IFERROR(_xlfn.XLOOKUP($A55,Input_Raw!$A:$A,Input_Raw!AO:AO),"")</f>
        <v>0</v>
      </c>
      <c r="L55" s="237">
        <f>IFERROR(_xlfn.XLOOKUP($A55,Input_Raw!$A:$A,Input_Raw!AP:AP),"")</f>
        <v>0</v>
      </c>
      <c r="M55" s="237">
        <f>IFERROR(_xlfn.XLOOKUP($A55,Input_Raw!$A:$A,Input_Raw!AS:AS),"")</f>
        <v>0</v>
      </c>
      <c r="N55" s="237">
        <f>IFERROR(_xlfn.XLOOKUP($A55,Input_Raw!$A:$A,Input_Raw!AT:AT),"")</f>
        <v>0</v>
      </c>
      <c r="O55" s="238" t="str">
        <f>IFERROR(1-(SUMIF(Plant_BD!$B:$B,$A55,Plant_BD!$AL:$AL)/($AA55+SUMIF(Plant_BD!$B:$B,$A55,Plant_BD!$AL:$AL))),"")</f>
        <v/>
      </c>
      <c r="P55" s="238"/>
      <c r="Q55" s="239"/>
      <c r="R55" s="238" t="str">
        <f>IFERROR(1-(SUMIF(Grid_BD!$B:$B,$A55,Grid_BD!$V:$V)/($AA55+SUMIF(Grid_BD!$B:$B,$A55,Grid_BD!$V:$V))),"")</f>
        <v/>
      </c>
      <c r="S55" s="234"/>
      <c r="T55" s="239"/>
      <c r="U55" s="240" t="str">
        <f t="shared" si="6"/>
        <v/>
      </c>
      <c r="V55" s="240" t="str">
        <f>IFERROR(_xlfn.XLOOKUP($A55,Input_Raw!$A:$A,Input_Raw!$BS:$BS),"")</f>
        <v/>
      </c>
      <c r="W55" s="241">
        <f t="shared" si="7"/>
        <v>0</v>
      </c>
      <c r="X55" s="233">
        <f>IFERROR(_xlfn.XLOOKUP($A55,Input_Raw!$A:$A,Input_Raw!$AW:$AW),"")</f>
        <v>0</v>
      </c>
      <c r="Y55" s="233">
        <f>IFERROR(_xlfn.XLOOKUP($A55,Input_Raw!$A:$A,Input_Raw!$BN:$BN),"")</f>
        <v>0</v>
      </c>
      <c r="Z55" s="233"/>
      <c r="AA55" s="233">
        <f>IFERROR(_xlfn.XLOOKUP($A55,Input_Raw!$A:$A,Input_Raw!$BO:$BO),"")</f>
        <v>0</v>
      </c>
      <c r="AB55" s="233">
        <f>IFERROR(_xlfn.XLOOKUP($A55,Input_Raw!$A:$A,Input_Raw!$BP:$BP),"")</f>
        <v>0</v>
      </c>
      <c r="AC55" s="242">
        <f>IFERROR(_xlfn.XLOOKUP($D55,'Modelling New'!$D:$D,'Modelling New'!P:P),"")</f>
        <v>3.9193548387096775</v>
      </c>
      <c r="AD55" s="233">
        <f>IFERROR(_xlfn.XLOOKUP($D55,'Modelling New'!$D:$D,'Modelling New'!T:T)*1000,"")</f>
        <v>288553.8699715368</v>
      </c>
      <c r="AE55" s="243">
        <f>IFERROR(_xlfn.XLOOKUP($D55,'Modelling New'!$D:$D,'Modelling New'!$O:$O),"")</f>
        <v>0.83852845216097582</v>
      </c>
      <c r="AF55" s="243">
        <f>IFERROR(_xlfn.XLOOKUP($D55,'Modelling New'!$D:$D,'Modelling New'!$W:$W),"")</f>
        <v>0.13693710609886903</v>
      </c>
      <c r="AG55" s="243">
        <f>IFERROR(_xlfn.XLOOKUP($D55,'Modelling New'!$D:$D,'Modelling New'!$AE:$AE),"")</f>
        <v>0.995</v>
      </c>
      <c r="AH55" s="243">
        <f>IFERROR(_xlfn.XLOOKUP($D55,'Modelling New'!$D:$D,'Modelling New'!$AF:$AF),"")</f>
        <v>0.995</v>
      </c>
      <c r="AI55" s="234"/>
      <c r="AJ55" s="234"/>
      <c r="AK55" s="234"/>
      <c r="AL55" s="234"/>
      <c r="AM55" s="234"/>
      <c r="AN55" s="244"/>
      <c r="AO55" s="241"/>
      <c r="AP55" s="241"/>
      <c r="AQ55" s="241"/>
      <c r="AR55" s="233">
        <f>_xlfn.XLOOKUP($D55,'Modelling New'!$D:$D,'Modelling New'!$N:$N)</f>
        <v>87.8</v>
      </c>
      <c r="AS55" s="233">
        <f t="shared" si="8"/>
        <v>0</v>
      </c>
    </row>
    <row r="56" spans="1:45">
      <c r="A56" s="232">
        <f t="shared" si="9"/>
        <v>45893</v>
      </c>
      <c r="B56" s="233">
        <f>YEAR(Daily_KPI[[#This Row],[Date]])+IF(MONTH(Daily_KPI[[#This Row],[Date]])&gt;=4,1,0)</f>
        <v>2026</v>
      </c>
      <c r="C56" s="234">
        <f>YEAR(Daily_KPI[[#This Row],[Date]])</f>
        <v>2025</v>
      </c>
      <c r="D56" s="235">
        <f>Daily_KPI[[#This Row],[Date]]-DAY(Daily_KPI[[#This Row],[Date]])+1</f>
        <v>45870</v>
      </c>
      <c r="E56" s="234">
        <f t="shared" si="5"/>
        <v>31</v>
      </c>
      <c r="F56" s="236">
        <f>IFERROR(_xlfn.XLOOKUP($A56,Input_Raw!$A:$A,Input_Raw!$BM:$BM),"")</f>
        <v>0</v>
      </c>
      <c r="G56" s="237">
        <f>IFERROR(_xlfn.XLOOKUP($A56,Input_Raw!$A:$A,Input_Raw!$AN:$AN),"")</f>
        <v>0</v>
      </c>
      <c r="H56" s="237"/>
      <c r="I56" s="237">
        <f>IFERROR(_xlfn.XLOOKUP($A56,Input_Raw!$A:$A,Input_Raw!$AM:$AM),"")</f>
        <v>0</v>
      </c>
      <c r="J56" s="237"/>
      <c r="K56" s="237">
        <f>IFERROR(_xlfn.XLOOKUP($A56,Input_Raw!$A:$A,Input_Raw!AO:AO),"")</f>
        <v>0</v>
      </c>
      <c r="L56" s="237">
        <f>IFERROR(_xlfn.XLOOKUP($A56,Input_Raw!$A:$A,Input_Raw!AP:AP),"")</f>
        <v>0</v>
      </c>
      <c r="M56" s="237">
        <f>IFERROR(_xlfn.XLOOKUP($A56,Input_Raw!$A:$A,Input_Raw!AS:AS),"")</f>
        <v>0</v>
      </c>
      <c r="N56" s="237">
        <f>IFERROR(_xlfn.XLOOKUP($A56,Input_Raw!$A:$A,Input_Raw!AT:AT),"")</f>
        <v>0</v>
      </c>
      <c r="O56" s="238" t="str">
        <f>IFERROR(1-(SUMIF(Plant_BD!$B:$B,$A56,Plant_BD!$AL:$AL)/($AA56+SUMIF(Plant_BD!$B:$B,$A56,Plant_BD!$AL:$AL))),"")</f>
        <v/>
      </c>
      <c r="P56" s="238"/>
      <c r="Q56" s="239"/>
      <c r="R56" s="238" t="str">
        <f>IFERROR(1-(SUMIF(Grid_BD!$B:$B,$A56,Grid_BD!$V:$V)/($AA56+SUMIF(Grid_BD!$B:$B,$A56,Grid_BD!$V:$V))),"")</f>
        <v/>
      </c>
      <c r="S56" s="234"/>
      <c r="T56" s="239"/>
      <c r="U56" s="240" t="str">
        <f t="shared" si="6"/>
        <v/>
      </c>
      <c r="V56" s="240" t="str">
        <f>IFERROR(_xlfn.XLOOKUP($A56,Input_Raw!$A:$A,Input_Raw!$BS:$BS),"")</f>
        <v/>
      </c>
      <c r="W56" s="241">
        <f t="shared" si="7"/>
        <v>0</v>
      </c>
      <c r="X56" s="233">
        <f>IFERROR(_xlfn.XLOOKUP($A56,Input_Raw!$A:$A,Input_Raw!$AW:$AW),"")</f>
        <v>0</v>
      </c>
      <c r="Y56" s="233">
        <f>IFERROR(_xlfn.XLOOKUP($A56,Input_Raw!$A:$A,Input_Raw!$BN:$BN),"")</f>
        <v>0</v>
      </c>
      <c r="Z56" s="233"/>
      <c r="AA56" s="233">
        <f>IFERROR(_xlfn.XLOOKUP($A56,Input_Raw!$A:$A,Input_Raw!$BO:$BO),"")</f>
        <v>0</v>
      </c>
      <c r="AB56" s="233">
        <f>IFERROR(_xlfn.XLOOKUP($A56,Input_Raw!$A:$A,Input_Raw!$BP:$BP),"")</f>
        <v>0</v>
      </c>
      <c r="AC56" s="242">
        <f>IFERROR(_xlfn.XLOOKUP($D56,'Modelling New'!$D:$D,'Modelling New'!P:P),"")</f>
        <v>3.9193548387096775</v>
      </c>
      <c r="AD56" s="233">
        <f>IFERROR(_xlfn.XLOOKUP($D56,'Modelling New'!$D:$D,'Modelling New'!T:T)*1000,"")</f>
        <v>288553.8699715368</v>
      </c>
      <c r="AE56" s="243">
        <f>IFERROR(_xlfn.XLOOKUP($D56,'Modelling New'!$D:$D,'Modelling New'!$O:$O),"")</f>
        <v>0.83852845216097582</v>
      </c>
      <c r="AF56" s="243">
        <f>IFERROR(_xlfn.XLOOKUP($D56,'Modelling New'!$D:$D,'Modelling New'!$W:$W),"")</f>
        <v>0.13693710609886903</v>
      </c>
      <c r="AG56" s="243">
        <f>IFERROR(_xlfn.XLOOKUP($D56,'Modelling New'!$D:$D,'Modelling New'!$AE:$AE),"")</f>
        <v>0.995</v>
      </c>
      <c r="AH56" s="243">
        <f>IFERROR(_xlfn.XLOOKUP($D56,'Modelling New'!$D:$D,'Modelling New'!$AF:$AF),"")</f>
        <v>0.995</v>
      </c>
      <c r="AI56" s="234"/>
      <c r="AJ56" s="234"/>
      <c r="AK56" s="234"/>
      <c r="AL56" s="234"/>
      <c r="AM56" s="234"/>
      <c r="AN56" s="244"/>
      <c r="AO56" s="241"/>
      <c r="AP56" s="241"/>
      <c r="AQ56" s="241"/>
      <c r="AR56" s="233">
        <f>_xlfn.XLOOKUP($D56,'Modelling New'!$D:$D,'Modelling New'!$N:$N)</f>
        <v>87.8</v>
      </c>
      <c r="AS56" s="233">
        <f t="shared" si="8"/>
        <v>0</v>
      </c>
    </row>
    <row r="57" spans="1:45">
      <c r="A57" s="232">
        <f t="shared" si="9"/>
        <v>45894</v>
      </c>
      <c r="B57" s="233">
        <f>YEAR(Daily_KPI[[#This Row],[Date]])+IF(MONTH(Daily_KPI[[#This Row],[Date]])&gt;=4,1,0)</f>
        <v>2026</v>
      </c>
      <c r="C57" s="234">
        <f>YEAR(Daily_KPI[[#This Row],[Date]])</f>
        <v>2025</v>
      </c>
      <c r="D57" s="235">
        <f>Daily_KPI[[#This Row],[Date]]-DAY(Daily_KPI[[#This Row],[Date]])+1</f>
        <v>45870</v>
      </c>
      <c r="E57" s="234">
        <f t="shared" si="5"/>
        <v>31</v>
      </c>
      <c r="F57" s="236">
        <f>IFERROR(_xlfn.XLOOKUP($A57,Input_Raw!$A:$A,Input_Raw!$BM:$BM),"")</f>
        <v>0</v>
      </c>
      <c r="G57" s="237">
        <f>IFERROR(_xlfn.XLOOKUP($A57,Input_Raw!$A:$A,Input_Raw!$AN:$AN),"")</f>
        <v>0</v>
      </c>
      <c r="H57" s="237"/>
      <c r="I57" s="237">
        <f>IFERROR(_xlfn.XLOOKUP($A57,Input_Raw!$A:$A,Input_Raw!$AM:$AM),"")</f>
        <v>0</v>
      </c>
      <c r="J57" s="237"/>
      <c r="K57" s="237">
        <f>IFERROR(_xlfn.XLOOKUP($A57,Input_Raw!$A:$A,Input_Raw!AO:AO),"")</f>
        <v>0</v>
      </c>
      <c r="L57" s="237">
        <f>IFERROR(_xlfn.XLOOKUP($A57,Input_Raw!$A:$A,Input_Raw!AP:AP),"")</f>
        <v>0</v>
      </c>
      <c r="M57" s="237">
        <f>IFERROR(_xlfn.XLOOKUP($A57,Input_Raw!$A:$A,Input_Raw!AS:AS),"")</f>
        <v>0</v>
      </c>
      <c r="N57" s="237">
        <f>IFERROR(_xlfn.XLOOKUP($A57,Input_Raw!$A:$A,Input_Raw!AT:AT),"")</f>
        <v>0</v>
      </c>
      <c r="O57" s="238" t="str">
        <f>IFERROR(1-(SUMIF(Plant_BD!$B:$B,$A57,Plant_BD!$AL:$AL)/($AA57+SUMIF(Plant_BD!$B:$B,$A57,Plant_BD!$AL:$AL))),"")</f>
        <v/>
      </c>
      <c r="P57" s="238"/>
      <c r="Q57" s="239"/>
      <c r="R57" s="238" t="str">
        <f>IFERROR(1-(SUMIF(Grid_BD!$B:$B,$A57,Grid_BD!$V:$V)/($AA57+SUMIF(Grid_BD!$B:$B,$A57,Grid_BD!$V:$V))),"")</f>
        <v/>
      </c>
      <c r="S57" s="234"/>
      <c r="T57" s="239"/>
      <c r="U57" s="240" t="str">
        <f t="shared" si="6"/>
        <v/>
      </c>
      <c r="V57" s="240" t="str">
        <f>IFERROR(_xlfn.XLOOKUP($A57,Input_Raw!$A:$A,Input_Raw!$BS:$BS),"")</f>
        <v/>
      </c>
      <c r="W57" s="241">
        <f t="shared" si="7"/>
        <v>0</v>
      </c>
      <c r="X57" s="233">
        <f>IFERROR(_xlfn.XLOOKUP($A57,Input_Raw!$A:$A,Input_Raw!$AW:$AW),"")</f>
        <v>0</v>
      </c>
      <c r="Y57" s="233">
        <f>IFERROR(_xlfn.XLOOKUP($A57,Input_Raw!$A:$A,Input_Raw!$BN:$BN),"")</f>
        <v>0</v>
      </c>
      <c r="Z57" s="233"/>
      <c r="AA57" s="233">
        <f>IFERROR(_xlfn.XLOOKUP($A57,Input_Raw!$A:$A,Input_Raw!$BO:$BO),"")</f>
        <v>0</v>
      </c>
      <c r="AB57" s="233">
        <f>IFERROR(_xlfn.XLOOKUP($A57,Input_Raw!$A:$A,Input_Raw!$BP:$BP),"")</f>
        <v>0</v>
      </c>
      <c r="AC57" s="242">
        <f>IFERROR(_xlfn.XLOOKUP($D57,'Modelling New'!$D:$D,'Modelling New'!P:P),"")</f>
        <v>3.9193548387096775</v>
      </c>
      <c r="AD57" s="233">
        <f>IFERROR(_xlfn.XLOOKUP($D57,'Modelling New'!$D:$D,'Modelling New'!T:T)*1000,"")</f>
        <v>288553.8699715368</v>
      </c>
      <c r="AE57" s="243">
        <f>IFERROR(_xlfn.XLOOKUP($D57,'Modelling New'!$D:$D,'Modelling New'!$O:$O),"")</f>
        <v>0.83852845216097582</v>
      </c>
      <c r="AF57" s="243">
        <f>IFERROR(_xlfn.XLOOKUP($D57,'Modelling New'!$D:$D,'Modelling New'!$W:$W),"")</f>
        <v>0.13693710609886903</v>
      </c>
      <c r="AG57" s="243">
        <f>IFERROR(_xlfn.XLOOKUP($D57,'Modelling New'!$D:$D,'Modelling New'!$AE:$AE),"")</f>
        <v>0.995</v>
      </c>
      <c r="AH57" s="243">
        <f>IFERROR(_xlfn.XLOOKUP($D57,'Modelling New'!$D:$D,'Modelling New'!$AF:$AF),"")</f>
        <v>0.995</v>
      </c>
      <c r="AI57" s="234"/>
      <c r="AJ57" s="234"/>
      <c r="AK57" s="234"/>
      <c r="AL57" s="234"/>
      <c r="AM57" s="234"/>
      <c r="AN57" s="244"/>
      <c r="AO57" s="241"/>
      <c r="AP57" s="241"/>
      <c r="AQ57" s="241"/>
      <c r="AR57" s="233">
        <f>_xlfn.XLOOKUP($D57,'Modelling New'!$D:$D,'Modelling New'!$N:$N)</f>
        <v>87.8</v>
      </c>
      <c r="AS57" s="233">
        <f t="shared" si="8"/>
        <v>0</v>
      </c>
    </row>
    <row r="58" spans="1:45">
      <c r="A58" s="232">
        <f t="shared" si="9"/>
        <v>45895</v>
      </c>
      <c r="B58" s="233">
        <f>YEAR(Daily_KPI[[#This Row],[Date]])+IF(MONTH(Daily_KPI[[#This Row],[Date]])&gt;=4,1,0)</f>
        <v>2026</v>
      </c>
      <c r="C58" s="234">
        <f>YEAR(Daily_KPI[[#This Row],[Date]])</f>
        <v>2025</v>
      </c>
      <c r="D58" s="235">
        <f>Daily_KPI[[#This Row],[Date]]-DAY(Daily_KPI[[#This Row],[Date]])+1</f>
        <v>45870</v>
      </c>
      <c r="E58" s="234">
        <f t="shared" si="5"/>
        <v>31</v>
      </c>
      <c r="F58" s="236">
        <f>IFERROR(_xlfn.XLOOKUP($A58,Input_Raw!$A:$A,Input_Raw!$BM:$BM),"")</f>
        <v>0</v>
      </c>
      <c r="G58" s="237">
        <f>IFERROR(_xlfn.XLOOKUP($A58,Input_Raw!$A:$A,Input_Raw!$AN:$AN),"")</f>
        <v>0</v>
      </c>
      <c r="H58" s="237"/>
      <c r="I58" s="237">
        <f>IFERROR(_xlfn.XLOOKUP($A58,Input_Raw!$A:$A,Input_Raw!$AM:$AM),"")</f>
        <v>0</v>
      </c>
      <c r="J58" s="237"/>
      <c r="K58" s="237">
        <f>IFERROR(_xlfn.XLOOKUP($A58,Input_Raw!$A:$A,Input_Raw!AO:AO),"")</f>
        <v>0</v>
      </c>
      <c r="L58" s="237">
        <f>IFERROR(_xlfn.XLOOKUP($A58,Input_Raw!$A:$A,Input_Raw!AP:AP),"")</f>
        <v>0</v>
      </c>
      <c r="M58" s="237">
        <f>IFERROR(_xlfn.XLOOKUP($A58,Input_Raw!$A:$A,Input_Raw!AS:AS),"")</f>
        <v>0</v>
      </c>
      <c r="N58" s="237">
        <f>IFERROR(_xlfn.XLOOKUP($A58,Input_Raw!$A:$A,Input_Raw!AT:AT),"")</f>
        <v>0</v>
      </c>
      <c r="O58" s="238" t="str">
        <f>IFERROR(1-(SUMIF(Plant_BD!$B:$B,$A58,Plant_BD!$AL:$AL)/($AA58+SUMIF(Plant_BD!$B:$B,$A58,Plant_BD!$AL:$AL))),"")</f>
        <v/>
      </c>
      <c r="P58" s="238"/>
      <c r="Q58" s="239"/>
      <c r="R58" s="238" t="str">
        <f>IFERROR(1-(SUMIF(Grid_BD!$B:$B,$A58,Grid_BD!$V:$V)/($AA58+SUMIF(Grid_BD!$B:$B,$A58,Grid_BD!$V:$V))),"")</f>
        <v/>
      </c>
      <c r="S58" s="234"/>
      <c r="T58" s="239"/>
      <c r="U58" s="240" t="str">
        <f t="shared" si="6"/>
        <v/>
      </c>
      <c r="V58" s="240" t="str">
        <f>IFERROR(_xlfn.XLOOKUP($A58,Input_Raw!$A:$A,Input_Raw!$BS:$BS),"")</f>
        <v/>
      </c>
      <c r="W58" s="241">
        <f t="shared" si="7"/>
        <v>0</v>
      </c>
      <c r="X58" s="233">
        <f>IFERROR(_xlfn.XLOOKUP($A58,Input_Raw!$A:$A,Input_Raw!$AW:$AW),"")</f>
        <v>0</v>
      </c>
      <c r="Y58" s="233">
        <f>IFERROR(_xlfn.XLOOKUP($A58,Input_Raw!$A:$A,Input_Raw!$BN:$BN),"")</f>
        <v>0</v>
      </c>
      <c r="Z58" s="233"/>
      <c r="AA58" s="233">
        <f>IFERROR(_xlfn.XLOOKUP($A58,Input_Raw!$A:$A,Input_Raw!$BO:$BO),"")</f>
        <v>0</v>
      </c>
      <c r="AB58" s="233">
        <f>IFERROR(_xlfn.XLOOKUP($A58,Input_Raw!$A:$A,Input_Raw!$BP:$BP),"")</f>
        <v>0</v>
      </c>
      <c r="AC58" s="242">
        <f>IFERROR(_xlfn.XLOOKUP($D58,'Modelling New'!$D:$D,'Modelling New'!P:P),"")</f>
        <v>3.9193548387096775</v>
      </c>
      <c r="AD58" s="233">
        <f>IFERROR(_xlfn.XLOOKUP($D58,'Modelling New'!$D:$D,'Modelling New'!T:T)*1000,"")</f>
        <v>288553.8699715368</v>
      </c>
      <c r="AE58" s="243">
        <f>IFERROR(_xlfn.XLOOKUP($D58,'Modelling New'!$D:$D,'Modelling New'!$O:$O),"")</f>
        <v>0.83852845216097582</v>
      </c>
      <c r="AF58" s="243">
        <f>IFERROR(_xlfn.XLOOKUP($D58,'Modelling New'!$D:$D,'Modelling New'!$W:$W),"")</f>
        <v>0.13693710609886903</v>
      </c>
      <c r="AG58" s="243">
        <f>IFERROR(_xlfn.XLOOKUP($D58,'Modelling New'!$D:$D,'Modelling New'!$AE:$AE),"")</f>
        <v>0.995</v>
      </c>
      <c r="AH58" s="243">
        <f>IFERROR(_xlfn.XLOOKUP($D58,'Modelling New'!$D:$D,'Modelling New'!$AF:$AF),"")</f>
        <v>0.995</v>
      </c>
      <c r="AI58" s="234"/>
      <c r="AJ58" s="234"/>
      <c r="AK58" s="234"/>
      <c r="AL58" s="234"/>
      <c r="AM58" s="234"/>
      <c r="AN58" s="244"/>
      <c r="AO58" s="241"/>
      <c r="AP58" s="241"/>
      <c r="AQ58" s="241"/>
      <c r="AR58" s="233">
        <f>_xlfn.XLOOKUP($D58,'Modelling New'!$D:$D,'Modelling New'!$N:$N)</f>
        <v>87.8</v>
      </c>
      <c r="AS58" s="233">
        <f t="shared" si="8"/>
        <v>0</v>
      </c>
    </row>
    <row r="59" spans="1:45">
      <c r="A59" s="232">
        <f t="shared" si="9"/>
        <v>45896</v>
      </c>
      <c r="B59" s="233">
        <f>YEAR(Daily_KPI[[#This Row],[Date]])+IF(MONTH(Daily_KPI[[#This Row],[Date]])&gt;=4,1,0)</f>
        <v>2026</v>
      </c>
      <c r="C59" s="234">
        <f>YEAR(Daily_KPI[[#This Row],[Date]])</f>
        <v>2025</v>
      </c>
      <c r="D59" s="235">
        <f>Daily_KPI[[#This Row],[Date]]-DAY(Daily_KPI[[#This Row],[Date]])+1</f>
        <v>45870</v>
      </c>
      <c r="E59" s="234">
        <f t="shared" si="5"/>
        <v>31</v>
      </c>
      <c r="F59" s="236">
        <f>IFERROR(_xlfn.XLOOKUP($A59,Input_Raw!$A:$A,Input_Raw!$BM:$BM),"")</f>
        <v>0</v>
      </c>
      <c r="G59" s="237">
        <f>IFERROR(_xlfn.XLOOKUP($A59,Input_Raw!$A:$A,Input_Raw!$AN:$AN),"")</f>
        <v>0</v>
      </c>
      <c r="H59" s="237"/>
      <c r="I59" s="237">
        <f>IFERROR(_xlfn.XLOOKUP($A59,Input_Raw!$A:$A,Input_Raw!$AM:$AM),"")</f>
        <v>0</v>
      </c>
      <c r="J59" s="237"/>
      <c r="K59" s="237">
        <f>IFERROR(_xlfn.XLOOKUP($A59,Input_Raw!$A:$A,Input_Raw!AO:AO),"")</f>
        <v>0</v>
      </c>
      <c r="L59" s="237">
        <f>IFERROR(_xlfn.XLOOKUP($A59,Input_Raw!$A:$A,Input_Raw!AP:AP),"")</f>
        <v>0</v>
      </c>
      <c r="M59" s="237">
        <f>IFERROR(_xlfn.XLOOKUP($A59,Input_Raw!$A:$A,Input_Raw!AS:AS),"")</f>
        <v>0</v>
      </c>
      <c r="N59" s="237">
        <f>IFERROR(_xlfn.XLOOKUP($A59,Input_Raw!$A:$A,Input_Raw!AT:AT),"")</f>
        <v>0</v>
      </c>
      <c r="O59" s="238" t="str">
        <f>IFERROR(1-(SUMIF(Plant_BD!$B:$B,$A59,Plant_BD!$AL:$AL)/($AA59+SUMIF(Plant_BD!$B:$B,$A59,Plant_BD!$AL:$AL))),"")</f>
        <v/>
      </c>
      <c r="P59" s="238"/>
      <c r="Q59" s="239"/>
      <c r="R59" s="238" t="str">
        <f>IFERROR(1-(SUMIF(Grid_BD!$B:$B,$A59,Grid_BD!$V:$V)/($AA59+SUMIF(Grid_BD!$B:$B,$A59,Grid_BD!$V:$V))),"")</f>
        <v/>
      </c>
      <c r="S59" s="234"/>
      <c r="T59" s="239"/>
      <c r="U59" s="240" t="str">
        <f t="shared" si="6"/>
        <v/>
      </c>
      <c r="V59" s="240" t="str">
        <f>IFERROR(_xlfn.XLOOKUP($A59,Input_Raw!$A:$A,Input_Raw!$BS:$BS),"")</f>
        <v/>
      </c>
      <c r="W59" s="241">
        <f t="shared" si="7"/>
        <v>0</v>
      </c>
      <c r="X59" s="233">
        <f>IFERROR(_xlfn.XLOOKUP($A59,Input_Raw!$A:$A,Input_Raw!$AW:$AW),"")</f>
        <v>0</v>
      </c>
      <c r="Y59" s="233">
        <f>IFERROR(_xlfn.XLOOKUP($A59,Input_Raw!$A:$A,Input_Raw!$BN:$BN),"")</f>
        <v>0</v>
      </c>
      <c r="Z59" s="233"/>
      <c r="AA59" s="233">
        <f>IFERROR(_xlfn.XLOOKUP($A59,Input_Raw!$A:$A,Input_Raw!$BO:$BO),"")</f>
        <v>0</v>
      </c>
      <c r="AB59" s="233">
        <f>IFERROR(_xlfn.XLOOKUP($A59,Input_Raw!$A:$A,Input_Raw!$BP:$BP),"")</f>
        <v>0</v>
      </c>
      <c r="AC59" s="242">
        <f>IFERROR(_xlfn.XLOOKUP($D59,'Modelling New'!$D:$D,'Modelling New'!P:P),"")</f>
        <v>3.9193548387096775</v>
      </c>
      <c r="AD59" s="233">
        <f>IFERROR(_xlfn.XLOOKUP($D59,'Modelling New'!$D:$D,'Modelling New'!T:T)*1000,"")</f>
        <v>288553.8699715368</v>
      </c>
      <c r="AE59" s="243">
        <f>IFERROR(_xlfn.XLOOKUP($D59,'Modelling New'!$D:$D,'Modelling New'!$O:$O),"")</f>
        <v>0.83852845216097582</v>
      </c>
      <c r="AF59" s="243">
        <f>IFERROR(_xlfn.XLOOKUP($D59,'Modelling New'!$D:$D,'Modelling New'!$W:$W),"")</f>
        <v>0.13693710609886903</v>
      </c>
      <c r="AG59" s="243">
        <f>IFERROR(_xlfn.XLOOKUP($D59,'Modelling New'!$D:$D,'Modelling New'!$AE:$AE),"")</f>
        <v>0.995</v>
      </c>
      <c r="AH59" s="243">
        <f>IFERROR(_xlfn.XLOOKUP($D59,'Modelling New'!$D:$D,'Modelling New'!$AF:$AF),"")</f>
        <v>0.995</v>
      </c>
      <c r="AI59" s="234"/>
      <c r="AJ59" s="234"/>
      <c r="AK59" s="234"/>
      <c r="AL59" s="234"/>
      <c r="AM59" s="234"/>
      <c r="AN59" s="244"/>
      <c r="AO59" s="241"/>
      <c r="AP59" s="241"/>
      <c r="AQ59" s="241"/>
      <c r="AR59" s="233">
        <f>_xlfn.XLOOKUP($D59,'Modelling New'!$D:$D,'Modelling New'!$N:$N)</f>
        <v>87.8</v>
      </c>
      <c r="AS59" s="233">
        <f t="shared" si="8"/>
        <v>0</v>
      </c>
    </row>
    <row r="60" spans="1:45">
      <c r="A60" s="232">
        <f t="shared" si="9"/>
        <v>45897</v>
      </c>
      <c r="B60" s="233">
        <f>YEAR(Daily_KPI[[#This Row],[Date]])+IF(MONTH(Daily_KPI[[#This Row],[Date]])&gt;=4,1,0)</f>
        <v>2026</v>
      </c>
      <c r="C60" s="234">
        <f>YEAR(Daily_KPI[[#This Row],[Date]])</f>
        <v>2025</v>
      </c>
      <c r="D60" s="235">
        <f>Daily_KPI[[#This Row],[Date]]-DAY(Daily_KPI[[#This Row],[Date]])+1</f>
        <v>45870</v>
      </c>
      <c r="E60" s="234">
        <f t="shared" si="5"/>
        <v>31</v>
      </c>
      <c r="F60" s="236">
        <f>IFERROR(_xlfn.XLOOKUP($A60,Input_Raw!$A:$A,Input_Raw!$BM:$BM),"")</f>
        <v>0</v>
      </c>
      <c r="G60" s="237">
        <f>IFERROR(_xlfn.XLOOKUP($A60,Input_Raw!$A:$A,Input_Raw!$AN:$AN),"")</f>
        <v>0</v>
      </c>
      <c r="H60" s="237"/>
      <c r="I60" s="237">
        <f>IFERROR(_xlfn.XLOOKUP($A60,Input_Raw!$A:$A,Input_Raw!$AM:$AM),"")</f>
        <v>0</v>
      </c>
      <c r="J60" s="237"/>
      <c r="K60" s="237">
        <f>IFERROR(_xlfn.XLOOKUP($A60,Input_Raw!$A:$A,Input_Raw!AO:AO),"")</f>
        <v>0</v>
      </c>
      <c r="L60" s="237">
        <f>IFERROR(_xlfn.XLOOKUP($A60,Input_Raw!$A:$A,Input_Raw!AP:AP),"")</f>
        <v>0</v>
      </c>
      <c r="M60" s="237">
        <f>IFERROR(_xlfn.XLOOKUP($A60,Input_Raw!$A:$A,Input_Raw!AS:AS),"")</f>
        <v>0</v>
      </c>
      <c r="N60" s="237">
        <f>IFERROR(_xlfn.XLOOKUP($A60,Input_Raw!$A:$A,Input_Raw!AT:AT),"")</f>
        <v>0</v>
      </c>
      <c r="O60" s="238" t="str">
        <f>IFERROR(1-(SUMIF(Plant_BD!$B:$B,$A60,Plant_BD!$AL:$AL)/($AA60+SUMIF(Plant_BD!$B:$B,$A60,Plant_BD!$AL:$AL))),"")</f>
        <v/>
      </c>
      <c r="P60" s="238"/>
      <c r="Q60" s="239"/>
      <c r="R60" s="238" t="str">
        <f>IFERROR(1-(SUMIF(Grid_BD!$B:$B,$A60,Grid_BD!$V:$V)/($AA60+SUMIF(Grid_BD!$B:$B,$A60,Grid_BD!$V:$V))),"")</f>
        <v/>
      </c>
      <c r="S60" s="234"/>
      <c r="T60" s="239"/>
      <c r="U60" s="240" t="str">
        <f t="shared" si="6"/>
        <v/>
      </c>
      <c r="V60" s="240" t="str">
        <f>IFERROR(_xlfn.XLOOKUP($A60,Input_Raw!$A:$A,Input_Raw!$BS:$BS),"")</f>
        <v/>
      </c>
      <c r="W60" s="241">
        <f t="shared" si="7"/>
        <v>0</v>
      </c>
      <c r="X60" s="233">
        <f>IFERROR(_xlfn.XLOOKUP($A60,Input_Raw!$A:$A,Input_Raw!$AW:$AW),"")</f>
        <v>0</v>
      </c>
      <c r="Y60" s="233">
        <f>IFERROR(_xlfn.XLOOKUP($A60,Input_Raw!$A:$A,Input_Raw!$BN:$BN),"")</f>
        <v>0</v>
      </c>
      <c r="Z60" s="233"/>
      <c r="AA60" s="233">
        <f>IFERROR(_xlfn.XLOOKUP($A60,Input_Raw!$A:$A,Input_Raw!$BO:$BO),"")</f>
        <v>0</v>
      </c>
      <c r="AB60" s="233">
        <f>IFERROR(_xlfn.XLOOKUP($A60,Input_Raw!$A:$A,Input_Raw!$BP:$BP),"")</f>
        <v>0</v>
      </c>
      <c r="AC60" s="242">
        <f>IFERROR(_xlfn.XLOOKUP($D60,'Modelling New'!$D:$D,'Modelling New'!P:P),"")</f>
        <v>3.9193548387096775</v>
      </c>
      <c r="AD60" s="233">
        <f>IFERROR(_xlfn.XLOOKUP($D60,'Modelling New'!$D:$D,'Modelling New'!T:T)*1000,"")</f>
        <v>288553.8699715368</v>
      </c>
      <c r="AE60" s="243">
        <f>IFERROR(_xlfn.XLOOKUP($D60,'Modelling New'!$D:$D,'Modelling New'!$O:$O),"")</f>
        <v>0.83852845216097582</v>
      </c>
      <c r="AF60" s="243">
        <f>IFERROR(_xlfn.XLOOKUP($D60,'Modelling New'!$D:$D,'Modelling New'!$W:$W),"")</f>
        <v>0.13693710609886903</v>
      </c>
      <c r="AG60" s="243">
        <f>IFERROR(_xlfn.XLOOKUP($D60,'Modelling New'!$D:$D,'Modelling New'!$AE:$AE),"")</f>
        <v>0.995</v>
      </c>
      <c r="AH60" s="243">
        <f>IFERROR(_xlfn.XLOOKUP($D60,'Modelling New'!$D:$D,'Modelling New'!$AF:$AF),"")</f>
        <v>0.995</v>
      </c>
      <c r="AI60" s="234"/>
      <c r="AJ60" s="234"/>
      <c r="AK60" s="234"/>
      <c r="AL60" s="234"/>
      <c r="AM60" s="234"/>
      <c r="AN60" s="244"/>
      <c r="AO60" s="241"/>
      <c r="AP60" s="241"/>
      <c r="AQ60" s="241"/>
      <c r="AR60" s="233">
        <f>_xlfn.XLOOKUP($D60,'Modelling New'!$D:$D,'Modelling New'!$N:$N)</f>
        <v>87.8</v>
      </c>
      <c r="AS60" s="233">
        <f t="shared" si="8"/>
        <v>0</v>
      </c>
    </row>
    <row r="61" spans="1:45">
      <c r="A61" s="232">
        <f t="shared" si="9"/>
        <v>45898</v>
      </c>
      <c r="B61" s="233">
        <f>YEAR(Daily_KPI[[#This Row],[Date]])+IF(MONTH(Daily_KPI[[#This Row],[Date]])&gt;=4,1,0)</f>
        <v>2026</v>
      </c>
      <c r="C61" s="234">
        <f>YEAR(Daily_KPI[[#This Row],[Date]])</f>
        <v>2025</v>
      </c>
      <c r="D61" s="235">
        <f>Daily_KPI[[#This Row],[Date]]-DAY(Daily_KPI[[#This Row],[Date]])+1</f>
        <v>45870</v>
      </c>
      <c r="E61" s="234">
        <f t="shared" si="5"/>
        <v>31</v>
      </c>
      <c r="F61" s="236">
        <f>IFERROR(_xlfn.XLOOKUP($A61,Input_Raw!$A:$A,Input_Raw!$BM:$BM),"")</f>
        <v>0</v>
      </c>
      <c r="G61" s="237">
        <f>IFERROR(_xlfn.XLOOKUP($A61,Input_Raw!$A:$A,Input_Raw!$AN:$AN),"")</f>
        <v>0</v>
      </c>
      <c r="H61" s="237"/>
      <c r="I61" s="237">
        <f>IFERROR(_xlfn.XLOOKUP($A61,Input_Raw!$A:$A,Input_Raw!$AM:$AM),"")</f>
        <v>0</v>
      </c>
      <c r="J61" s="237"/>
      <c r="K61" s="237">
        <f>IFERROR(_xlfn.XLOOKUP($A61,Input_Raw!$A:$A,Input_Raw!AO:AO),"")</f>
        <v>0</v>
      </c>
      <c r="L61" s="237">
        <f>IFERROR(_xlfn.XLOOKUP($A61,Input_Raw!$A:$A,Input_Raw!AP:AP),"")</f>
        <v>0</v>
      </c>
      <c r="M61" s="237">
        <f>IFERROR(_xlfn.XLOOKUP($A61,Input_Raw!$A:$A,Input_Raw!AS:AS),"")</f>
        <v>0</v>
      </c>
      <c r="N61" s="237">
        <f>IFERROR(_xlfn.XLOOKUP($A61,Input_Raw!$A:$A,Input_Raw!AT:AT),"")</f>
        <v>0</v>
      </c>
      <c r="O61" s="238" t="str">
        <f>IFERROR(1-(SUMIF(Plant_BD!$B:$B,$A61,Plant_BD!$AL:$AL)/($AA61+SUMIF(Plant_BD!$B:$B,$A61,Plant_BD!$AL:$AL))),"")</f>
        <v/>
      </c>
      <c r="P61" s="238"/>
      <c r="Q61" s="239"/>
      <c r="R61" s="238" t="str">
        <f>IFERROR(1-(SUMIF(Grid_BD!$B:$B,$A61,Grid_BD!$V:$V)/($AA61+SUMIF(Grid_BD!$B:$B,$A61,Grid_BD!$V:$V))),"")</f>
        <v/>
      </c>
      <c r="S61" s="234"/>
      <c r="T61" s="239"/>
      <c r="U61" s="240" t="str">
        <f t="shared" si="6"/>
        <v/>
      </c>
      <c r="V61" s="240" t="str">
        <f>IFERROR(_xlfn.XLOOKUP($A61,Input_Raw!$A:$A,Input_Raw!$BS:$BS),"")</f>
        <v/>
      </c>
      <c r="W61" s="241">
        <f t="shared" si="7"/>
        <v>0</v>
      </c>
      <c r="X61" s="233">
        <f>IFERROR(_xlfn.XLOOKUP($A61,Input_Raw!$A:$A,Input_Raw!$AW:$AW),"")</f>
        <v>0</v>
      </c>
      <c r="Y61" s="233">
        <f>IFERROR(_xlfn.XLOOKUP($A61,Input_Raw!$A:$A,Input_Raw!$BN:$BN),"")</f>
        <v>0</v>
      </c>
      <c r="Z61" s="233"/>
      <c r="AA61" s="233">
        <f>IFERROR(_xlfn.XLOOKUP($A61,Input_Raw!$A:$A,Input_Raw!$BO:$BO),"")</f>
        <v>0</v>
      </c>
      <c r="AB61" s="233">
        <f>IFERROR(_xlfn.XLOOKUP($A61,Input_Raw!$A:$A,Input_Raw!$BP:$BP),"")</f>
        <v>0</v>
      </c>
      <c r="AC61" s="242">
        <f>IFERROR(_xlfn.XLOOKUP($D61,'Modelling New'!$D:$D,'Modelling New'!P:P),"")</f>
        <v>3.9193548387096775</v>
      </c>
      <c r="AD61" s="233">
        <f>IFERROR(_xlfn.XLOOKUP($D61,'Modelling New'!$D:$D,'Modelling New'!T:T)*1000,"")</f>
        <v>288553.8699715368</v>
      </c>
      <c r="AE61" s="243">
        <f>IFERROR(_xlfn.XLOOKUP($D61,'Modelling New'!$D:$D,'Modelling New'!$O:$O),"")</f>
        <v>0.83852845216097582</v>
      </c>
      <c r="AF61" s="243">
        <f>IFERROR(_xlfn.XLOOKUP($D61,'Modelling New'!$D:$D,'Modelling New'!$W:$W),"")</f>
        <v>0.13693710609886903</v>
      </c>
      <c r="AG61" s="243">
        <f>IFERROR(_xlfn.XLOOKUP($D61,'Modelling New'!$D:$D,'Modelling New'!$AE:$AE),"")</f>
        <v>0.995</v>
      </c>
      <c r="AH61" s="243">
        <f>IFERROR(_xlfn.XLOOKUP($D61,'Modelling New'!$D:$D,'Modelling New'!$AF:$AF),"")</f>
        <v>0.995</v>
      </c>
      <c r="AI61" s="234"/>
      <c r="AJ61" s="234"/>
      <c r="AK61" s="234"/>
      <c r="AL61" s="234"/>
      <c r="AM61" s="234"/>
      <c r="AN61" s="244"/>
      <c r="AO61" s="241"/>
      <c r="AP61" s="241"/>
      <c r="AQ61" s="241"/>
      <c r="AR61" s="233">
        <f>_xlfn.XLOOKUP($D61,'Modelling New'!$D:$D,'Modelling New'!$N:$N)</f>
        <v>87.8</v>
      </c>
      <c r="AS61" s="233">
        <f t="shared" si="8"/>
        <v>0</v>
      </c>
    </row>
    <row r="62" spans="1:45">
      <c r="A62" s="232">
        <f t="shared" si="9"/>
        <v>45899</v>
      </c>
      <c r="B62" s="233">
        <f>YEAR(Daily_KPI[[#This Row],[Date]])+IF(MONTH(Daily_KPI[[#This Row],[Date]])&gt;=4,1,0)</f>
        <v>2026</v>
      </c>
      <c r="C62" s="234">
        <f>YEAR(Daily_KPI[[#This Row],[Date]])</f>
        <v>2025</v>
      </c>
      <c r="D62" s="235">
        <f>Daily_KPI[[#This Row],[Date]]-DAY(Daily_KPI[[#This Row],[Date]])+1</f>
        <v>45870</v>
      </c>
      <c r="E62" s="234">
        <f t="shared" si="5"/>
        <v>31</v>
      </c>
      <c r="F62" s="236">
        <f>IFERROR(_xlfn.XLOOKUP($A62,Input_Raw!$A:$A,Input_Raw!$BM:$BM),"")</f>
        <v>0</v>
      </c>
      <c r="G62" s="237">
        <f>IFERROR(_xlfn.XLOOKUP($A62,Input_Raw!$A:$A,Input_Raw!$AN:$AN),"")</f>
        <v>0</v>
      </c>
      <c r="H62" s="237"/>
      <c r="I62" s="237">
        <f>IFERROR(_xlfn.XLOOKUP($A62,Input_Raw!$A:$A,Input_Raw!$AM:$AM),"")</f>
        <v>0</v>
      </c>
      <c r="J62" s="237"/>
      <c r="K62" s="237">
        <f>IFERROR(_xlfn.XLOOKUP($A62,Input_Raw!$A:$A,Input_Raw!AO:AO),"")</f>
        <v>0</v>
      </c>
      <c r="L62" s="237">
        <f>IFERROR(_xlfn.XLOOKUP($A62,Input_Raw!$A:$A,Input_Raw!AP:AP),"")</f>
        <v>0</v>
      </c>
      <c r="M62" s="237">
        <f>IFERROR(_xlfn.XLOOKUP($A62,Input_Raw!$A:$A,Input_Raw!AS:AS),"")</f>
        <v>0</v>
      </c>
      <c r="N62" s="237">
        <f>IFERROR(_xlfn.XLOOKUP($A62,Input_Raw!$A:$A,Input_Raw!AT:AT),"")</f>
        <v>0</v>
      </c>
      <c r="O62" s="238" t="str">
        <f>IFERROR(1-(SUMIF(Plant_BD!$B:$B,$A62,Plant_BD!$AL:$AL)/($AA62+SUMIF(Plant_BD!$B:$B,$A62,Plant_BD!$AL:$AL))),"")</f>
        <v/>
      </c>
      <c r="P62" s="238"/>
      <c r="Q62" s="239"/>
      <c r="R62" s="238" t="str">
        <f>IFERROR(1-(SUMIF(Grid_BD!$B:$B,$A62,Grid_BD!$V:$V)/($AA62+SUMIF(Grid_BD!$B:$B,$A62,Grid_BD!$V:$V))),"")</f>
        <v/>
      </c>
      <c r="S62" s="234"/>
      <c r="T62" s="239"/>
      <c r="U62" s="240" t="str">
        <f t="shared" si="6"/>
        <v/>
      </c>
      <c r="V62" s="240" t="str">
        <f>IFERROR(_xlfn.XLOOKUP($A62,Input_Raw!$A:$A,Input_Raw!$BS:$BS),"")</f>
        <v/>
      </c>
      <c r="W62" s="241">
        <f t="shared" si="7"/>
        <v>0</v>
      </c>
      <c r="X62" s="233">
        <f>IFERROR(_xlfn.XLOOKUP($A62,Input_Raw!$A:$A,Input_Raw!$AW:$AW),"")</f>
        <v>0</v>
      </c>
      <c r="Y62" s="233">
        <f>IFERROR(_xlfn.XLOOKUP($A62,Input_Raw!$A:$A,Input_Raw!$BN:$BN),"")</f>
        <v>0</v>
      </c>
      <c r="Z62" s="233"/>
      <c r="AA62" s="233">
        <f>IFERROR(_xlfn.XLOOKUP($A62,Input_Raw!$A:$A,Input_Raw!$BO:$BO),"")</f>
        <v>0</v>
      </c>
      <c r="AB62" s="233">
        <f>IFERROR(_xlfn.XLOOKUP($A62,Input_Raw!$A:$A,Input_Raw!$BP:$BP),"")</f>
        <v>0</v>
      </c>
      <c r="AC62" s="242">
        <f>IFERROR(_xlfn.XLOOKUP($D62,'Modelling New'!$D:$D,'Modelling New'!P:P),"")</f>
        <v>3.9193548387096775</v>
      </c>
      <c r="AD62" s="233">
        <f>IFERROR(_xlfn.XLOOKUP($D62,'Modelling New'!$D:$D,'Modelling New'!T:T)*1000,"")</f>
        <v>288553.8699715368</v>
      </c>
      <c r="AE62" s="243">
        <f>IFERROR(_xlfn.XLOOKUP($D62,'Modelling New'!$D:$D,'Modelling New'!$O:$O),"")</f>
        <v>0.83852845216097582</v>
      </c>
      <c r="AF62" s="243">
        <f>IFERROR(_xlfn.XLOOKUP($D62,'Modelling New'!$D:$D,'Modelling New'!$W:$W),"")</f>
        <v>0.13693710609886903</v>
      </c>
      <c r="AG62" s="243">
        <f>IFERROR(_xlfn.XLOOKUP($D62,'Modelling New'!$D:$D,'Modelling New'!$AE:$AE),"")</f>
        <v>0.995</v>
      </c>
      <c r="AH62" s="243">
        <f>IFERROR(_xlfn.XLOOKUP($D62,'Modelling New'!$D:$D,'Modelling New'!$AF:$AF),"")</f>
        <v>0.995</v>
      </c>
      <c r="AI62" s="234"/>
      <c r="AJ62" s="234"/>
      <c r="AK62" s="234"/>
      <c r="AL62" s="234"/>
      <c r="AM62" s="234"/>
      <c r="AN62" s="244"/>
      <c r="AO62" s="241"/>
      <c r="AP62" s="241"/>
      <c r="AQ62" s="241"/>
      <c r="AR62" s="233">
        <f>_xlfn.XLOOKUP($D62,'Modelling New'!$D:$D,'Modelling New'!$N:$N)</f>
        <v>87.8</v>
      </c>
      <c r="AS62" s="233">
        <f t="shared" si="8"/>
        <v>0</v>
      </c>
    </row>
    <row r="63" spans="1:45">
      <c r="A63" s="232">
        <f t="shared" si="9"/>
        <v>45900</v>
      </c>
      <c r="B63" s="233">
        <f>YEAR(Daily_KPI[[#This Row],[Date]])+IF(MONTH(Daily_KPI[[#This Row],[Date]])&gt;=4,1,0)</f>
        <v>2026</v>
      </c>
      <c r="C63" s="234">
        <f>YEAR(Daily_KPI[[#This Row],[Date]])</f>
        <v>2025</v>
      </c>
      <c r="D63" s="235">
        <f>Daily_KPI[[#This Row],[Date]]-DAY(Daily_KPI[[#This Row],[Date]])+1</f>
        <v>45870</v>
      </c>
      <c r="E63" s="234">
        <f t="shared" si="5"/>
        <v>31</v>
      </c>
      <c r="F63" s="236">
        <f>IFERROR(_xlfn.XLOOKUP($A63,Input_Raw!$A:$A,Input_Raw!$BM:$BM),"")</f>
        <v>0</v>
      </c>
      <c r="G63" s="237">
        <f>IFERROR(_xlfn.XLOOKUP($A63,Input_Raw!$A:$A,Input_Raw!$AN:$AN),"")</f>
        <v>0</v>
      </c>
      <c r="H63" s="237"/>
      <c r="I63" s="237">
        <f>IFERROR(_xlfn.XLOOKUP($A63,Input_Raw!$A:$A,Input_Raw!$AM:$AM),"")</f>
        <v>0</v>
      </c>
      <c r="J63" s="237"/>
      <c r="K63" s="237">
        <f>IFERROR(_xlfn.XLOOKUP($A63,Input_Raw!$A:$A,Input_Raw!AO:AO),"")</f>
        <v>0</v>
      </c>
      <c r="L63" s="237">
        <f>IFERROR(_xlfn.XLOOKUP($A63,Input_Raw!$A:$A,Input_Raw!AP:AP),"")</f>
        <v>0</v>
      </c>
      <c r="M63" s="237">
        <f>IFERROR(_xlfn.XLOOKUP($A63,Input_Raw!$A:$A,Input_Raw!AS:AS),"")</f>
        <v>0</v>
      </c>
      <c r="N63" s="237">
        <f>IFERROR(_xlfn.XLOOKUP($A63,Input_Raw!$A:$A,Input_Raw!AT:AT),"")</f>
        <v>0</v>
      </c>
      <c r="O63" s="238" t="str">
        <f>IFERROR(1-(SUMIF(Plant_BD!$B:$B,$A63,Plant_BD!$AL:$AL)/($AA63+SUMIF(Plant_BD!$B:$B,$A63,Plant_BD!$AL:$AL))),"")</f>
        <v/>
      </c>
      <c r="P63" s="238"/>
      <c r="Q63" s="239"/>
      <c r="R63" s="238" t="str">
        <f>IFERROR(1-(SUMIF(Grid_BD!$B:$B,$A63,Grid_BD!$V:$V)/($AA63+SUMIF(Grid_BD!$B:$B,$A63,Grid_BD!$V:$V))),"")</f>
        <v/>
      </c>
      <c r="S63" s="234"/>
      <c r="T63" s="239"/>
      <c r="U63" s="240" t="str">
        <f t="shared" si="6"/>
        <v/>
      </c>
      <c r="V63" s="240" t="str">
        <f>IFERROR(_xlfn.XLOOKUP($A63,Input_Raw!$A:$A,Input_Raw!$BS:$BS),"")</f>
        <v/>
      </c>
      <c r="W63" s="241">
        <f t="shared" si="7"/>
        <v>0</v>
      </c>
      <c r="X63" s="233">
        <f>IFERROR(_xlfn.XLOOKUP($A63,Input_Raw!$A:$A,Input_Raw!$AW:$AW),"")</f>
        <v>0</v>
      </c>
      <c r="Y63" s="233">
        <f>IFERROR(_xlfn.XLOOKUP($A63,Input_Raw!$A:$A,Input_Raw!$BN:$BN),"")</f>
        <v>0</v>
      </c>
      <c r="Z63" s="233"/>
      <c r="AA63" s="233">
        <f>IFERROR(_xlfn.XLOOKUP($A63,Input_Raw!$A:$A,Input_Raw!$BO:$BO),"")</f>
        <v>0</v>
      </c>
      <c r="AB63" s="233">
        <f>IFERROR(_xlfn.XLOOKUP($A63,Input_Raw!$A:$A,Input_Raw!$BP:$BP),"")</f>
        <v>0</v>
      </c>
      <c r="AC63" s="242">
        <f>IFERROR(_xlfn.XLOOKUP($D63,'Modelling New'!$D:$D,'Modelling New'!P:P),"")</f>
        <v>3.9193548387096775</v>
      </c>
      <c r="AD63" s="233">
        <f>IFERROR(_xlfn.XLOOKUP($D63,'Modelling New'!$D:$D,'Modelling New'!T:T)*1000,"")</f>
        <v>288553.8699715368</v>
      </c>
      <c r="AE63" s="243">
        <f>IFERROR(_xlfn.XLOOKUP($D63,'Modelling New'!$D:$D,'Modelling New'!$O:$O),"")</f>
        <v>0.83852845216097582</v>
      </c>
      <c r="AF63" s="243">
        <f>IFERROR(_xlfn.XLOOKUP($D63,'Modelling New'!$D:$D,'Modelling New'!$W:$W),"")</f>
        <v>0.13693710609886903</v>
      </c>
      <c r="AG63" s="243">
        <f>IFERROR(_xlfn.XLOOKUP($D63,'Modelling New'!$D:$D,'Modelling New'!$AE:$AE),"")</f>
        <v>0.995</v>
      </c>
      <c r="AH63" s="243">
        <f>IFERROR(_xlfn.XLOOKUP($D63,'Modelling New'!$D:$D,'Modelling New'!$AF:$AF),"")</f>
        <v>0.995</v>
      </c>
      <c r="AI63" s="234"/>
      <c r="AJ63" s="234"/>
      <c r="AK63" s="234"/>
      <c r="AL63" s="234"/>
      <c r="AM63" s="234"/>
      <c r="AN63" s="244"/>
      <c r="AO63" s="241"/>
      <c r="AP63" s="241"/>
      <c r="AQ63" s="241"/>
      <c r="AR63" s="233">
        <f>_xlfn.XLOOKUP($D63,'Modelling New'!$D:$D,'Modelling New'!$N:$N)</f>
        <v>87.8</v>
      </c>
      <c r="AS63" s="233">
        <f t="shared" si="8"/>
        <v>0</v>
      </c>
    </row>
    <row r="64" spans="1:45">
      <c r="A64" s="232">
        <f t="shared" si="9"/>
        <v>45901</v>
      </c>
      <c r="B64" s="233">
        <f>YEAR(Daily_KPI[[#This Row],[Date]])+IF(MONTH(Daily_KPI[[#This Row],[Date]])&gt;=4,1,0)</f>
        <v>2026</v>
      </c>
      <c r="C64" s="234">
        <f>YEAR(Daily_KPI[[#This Row],[Date]])</f>
        <v>2025</v>
      </c>
      <c r="D64" s="235">
        <f>Daily_KPI[[#This Row],[Date]]-DAY(Daily_KPI[[#This Row],[Date]])+1</f>
        <v>45901</v>
      </c>
      <c r="E64" s="234">
        <f t="shared" si="5"/>
        <v>30</v>
      </c>
      <c r="F64" s="236">
        <f>IFERROR(_xlfn.XLOOKUP($A64,Input_Raw!$A:$A,Input_Raw!$BM:$BM),"")</f>
        <v>0</v>
      </c>
      <c r="G64" s="237">
        <f>IFERROR(_xlfn.XLOOKUP($A64,Input_Raw!$A:$A,Input_Raw!$AN:$AN),"")</f>
        <v>0</v>
      </c>
      <c r="H64" s="237"/>
      <c r="I64" s="237">
        <f>IFERROR(_xlfn.XLOOKUP($A64,Input_Raw!$A:$A,Input_Raw!$AM:$AM),"")</f>
        <v>0</v>
      </c>
      <c r="J64" s="237"/>
      <c r="K64" s="237">
        <f>IFERROR(_xlfn.XLOOKUP($A64,Input_Raw!$A:$A,Input_Raw!AO:AO),"")</f>
        <v>0</v>
      </c>
      <c r="L64" s="237">
        <f>IFERROR(_xlfn.XLOOKUP($A64,Input_Raw!$A:$A,Input_Raw!AP:AP),"")</f>
        <v>0</v>
      </c>
      <c r="M64" s="237">
        <f>IFERROR(_xlfn.XLOOKUP($A64,Input_Raw!$A:$A,Input_Raw!AS:AS),"")</f>
        <v>0</v>
      </c>
      <c r="N64" s="237">
        <f>IFERROR(_xlfn.XLOOKUP($A64,Input_Raw!$A:$A,Input_Raw!AT:AT),"")</f>
        <v>0</v>
      </c>
      <c r="O64" s="238" t="str">
        <f>IFERROR(1-(SUMIF(Plant_BD!$B:$B,$A64,Plant_BD!$AL:$AL)/($AA64+SUMIF(Plant_BD!$B:$B,$A64,Plant_BD!$AL:$AL))),"")</f>
        <v/>
      </c>
      <c r="P64" s="238"/>
      <c r="Q64" s="239"/>
      <c r="R64" s="238" t="str">
        <f>IFERROR(1-(SUMIF(Grid_BD!$B:$B,$A64,Grid_BD!$V:$V)/($AA64+SUMIF(Grid_BD!$B:$B,$A64,Grid_BD!$V:$V))),"")</f>
        <v/>
      </c>
      <c r="S64" s="234"/>
      <c r="T64" s="239"/>
      <c r="U64" s="240" t="str">
        <f t="shared" si="6"/>
        <v/>
      </c>
      <c r="V64" s="240" t="str">
        <f>IFERROR(_xlfn.XLOOKUP($A64,Input_Raw!$A:$A,Input_Raw!$BS:$BS),"")</f>
        <v/>
      </c>
      <c r="W64" s="241">
        <f t="shared" si="7"/>
        <v>0</v>
      </c>
      <c r="X64" s="233">
        <f>IFERROR(_xlfn.XLOOKUP($A64,Input_Raw!$A:$A,Input_Raw!$AW:$AW),"")</f>
        <v>0</v>
      </c>
      <c r="Y64" s="233">
        <f>IFERROR(_xlfn.XLOOKUP($A64,Input_Raw!$A:$A,Input_Raw!$BN:$BN),"")</f>
        <v>0</v>
      </c>
      <c r="Z64" s="233"/>
      <c r="AA64" s="233">
        <f>IFERROR(_xlfn.XLOOKUP($A64,Input_Raw!$A:$A,Input_Raw!$BO:$BO),"")</f>
        <v>0</v>
      </c>
      <c r="AB64" s="233">
        <f>IFERROR(_xlfn.XLOOKUP($A64,Input_Raw!$A:$A,Input_Raw!$BP:$BP),"")</f>
        <v>0</v>
      </c>
      <c r="AC64" s="242">
        <f>IFERROR(_xlfn.XLOOKUP($D64,'Modelling New'!$D:$D,'Modelling New'!P:P),"")</f>
        <v>4.7</v>
      </c>
      <c r="AD64" s="233">
        <f>IFERROR(_xlfn.XLOOKUP($D64,'Modelling New'!$D:$D,'Modelling New'!T:T)*1000,"")</f>
        <v>346138.02873548196</v>
      </c>
      <c r="AE64" s="243">
        <f>IFERROR(_xlfn.XLOOKUP($D64,'Modelling New'!$D:$D,'Modelling New'!$O:$O),"")</f>
        <v>0.83879714228537272</v>
      </c>
      <c r="AF64" s="243">
        <f>IFERROR(_xlfn.XLOOKUP($D64,'Modelling New'!$D:$D,'Modelling New'!$W:$W),"")</f>
        <v>0.16426444036421886</v>
      </c>
      <c r="AG64" s="243">
        <f>IFERROR(_xlfn.XLOOKUP($D64,'Modelling New'!$D:$D,'Modelling New'!$AE:$AE),"")</f>
        <v>0.995</v>
      </c>
      <c r="AH64" s="243">
        <f>IFERROR(_xlfn.XLOOKUP($D64,'Modelling New'!$D:$D,'Modelling New'!$AF:$AF),"")</f>
        <v>0.995</v>
      </c>
      <c r="AI64" s="234"/>
      <c r="AJ64" s="234"/>
      <c r="AK64" s="234"/>
      <c r="AL64" s="234"/>
      <c r="AM64" s="234"/>
      <c r="AN64" s="244"/>
      <c r="AO64" s="241"/>
      <c r="AP64" s="241"/>
      <c r="AQ64" s="241"/>
      <c r="AR64" s="233">
        <f>_xlfn.XLOOKUP($D64,'Modelling New'!$D:$D,'Modelling New'!$N:$N)</f>
        <v>87.8</v>
      </c>
      <c r="AS64" s="233">
        <f t="shared" si="8"/>
        <v>0</v>
      </c>
    </row>
    <row r="65" spans="1:45">
      <c r="A65" s="232">
        <f t="shared" si="9"/>
        <v>45902</v>
      </c>
      <c r="B65" s="233">
        <f>YEAR(Daily_KPI[[#This Row],[Date]])+IF(MONTH(Daily_KPI[[#This Row],[Date]])&gt;=4,1,0)</f>
        <v>2026</v>
      </c>
      <c r="C65" s="234">
        <f>YEAR(Daily_KPI[[#This Row],[Date]])</f>
        <v>2025</v>
      </c>
      <c r="D65" s="235">
        <f>Daily_KPI[[#This Row],[Date]]-DAY(Daily_KPI[[#This Row],[Date]])+1</f>
        <v>45901</v>
      </c>
      <c r="E65" s="234">
        <f t="shared" si="5"/>
        <v>30</v>
      </c>
      <c r="F65" s="236">
        <f>IFERROR(_xlfn.XLOOKUP($A65,Input_Raw!$A:$A,Input_Raw!$BM:$BM),"")</f>
        <v>0</v>
      </c>
      <c r="G65" s="237">
        <f>IFERROR(_xlfn.XLOOKUP($A65,Input_Raw!$A:$A,Input_Raw!$AN:$AN),"")</f>
        <v>0</v>
      </c>
      <c r="H65" s="237"/>
      <c r="I65" s="237">
        <f>IFERROR(_xlfn.XLOOKUP($A65,Input_Raw!$A:$A,Input_Raw!$AM:$AM),"")</f>
        <v>0</v>
      </c>
      <c r="J65" s="237"/>
      <c r="K65" s="237">
        <f>IFERROR(_xlfn.XLOOKUP($A65,Input_Raw!$A:$A,Input_Raw!AO:AO),"")</f>
        <v>0</v>
      </c>
      <c r="L65" s="237">
        <f>IFERROR(_xlfn.XLOOKUP($A65,Input_Raw!$A:$A,Input_Raw!AP:AP),"")</f>
        <v>0</v>
      </c>
      <c r="M65" s="237">
        <f>IFERROR(_xlfn.XLOOKUP($A65,Input_Raw!$A:$A,Input_Raw!AS:AS),"")</f>
        <v>0</v>
      </c>
      <c r="N65" s="237">
        <f>IFERROR(_xlfn.XLOOKUP($A65,Input_Raw!$A:$A,Input_Raw!AT:AT),"")</f>
        <v>0</v>
      </c>
      <c r="O65" s="238" t="str">
        <f>IFERROR(1-(SUMIF(Plant_BD!$B:$B,$A65,Plant_BD!$AL:$AL)/($AA65+SUMIF(Plant_BD!$B:$B,$A65,Plant_BD!$AL:$AL))),"")</f>
        <v/>
      </c>
      <c r="P65" s="238"/>
      <c r="Q65" s="239"/>
      <c r="R65" s="238" t="str">
        <f>IFERROR(1-(SUMIF(Grid_BD!$B:$B,$A65,Grid_BD!$V:$V)/($AA65+SUMIF(Grid_BD!$B:$B,$A65,Grid_BD!$V:$V))),"")</f>
        <v/>
      </c>
      <c r="S65" s="234"/>
      <c r="T65" s="239"/>
      <c r="U65" s="240" t="str">
        <f t="shared" si="6"/>
        <v/>
      </c>
      <c r="V65" s="240" t="str">
        <f>IFERROR(_xlfn.XLOOKUP($A65,Input_Raw!$A:$A,Input_Raw!$BS:$BS),"")</f>
        <v/>
      </c>
      <c r="W65" s="241">
        <f t="shared" si="7"/>
        <v>0</v>
      </c>
      <c r="X65" s="233">
        <f>IFERROR(_xlfn.XLOOKUP($A65,Input_Raw!$A:$A,Input_Raw!$AW:$AW),"")</f>
        <v>0</v>
      </c>
      <c r="Y65" s="233">
        <f>IFERROR(_xlfn.XLOOKUP($A65,Input_Raw!$A:$A,Input_Raw!$BN:$BN),"")</f>
        <v>0</v>
      </c>
      <c r="Z65" s="233"/>
      <c r="AA65" s="233">
        <f>IFERROR(_xlfn.XLOOKUP($A65,Input_Raw!$A:$A,Input_Raw!$BO:$BO),"")</f>
        <v>0</v>
      </c>
      <c r="AB65" s="233">
        <f>IFERROR(_xlfn.XLOOKUP($A65,Input_Raw!$A:$A,Input_Raw!$BP:$BP),"")</f>
        <v>0</v>
      </c>
      <c r="AC65" s="242">
        <f>IFERROR(_xlfn.XLOOKUP($D65,'Modelling New'!$D:$D,'Modelling New'!P:P),"")</f>
        <v>4.7</v>
      </c>
      <c r="AD65" s="233">
        <f>IFERROR(_xlfn.XLOOKUP($D65,'Modelling New'!$D:$D,'Modelling New'!T:T)*1000,"")</f>
        <v>346138.02873548196</v>
      </c>
      <c r="AE65" s="243">
        <f>IFERROR(_xlfn.XLOOKUP($D65,'Modelling New'!$D:$D,'Modelling New'!$O:$O),"")</f>
        <v>0.83879714228537272</v>
      </c>
      <c r="AF65" s="243">
        <f>IFERROR(_xlfn.XLOOKUP($D65,'Modelling New'!$D:$D,'Modelling New'!$W:$W),"")</f>
        <v>0.16426444036421886</v>
      </c>
      <c r="AG65" s="243">
        <f>IFERROR(_xlfn.XLOOKUP($D65,'Modelling New'!$D:$D,'Modelling New'!$AE:$AE),"")</f>
        <v>0.995</v>
      </c>
      <c r="AH65" s="243">
        <f>IFERROR(_xlfn.XLOOKUP($D65,'Modelling New'!$D:$D,'Modelling New'!$AF:$AF),"")</f>
        <v>0.995</v>
      </c>
      <c r="AI65" s="234"/>
      <c r="AJ65" s="234"/>
      <c r="AK65" s="234"/>
      <c r="AL65" s="234"/>
      <c r="AM65" s="234"/>
      <c r="AN65" s="244"/>
      <c r="AO65" s="241"/>
      <c r="AP65" s="241"/>
      <c r="AQ65" s="241"/>
      <c r="AR65" s="233">
        <f>_xlfn.XLOOKUP($D65,'Modelling New'!$D:$D,'Modelling New'!$N:$N)</f>
        <v>87.8</v>
      </c>
      <c r="AS65" s="233">
        <f t="shared" si="8"/>
        <v>0</v>
      </c>
    </row>
    <row r="66" spans="1:45">
      <c r="A66" s="232">
        <f t="shared" si="9"/>
        <v>45903</v>
      </c>
      <c r="B66" s="233">
        <f>YEAR(Daily_KPI[[#This Row],[Date]])+IF(MONTH(Daily_KPI[[#This Row],[Date]])&gt;=4,1,0)</f>
        <v>2026</v>
      </c>
      <c r="C66" s="234">
        <f>YEAR(Daily_KPI[[#This Row],[Date]])</f>
        <v>2025</v>
      </c>
      <c r="D66" s="235">
        <f>Daily_KPI[[#This Row],[Date]]-DAY(Daily_KPI[[#This Row],[Date]])+1</f>
        <v>45901</v>
      </c>
      <c r="E66" s="234">
        <f t="shared" si="5"/>
        <v>30</v>
      </c>
      <c r="F66" s="236">
        <f>IFERROR(_xlfn.XLOOKUP($A66,Input_Raw!$A:$A,Input_Raw!$BM:$BM),"")</f>
        <v>0</v>
      </c>
      <c r="G66" s="237">
        <f>IFERROR(_xlfn.XLOOKUP($A66,Input_Raw!$A:$A,Input_Raw!$AN:$AN),"")</f>
        <v>0</v>
      </c>
      <c r="H66" s="237"/>
      <c r="I66" s="237">
        <f>IFERROR(_xlfn.XLOOKUP($A66,Input_Raw!$A:$A,Input_Raw!$AM:$AM),"")</f>
        <v>0</v>
      </c>
      <c r="J66" s="237"/>
      <c r="K66" s="237">
        <f>IFERROR(_xlfn.XLOOKUP($A66,Input_Raw!$A:$A,Input_Raw!AO:AO),"")</f>
        <v>0</v>
      </c>
      <c r="L66" s="237">
        <f>IFERROR(_xlfn.XLOOKUP($A66,Input_Raw!$A:$A,Input_Raw!AP:AP),"")</f>
        <v>0</v>
      </c>
      <c r="M66" s="237">
        <f>IFERROR(_xlfn.XLOOKUP($A66,Input_Raw!$A:$A,Input_Raw!AS:AS),"")</f>
        <v>0</v>
      </c>
      <c r="N66" s="237">
        <f>IFERROR(_xlfn.XLOOKUP($A66,Input_Raw!$A:$A,Input_Raw!AT:AT),"")</f>
        <v>0</v>
      </c>
      <c r="O66" s="238" t="str">
        <f>IFERROR(1-(SUMIF(Plant_BD!$B:$B,$A66,Plant_BD!$AL:$AL)/($AA66+SUMIF(Plant_BD!$B:$B,$A66,Plant_BD!$AL:$AL))),"")</f>
        <v/>
      </c>
      <c r="P66" s="238"/>
      <c r="Q66" s="239"/>
      <c r="R66" s="238" t="str">
        <f>IFERROR(1-(SUMIF(Grid_BD!$B:$B,$A66,Grid_BD!$V:$V)/($AA66+SUMIF(Grid_BD!$B:$B,$A66,Grid_BD!$V:$V))),"")</f>
        <v/>
      </c>
      <c r="S66" s="234"/>
      <c r="T66" s="239"/>
      <c r="U66" s="240" t="str">
        <f t="shared" si="6"/>
        <v/>
      </c>
      <c r="V66" s="240" t="str">
        <f>IFERROR(_xlfn.XLOOKUP($A66,Input_Raw!$A:$A,Input_Raw!$BS:$BS),"")</f>
        <v/>
      </c>
      <c r="W66" s="241">
        <f t="shared" si="7"/>
        <v>0</v>
      </c>
      <c r="X66" s="233">
        <f>IFERROR(_xlfn.XLOOKUP($A66,Input_Raw!$A:$A,Input_Raw!$AW:$AW),"")</f>
        <v>0</v>
      </c>
      <c r="Y66" s="233">
        <f>IFERROR(_xlfn.XLOOKUP($A66,Input_Raw!$A:$A,Input_Raw!$BN:$BN),"")</f>
        <v>0</v>
      </c>
      <c r="Z66" s="233"/>
      <c r="AA66" s="233">
        <f>IFERROR(_xlfn.XLOOKUP($A66,Input_Raw!$A:$A,Input_Raw!$BO:$BO),"")</f>
        <v>0</v>
      </c>
      <c r="AB66" s="233">
        <f>IFERROR(_xlfn.XLOOKUP($A66,Input_Raw!$A:$A,Input_Raw!$BP:$BP),"")</f>
        <v>0</v>
      </c>
      <c r="AC66" s="242">
        <f>IFERROR(_xlfn.XLOOKUP($D66,'Modelling New'!$D:$D,'Modelling New'!P:P),"")</f>
        <v>4.7</v>
      </c>
      <c r="AD66" s="233">
        <f>IFERROR(_xlfn.XLOOKUP($D66,'Modelling New'!$D:$D,'Modelling New'!T:T)*1000,"")</f>
        <v>346138.02873548196</v>
      </c>
      <c r="AE66" s="243">
        <f>IFERROR(_xlfn.XLOOKUP($D66,'Modelling New'!$D:$D,'Modelling New'!$O:$O),"")</f>
        <v>0.83879714228537272</v>
      </c>
      <c r="AF66" s="243">
        <f>IFERROR(_xlfn.XLOOKUP($D66,'Modelling New'!$D:$D,'Modelling New'!$W:$W),"")</f>
        <v>0.16426444036421886</v>
      </c>
      <c r="AG66" s="243">
        <f>IFERROR(_xlfn.XLOOKUP($D66,'Modelling New'!$D:$D,'Modelling New'!$AE:$AE),"")</f>
        <v>0.995</v>
      </c>
      <c r="AH66" s="243">
        <f>IFERROR(_xlfn.XLOOKUP($D66,'Modelling New'!$D:$D,'Modelling New'!$AF:$AF),"")</f>
        <v>0.995</v>
      </c>
      <c r="AI66" s="234"/>
      <c r="AJ66" s="234"/>
      <c r="AK66" s="234"/>
      <c r="AL66" s="234"/>
      <c r="AM66" s="234"/>
      <c r="AN66" s="244"/>
      <c r="AO66" s="241"/>
      <c r="AP66" s="241"/>
      <c r="AQ66" s="241"/>
      <c r="AR66" s="233">
        <f>_xlfn.XLOOKUP($D66,'Modelling New'!$D:$D,'Modelling New'!$N:$N)</f>
        <v>87.8</v>
      </c>
      <c r="AS66" s="233">
        <f t="shared" si="8"/>
        <v>0</v>
      </c>
    </row>
    <row r="67" spans="1:45">
      <c r="A67" s="232">
        <f t="shared" si="9"/>
        <v>45904</v>
      </c>
      <c r="B67" s="233">
        <f>YEAR(Daily_KPI[[#This Row],[Date]])+IF(MONTH(Daily_KPI[[#This Row],[Date]])&gt;=4,1,0)</f>
        <v>2026</v>
      </c>
      <c r="C67" s="234">
        <f>YEAR(Daily_KPI[[#This Row],[Date]])</f>
        <v>2025</v>
      </c>
      <c r="D67" s="235">
        <f>Daily_KPI[[#This Row],[Date]]-DAY(Daily_KPI[[#This Row],[Date]])+1</f>
        <v>45901</v>
      </c>
      <c r="E67" s="234">
        <f t="shared" si="5"/>
        <v>30</v>
      </c>
      <c r="F67" s="236">
        <f>IFERROR(_xlfn.XLOOKUP($A67,Input_Raw!$A:$A,Input_Raw!$BM:$BM),"")</f>
        <v>0</v>
      </c>
      <c r="G67" s="237">
        <f>IFERROR(_xlfn.XLOOKUP($A67,Input_Raw!$A:$A,Input_Raw!$AN:$AN),"")</f>
        <v>0</v>
      </c>
      <c r="H67" s="237"/>
      <c r="I67" s="237">
        <f>IFERROR(_xlfn.XLOOKUP($A67,Input_Raw!$A:$A,Input_Raw!$AM:$AM),"")</f>
        <v>0</v>
      </c>
      <c r="J67" s="237"/>
      <c r="K67" s="237">
        <f>IFERROR(_xlfn.XLOOKUP($A67,Input_Raw!$A:$A,Input_Raw!AO:AO),"")</f>
        <v>0</v>
      </c>
      <c r="L67" s="237">
        <f>IFERROR(_xlfn.XLOOKUP($A67,Input_Raw!$A:$A,Input_Raw!AP:AP),"")</f>
        <v>0</v>
      </c>
      <c r="M67" s="237">
        <f>IFERROR(_xlfn.XLOOKUP($A67,Input_Raw!$A:$A,Input_Raw!AS:AS),"")</f>
        <v>0</v>
      </c>
      <c r="N67" s="237">
        <f>IFERROR(_xlfn.XLOOKUP($A67,Input_Raw!$A:$A,Input_Raw!AT:AT),"")</f>
        <v>0</v>
      </c>
      <c r="O67" s="238" t="str">
        <f>IFERROR(1-(SUMIF(Plant_BD!$B:$B,$A67,Plant_BD!$AL:$AL)/($AA67+SUMIF(Plant_BD!$B:$B,$A67,Plant_BD!$AL:$AL))),"")</f>
        <v/>
      </c>
      <c r="P67" s="238"/>
      <c r="Q67" s="239"/>
      <c r="R67" s="238" t="str">
        <f>IFERROR(1-(SUMIF(Grid_BD!$B:$B,$A67,Grid_BD!$V:$V)/($AA67+SUMIF(Grid_BD!$B:$B,$A67,Grid_BD!$V:$V))),"")</f>
        <v/>
      </c>
      <c r="S67" s="234"/>
      <c r="T67" s="239"/>
      <c r="U67" s="240" t="str">
        <f t="shared" si="6"/>
        <v/>
      </c>
      <c r="V67" s="240" t="str">
        <f>IFERROR(_xlfn.XLOOKUP($A67,Input_Raw!$A:$A,Input_Raw!$BS:$BS),"")</f>
        <v/>
      </c>
      <c r="W67" s="241">
        <f t="shared" si="7"/>
        <v>0</v>
      </c>
      <c r="X67" s="233">
        <f>IFERROR(_xlfn.XLOOKUP($A67,Input_Raw!$A:$A,Input_Raw!$AW:$AW),"")</f>
        <v>0</v>
      </c>
      <c r="Y67" s="233">
        <f>IFERROR(_xlfn.XLOOKUP($A67,Input_Raw!$A:$A,Input_Raw!$BN:$BN),"")</f>
        <v>0</v>
      </c>
      <c r="Z67" s="233"/>
      <c r="AA67" s="233">
        <f>IFERROR(_xlfn.XLOOKUP($A67,Input_Raw!$A:$A,Input_Raw!$BO:$BO),"")</f>
        <v>0</v>
      </c>
      <c r="AB67" s="233">
        <f>IFERROR(_xlfn.XLOOKUP($A67,Input_Raw!$A:$A,Input_Raw!$BP:$BP),"")</f>
        <v>0</v>
      </c>
      <c r="AC67" s="242">
        <f>IFERROR(_xlfn.XLOOKUP($D67,'Modelling New'!$D:$D,'Modelling New'!P:P),"")</f>
        <v>4.7</v>
      </c>
      <c r="AD67" s="233">
        <f>IFERROR(_xlfn.XLOOKUP($D67,'Modelling New'!$D:$D,'Modelling New'!T:T)*1000,"")</f>
        <v>346138.02873548196</v>
      </c>
      <c r="AE67" s="243">
        <f>IFERROR(_xlfn.XLOOKUP($D67,'Modelling New'!$D:$D,'Modelling New'!$O:$O),"")</f>
        <v>0.83879714228537272</v>
      </c>
      <c r="AF67" s="243">
        <f>IFERROR(_xlfn.XLOOKUP($D67,'Modelling New'!$D:$D,'Modelling New'!$W:$W),"")</f>
        <v>0.16426444036421886</v>
      </c>
      <c r="AG67" s="243">
        <f>IFERROR(_xlfn.XLOOKUP($D67,'Modelling New'!$D:$D,'Modelling New'!$AE:$AE),"")</f>
        <v>0.995</v>
      </c>
      <c r="AH67" s="243">
        <f>IFERROR(_xlfn.XLOOKUP($D67,'Modelling New'!$D:$D,'Modelling New'!$AF:$AF),"")</f>
        <v>0.995</v>
      </c>
      <c r="AI67" s="234"/>
      <c r="AJ67" s="234"/>
      <c r="AK67" s="234"/>
      <c r="AL67" s="234"/>
      <c r="AM67" s="234"/>
      <c r="AN67" s="244"/>
      <c r="AO67" s="241"/>
      <c r="AP67" s="241"/>
      <c r="AQ67" s="241"/>
      <c r="AR67" s="233">
        <f>_xlfn.XLOOKUP($D67,'Modelling New'!$D:$D,'Modelling New'!$N:$N)</f>
        <v>87.8</v>
      </c>
      <c r="AS67" s="233">
        <f t="shared" si="8"/>
        <v>0</v>
      </c>
    </row>
    <row r="68" spans="1:45">
      <c r="A68" s="232">
        <f t="shared" si="9"/>
        <v>45905</v>
      </c>
      <c r="B68" s="233">
        <f>YEAR(Daily_KPI[[#This Row],[Date]])+IF(MONTH(Daily_KPI[[#This Row],[Date]])&gt;=4,1,0)</f>
        <v>2026</v>
      </c>
      <c r="C68" s="234">
        <f>YEAR(Daily_KPI[[#This Row],[Date]])</f>
        <v>2025</v>
      </c>
      <c r="D68" s="235">
        <f>Daily_KPI[[#This Row],[Date]]-DAY(Daily_KPI[[#This Row],[Date]])+1</f>
        <v>45901</v>
      </c>
      <c r="E68" s="234">
        <f t="shared" si="5"/>
        <v>30</v>
      </c>
      <c r="F68" s="236">
        <f>IFERROR(_xlfn.XLOOKUP($A68,Input_Raw!$A:$A,Input_Raw!$BM:$BM),"")</f>
        <v>0</v>
      </c>
      <c r="G68" s="237">
        <f>IFERROR(_xlfn.XLOOKUP($A68,Input_Raw!$A:$A,Input_Raw!$AN:$AN),"")</f>
        <v>0</v>
      </c>
      <c r="H68" s="237"/>
      <c r="I68" s="237">
        <f>IFERROR(_xlfn.XLOOKUP($A68,Input_Raw!$A:$A,Input_Raw!$AM:$AM),"")</f>
        <v>0</v>
      </c>
      <c r="J68" s="237"/>
      <c r="K68" s="237">
        <f>IFERROR(_xlfn.XLOOKUP($A68,Input_Raw!$A:$A,Input_Raw!AO:AO),"")</f>
        <v>0</v>
      </c>
      <c r="L68" s="237">
        <f>IFERROR(_xlfn.XLOOKUP($A68,Input_Raw!$A:$A,Input_Raw!AP:AP),"")</f>
        <v>0</v>
      </c>
      <c r="M68" s="237">
        <f>IFERROR(_xlfn.XLOOKUP($A68,Input_Raw!$A:$A,Input_Raw!AS:AS),"")</f>
        <v>0</v>
      </c>
      <c r="N68" s="237">
        <f>IFERROR(_xlfn.XLOOKUP($A68,Input_Raw!$A:$A,Input_Raw!AT:AT),"")</f>
        <v>0</v>
      </c>
      <c r="O68" s="238" t="str">
        <f>IFERROR(1-(SUMIF(Plant_BD!$B:$B,$A68,Plant_BD!$AL:$AL)/($AA68+SUMIF(Plant_BD!$B:$B,$A68,Plant_BD!$AL:$AL))),"")</f>
        <v/>
      </c>
      <c r="P68" s="238"/>
      <c r="Q68" s="239"/>
      <c r="R68" s="238" t="str">
        <f>IFERROR(1-(SUMIF(Grid_BD!$B:$B,$A68,Grid_BD!$V:$V)/($AA68+SUMIF(Grid_BD!$B:$B,$A68,Grid_BD!$V:$V))),"")</f>
        <v/>
      </c>
      <c r="S68" s="234"/>
      <c r="T68" s="239"/>
      <c r="U68" s="240" t="str">
        <f t="shared" si="6"/>
        <v/>
      </c>
      <c r="V68" s="240" t="str">
        <f>IFERROR(_xlfn.XLOOKUP($A68,Input_Raw!$A:$A,Input_Raw!$BS:$BS),"")</f>
        <v/>
      </c>
      <c r="W68" s="241">
        <f t="shared" si="7"/>
        <v>0</v>
      </c>
      <c r="X68" s="233">
        <f>IFERROR(_xlfn.XLOOKUP($A68,Input_Raw!$A:$A,Input_Raw!$AW:$AW),"")</f>
        <v>0</v>
      </c>
      <c r="Y68" s="233">
        <f>IFERROR(_xlfn.XLOOKUP($A68,Input_Raw!$A:$A,Input_Raw!$BN:$BN),"")</f>
        <v>0</v>
      </c>
      <c r="Z68" s="233"/>
      <c r="AA68" s="233">
        <f>IFERROR(_xlfn.XLOOKUP($A68,Input_Raw!$A:$A,Input_Raw!$BO:$BO),"")</f>
        <v>0</v>
      </c>
      <c r="AB68" s="233">
        <f>IFERROR(_xlfn.XLOOKUP($A68,Input_Raw!$A:$A,Input_Raw!$BP:$BP),"")</f>
        <v>0</v>
      </c>
      <c r="AC68" s="242">
        <f>IFERROR(_xlfn.XLOOKUP($D68,'Modelling New'!$D:$D,'Modelling New'!P:P),"")</f>
        <v>4.7</v>
      </c>
      <c r="AD68" s="233">
        <f>IFERROR(_xlfn.XLOOKUP($D68,'Modelling New'!$D:$D,'Modelling New'!T:T)*1000,"")</f>
        <v>346138.02873548196</v>
      </c>
      <c r="AE68" s="243">
        <f>IFERROR(_xlfn.XLOOKUP($D68,'Modelling New'!$D:$D,'Modelling New'!$O:$O),"")</f>
        <v>0.83879714228537272</v>
      </c>
      <c r="AF68" s="243">
        <f>IFERROR(_xlfn.XLOOKUP($D68,'Modelling New'!$D:$D,'Modelling New'!$W:$W),"")</f>
        <v>0.16426444036421886</v>
      </c>
      <c r="AG68" s="243">
        <f>IFERROR(_xlfn.XLOOKUP($D68,'Modelling New'!$D:$D,'Modelling New'!$AE:$AE),"")</f>
        <v>0.995</v>
      </c>
      <c r="AH68" s="243">
        <f>IFERROR(_xlfn.XLOOKUP($D68,'Modelling New'!$D:$D,'Modelling New'!$AF:$AF),"")</f>
        <v>0.995</v>
      </c>
      <c r="AI68" s="234"/>
      <c r="AJ68" s="234"/>
      <c r="AK68" s="234"/>
      <c r="AL68" s="234"/>
      <c r="AM68" s="234"/>
      <c r="AN68" s="244"/>
      <c r="AO68" s="241"/>
      <c r="AP68" s="241"/>
      <c r="AQ68" s="241"/>
      <c r="AR68" s="233">
        <f>_xlfn.XLOOKUP($D68,'Modelling New'!$D:$D,'Modelling New'!$N:$N)</f>
        <v>87.8</v>
      </c>
      <c r="AS68" s="233">
        <f t="shared" si="8"/>
        <v>0</v>
      </c>
    </row>
    <row r="69" spans="1:45">
      <c r="A69" s="232">
        <f t="shared" si="9"/>
        <v>45906</v>
      </c>
      <c r="B69" s="233">
        <f>YEAR(Daily_KPI[[#This Row],[Date]])+IF(MONTH(Daily_KPI[[#This Row],[Date]])&gt;=4,1,0)</f>
        <v>2026</v>
      </c>
      <c r="C69" s="234">
        <f>YEAR(Daily_KPI[[#This Row],[Date]])</f>
        <v>2025</v>
      </c>
      <c r="D69" s="235">
        <f>Daily_KPI[[#This Row],[Date]]-DAY(Daily_KPI[[#This Row],[Date]])+1</f>
        <v>45901</v>
      </c>
      <c r="E69" s="234">
        <f t="shared" si="5"/>
        <v>30</v>
      </c>
      <c r="F69" s="236">
        <f>IFERROR(_xlfn.XLOOKUP($A69,Input_Raw!$A:$A,Input_Raw!$BM:$BM),"")</f>
        <v>0</v>
      </c>
      <c r="G69" s="237">
        <f>IFERROR(_xlfn.XLOOKUP($A69,Input_Raw!$A:$A,Input_Raw!$AN:$AN),"")</f>
        <v>0</v>
      </c>
      <c r="H69" s="237"/>
      <c r="I69" s="237">
        <f>IFERROR(_xlfn.XLOOKUP($A69,Input_Raw!$A:$A,Input_Raw!$AM:$AM),"")</f>
        <v>0</v>
      </c>
      <c r="J69" s="237"/>
      <c r="K69" s="237">
        <f>IFERROR(_xlfn.XLOOKUP($A69,Input_Raw!$A:$A,Input_Raw!AO:AO),"")</f>
        <v>0</v>
      </c>
      <c r="L69" s="237">
        <f>IFERROR(_xlfn.XLOOKUP($A69,Input_Raw!$A:$A,Input_Raw!AP:AP),"")</f>
        <v>0</v>
      </c>
      <c r="M69" s="237">
        <f>IFERROR(_xlfn.XLOOKUP($A69,Input_Raw!$A:$A,Input_Raw!AS:AS),"")</f>
        <v>0</v>
      </c>
      <c r="N69" s="237">
        <f>IFERROR(_xlfn.XLOOKUP($A69,Input_Raw!$A:$A,Input_Raw!AT:AT),"")</f>
        <v>0</v>
      </c>
      <c r="O69" s="238" t="str">
        <f>IFERROR(1-(SUMIF(Plant_BD!$B:$B,$A69,Plant_BD!$AL:$AL)/($AA69+SUMIF(Plant_BD!$B:$B,$A69,Plant_BD!$AL:$AL))),"")</f>
        <v/>
      </c>
      <c r="P69" s="238"/>
      <c r="Q69" s="239"/>
      <c r="R69" s="238" t="str">
        <f>IFERROR(1-(SUMIF(Grid_BD!$B:$B,$A69,Grid_BD!$V:$V)/($AA69+SUMIF(Grid_BD!$B:$B,$A69,Grid_BD!$V:$V))),"")</f>
        <v/>
      </c>
      <c r="S69" s="234"/>
      <c r="T69" s="239"/>
      <c r="U69" s="240" t="str">
        <f t="shared" si="6"/>
        <v/>
      </c>
      <c r="V69" s="240" t="str">
        <f>IFERROR(_xlfn.XLOOKUP($A69,Input_Raw!$A:$A,Input_Raw!$BS:$BS),"")</f>
        <v/>
      </c>
      <c r="W69" s="241">
        <f t="shared" si="7"/>
        <v>0</v>
      </c>
      <c r="X69" s="233">
        <f>IFERROR(_xlfn.XLOOKUP($A69,Input_Raw!$A:$A,Input_Raw!$AW:$AW),"")</f>
        <v>0</v>
      </c>
      <c r="Y69" s="233">
        <f>IFERROR(_xlfn.XLOOKUP($A69,Input_Raw!$A:$A,Input_Raw!$BN:$BN),"")</f>
        <v>0</v>
      </c>
      <c r="Z69" s="233"/>
      <c r="AA69" s="233">
        <f>IFERROR(_xlfn.XLOOKUP($A69,Input_Raw!$A:$A,Input_Raw!$BO:$BO),"")</f>
        <v>0</v>
      </c>
      <c r="AB69" s="233">
        <f>IFERROR(_xlfn.XLOOKUP($A69,Input_Raw!$A:$A,Input_Raw!$BP:$BP),"")</f>
        <v>0</v>
      </c>
      <c r="AC69" s="242">
        <f>IFERROR(_xlfn.XLOOKUP($D69,'Modelling New'!$D:$D,'Modelling New'!P:P),"")</f>
        <v>4.7</v>
      </c>
      <c r="AD69" s="233">
        <f>IFERROR(_xlfn.XLOOKUP($D69,'Modelling New'!$D:$D,'Modelling New'!T:T)*1000,"")</f>
        <v>346138.02873548196</v>
      </c>
      <c r="AE69" s="243">
        <f>IFERROR(_xlfn.XLOOKUP($D69,'Modelling New'!$D:$D,'Modelling New'!$O:$O),"")</f>
        <v>0.83879714228537272</v>
      </c>
      <c r="AF69" s="243">
        <f>IFERROR(_xlfn.XLOOKUP($D69,'Modelling New'!$D:$D,'Modelling New'!$W:$W),"")</f>
        <v>0.16426444036421886</v>
      </c>
      <c r="AG69" s="243">
        <f>IFERROR(_xlfn.XLOOKUP($D69,'Modelling New'!$D:$D,'Modelling New'!$AE:$AE),"")</f>
        <v>0.995</v>
      </c>
      <c r="AH69" s="243">
        <f>IFERROR(_xlfn.XLOOKUP($D69,'Modelling New'!$D:$D,'Modelling New'!$AF:$AF),"")</f>
        <v>0.995</v>
      </c>
      <c r="AI69" s="234"/>
      <c r="AJ69" s="234"/>
      <c r="AK69" s="234"/>
      <c r="AL69" s="234"/>
      <c r="AM69" s="234"/>
      <c r="AN69" s="244"/>
      <c r="AO69" s="241"/>
      <c r="AP69" s="241"/>
      <c r="AQ69" s="241"/>
      <c r="AR69" s="233">
        <f>_xlfn.XLOOKUP($D69,'Modelling New'!$D:$D,'Modelling New'!$N:$N)</f>
        <v>87.8</v>
      </c>
      <c r="AS69" s="233">
        <f t="shared" si="8"/>
        <v>0</v>
      </c>
    </row>
    <row r="70" spans="1:45">
      <c r="A70" s="232">
        <f t="shared" si="9"/>
        <v>45907</v>
      </c>
      <c r="B70" s="233">
        <f>YEAR(Daily_KPI[[#This Row],[Date]])+IF(MONTH(Daily_KPI[[#This Row],[Date]])&gt;=4,1,0)</f>
        <v>2026</v>
      </c>
      <c r="C70" s="234">
        <f>YEAR(Daily_KPI[[#This Row],[Date]])</f>
        <v>2025</v>
      </c>
      <c r="D70" s="235">
        <f>Daily_KPI[[#This Row],[Date]]-DAY(Daily_KPI[[#This Row],[Date]])+1</f>
        <v>45901</v>
      </c>
      <c r="E70" s="234">
        <f t="shared" si="5"/>
        <v>30</v>
      </c>
      <c r="F70" s="236">
        <f>IFERROR(_xlfn.XLOOKUP($A70,Input_Raw!$A:$A,Input_Raw!$BM:$BM),"")</f>
        <v>0</v>
      </c>
      <c r="G70" s="237">
        <f>IFERROR(_xlfn.XLOOKUP($A70,Input_Raw!$A:$A,Input_Raw!$AN:$AN),"")</f>
        <v>0</v>
      </c>
      <c r="H70" s="237"/>
      <c r="I70" s="237">
        <f>IFERROR(_xlfn.XLOOKUP($A70,Input_Raw!$A:$A,Input_Raw!$AM:$AM),"")</f>
        <v>0</v>
      </c>
      <c r="J70" s="237"/>
      <c r="K70" s="237">
        <f>IFERROR(_xlfn.XLOOKUP($A70,Input_Raw!$A:$A,Input_Raw!AO:AO),"")</f>
        <v>0</v>
      </c>
      <c r="L70" s="237">
        <f>IFERROR(_xlfn.XLOOKUP($A70,Input_Raw!$A:$A,Input_Raw!AP:AP),"")</f>
        <v>0</v>
      </c>
      <c r="M70" s="237">
        <f>IFERROR(_xlfn.XLOOKUP($A70,Input_Raw!$A:$A,Input_Raw!AS:AS),"")</f>
        <v>0</v>
      </c>
      <c r="N70" s="237">
        <f>IFERROR(_xlfn.XLOOKUP($A70,Input_Raw!$A:$A,Input_Raw!AT:AT),"")</f>
        <v>0</v>
      </c>
      <c r="O70" s="238" t="str">
        <f>IFERROR(1-(SUMIF(Plant_BD!$B:$B,$A70,Plant_BD!$AL:$AL)/($AA70+SUMIF(Plant_BD!$B:$B,$A70,Plant_BD!$AL:$AL))),"")</f>
        <v/>
      </c>
      <c r="P70" s="238"/>
      <c r="Q70" s="239"/>
      <c r="R70" s="238" t="str">
        <f>IFERROR(1-(SUMIF(Grid_BD!$B:$B,$A70,Grid_BD!$V:$V)/($AA70+SUMIF(Grid_BD!$B:$B,$A70,Grid_BD!$V:$V))),"")</f>
        <v/>
      </c>
      <c r="S70" s="234"/>
      <c r="T70" s="239"/>
      <c r="U70" s="240" t="str">
        <f t="shared" si="6"/>
        <v/>
      </c>
      <c r="V70" s="240" t="str">
        <f>IFERROR(_xlfn.XLOOKUP($A70,Input_Raw!$A:$A,Input_Raw!$BS:$BS),"")</f>
        <v/>
      </c>
      <c r="W70" s="241">
        <f t="shared" si="7"/>
        <v>0</v>
      </c>
      <c r="X70" s="233">
        <f>IFERROR(_xlfn.XLOOKUP($A70,Input_Raw!$A:$A,Input_Raw!$AW:$AW),"")</f>
        <v>0</v>
      </c>
      <c r="Y70" s="233">
        <f>IFERROR(_xlfn.XLOOKUP($A70,Input_Raw!$A:$A,Input_Raw!$BN:$BN),"")</f>
        <v>0</v>
      </c>
      <c r="Z70" s="233"/>
      <c r="AA70" s="233">
        <f>IFERROR(_xlfn.XLOOKUP($A70,Input_Raw!$A:$A,Input_Raw!$BO:$BO),"")</f>
        <v>0</v>
      </c>
      <c r="AB70" s="233">
        <f>IFERROR(_xlfn.XLOOKUP($A70,Input_Raw!$A:$A,Input_Raw!$BP:$BP),"")</f>
        <v>0</v>
      </c>
      <c r="AC70" s="242">
        <f>IFERROR(_xlfn.XLOOKUP($D70,'Modelling New'!$D:$D,'Modelling New'!P:P),"")</f>
        <v>4.7</v>
      </c>
      <c r="AD70" s="233">
        <f>IFERROR(_xlfn.XLOOKUP($D70,'Modelling New'!$D:$D,'Modelling New'!T:T)*1000,"")</f>
        <v>346138.02873548196</v>
      </c>
      <c r="AE70" s="243">
        <f>IFERROR(_xlfn.XLOOKUP($D70,'Modelling New'!$D:$D,'Modelling New'!$O:$O),"")</f>
        <v>0.83879714228537272</v>
      </c>
      <c r="AF70" s="243">
        <f>IFERROR(_xlfn.XLOOKUP($D70,'Modelling New'!$D:$D,'Modelling New'!$W:$W),"")</f>
        <v>0.16426444036421886</v>
      </c>
      <c r="AG70" s="243">
        <f>IFERROR(_xlfn.XLOOKUP($D70,'Modelling New'!$D:$D,'Modelling New'!$AE:$AE),"")</f>
        <v>0.995</v>
      </c>
      <c r="AH70" s="243">
        <f>IFERROR(_xlfn.XLOOKUP($D70,'Modelling New'!$D:$D,'Modelling New'!$AF:$AF),"")</f>
        <v>0.995</v>
      </c>
      <c r="AI70" s="234"/>
      <c r="AJ70" s="234"/>
      <c r="AK70" s="234"/>
      <c r="AL70" s="234"/>
      <c r="AM70" s="234"/>
      <c r="AN70" s="244"/>
      <c r="AO70" s="241"/>
      <c r="AP70" s="241"/>
      <c r="AQ70" s="241"/>
      <c r="AR70" s="233">
        <f>_xlfn.XLOOKUP($D70,'Modelling New'!$D:$D,'Modelling New'!$N:$N)</f>
        <v>87.8</v>
      </c>
      <c r="AS70" s="233">
        <f t="shared" si="8"/>
        <v>0</v>
      </c>
    </row>
    <row r="71" spans="1:45">
      <c r="A71" s="232">
        <f t="shared" si="9"/>
        <v>45908</v>
      </c>
      <c r="B71" s="233">
        <f>YEAR(Daily_KPI[[#This Row],[Date]])+IF(MONTH(Daily_KPI[[#This Row],[Date]])&gt;=4,1,0)</f>
        <v>2026</v>
      </c>
      <c r="C71" s="234">
        <f>YEAR(Daily_KPI[[#This Row],[Date]])</f>
        <v>2025</v>
      </c>
      <c r="D71" s="235">
        <f>Daily_KPI[[#This Row],[Date]]-DAY(Daily_KPI[[#This Row],[Date]])+1</f>
        <v>45901</v>
      </c>
      <c r="E71" s="234">
        <f t="shared" si="5"/>
        <v>30</v>
      </c>
      <c r="F71" s="236">
        <f>IFERROR(_xlfn.XLOOKUP($A71,Input_Raw!$A:$A,Input_Raw!$BM:$BM),"")</f>
        <v>0</v>
      </c>
      <c r="G71" s="237">
        <f>IFERROR(_xlfn.XLOOKUP($A71,Input_Raw!$A:$A,Input_Raw!$AN:$AN),"")</f>
        <v>0</v>
      </c>
      <c r="H71" s="237"/>
      <c r="I71" s="237">
        <f>IFERROR(_xlfn.XLOOKUP($A71,Input_Raw!$A:$A,Input_Raw!$AM:$AM),"")</f>
        <v>0</v>
      </c>
      <c r="J71" s="237"/>
      <c r="K71" s="237">
        <f>IFERROR(_xlfn.XLOOKUP($A71,Input_Raw!$A:$A,Input_Raw!AO:AO),"")</f>
        <v>0</v>
      </c>
      <c r="L71" s="237">
        <f>IFERROR(_xlfn.XLOOKUP($A71,Input_Raw!$A:$A,Input_Raw!AP:AP),"")</f>
        <v>0</v>
      </c>
      <c r="M71" s="237">
        <f>IFERROR(_xlfn.XLOOKUP($A71,Input_Raw!$A:$A,Input_Raw!AS:AS),"")</f>
        <v>0</v>
      </c>
      <c r="N71" s="237">
        <f>IFERROR(_xlfn.XLOOKUP($A71,Input_Raw!$A:$A,Input_Raw!AT:AT),"")</f>
        <v>0</v>
      </c>
      <c r="O71" s="238" t="str">
        <f>IFERROR(1-(SUMIF(Plant_BD!$B:$B,$A71,Plant_BD!$AL:$AL)/($AA71+SUMIF(Plant_BD!$B:$B,$A71,Plant_BD!$AL:$AL))),"")</f>
        <v/>
      </c>
      <c r="P71" s="238"/>
      <c r="Q71" s="239"/>
      <c r="R71" s="238" t="str">
        <f>IFERROR(1-(SUMIF(Grid_BD!$B:$B,$A71,Grid_BD!$V:$V)/($AA71+SUMIF(Grid_BD!$B:$B,$A71,Grid_BD!$V:$V))),"")</f>
        <v/>
      </c>
      <c r="S71" s="234"/>
      <c r="T71" s="239"/>
      <c r="U71" s="240" t="str">
        <f t="shared" si="6"/>
        <v/>
      </c>
      <c r="V71" s="240" t="str">
        <f>IFERROR(_xlfn.XLOOKUP($A71,Input_Raw!$A:$A,Input_Raw!$BS:$BS),"")</f>
        <v/>
      </c>
      <c r="W71" s="241">
        <f t="shared" si="7"/>
        <v>0</v>
      </c>
      <c r="X71" s="233">
        <f>IFERROR(_xlfn.XLOOKUP($A71,Input_Raw!$A:$A,Input_Raw!$AW:$AW),"")</f>
        <v>0</v>
      </c>
      <c r="Y71" s="233">
        <f>IFERROR(_xlfn.XLOOKUP($A71,Input_Raw!$A:$A,Input_Raw!$BN:$BN),"")</f>
        <v>0</v>
      </c>
      <c r="Z71" s="233"/>
      <c r="AA71" s="233">
        <f>IFERROR(_xlfn.XLOOKUP($A71,Input_Raw!$A:$A,Input_Raw!$BO:$BO),"")</f>
        <v>0</v>
      </c>
      <c r="AB71" s="233">
        <f>IFERROR(_xlfn.XLOOKUP($A71,Input_Raw!$A:$A,Input_Raw!$BP:$BP),"")</f>
        <v>0</v>
      </c>
      <c r="AC71" s="242">
        <f>IFERROR(_xlfn.XLOOKUP($D71,'Modelling New'!$D:$D,'Modelling New'!P:P),"")</f>
        <v>4.7</v>
      </c>
      <c r="AD71" s="233">
        <f>IFERROR(_xlfn.XLOOKUP($D71,'Modelling New'!$D:$D,'Modelling New'!T:T)*1000,"")</f>
        <v>346138.02873548196</v>
      </c>
      <c r="AE71" s="243">
        <f>IFERROR(_xlfn.XLOOKUP($D71,'Modelling New'!$D:$D,'Modelling New'!$O:$O),"")</f>
        <v>0.83879714228537272</v>
      </c>
      <c r="AF71" s="243">
        <f>IFERROR(_xlfn.XLOOKUP($D71,'Modelling New'!$D:$D,'Modelling New'!$W:$W),"")</f>
        <v>0.16426444036421886</v>
      </c>
      <c r="AG71" s="243">
        <f>IFERROR(_xlfn.XLOOKUP($D71,'Modelling New'!$D:$D,'Modelling New'!$AE:$AE),"")</f>
        <v>0.995</v>
      </c>
      <c r="AH71" s="243">
        <f>IFERROR(_xlfn.XLOOKUP($D71,'Modelling New'!$D:$D,'Modelling New'!$AF:$AF),"")</f>
        <v>0.995</v>
      </c>
      <c r="AI71" s="234"/>
      <c r="AJ71" s="234"/>
      <c r="AK71" s="234"/>
      <c r="AL71" s="234"/>
      <c r="AM71" s="234"/>
      <c r="AN71" s="244"/>
      <c r="AO71" s="241"/>
      <c r="AP71" s="241"/>
      <c r="AQ71" s="241"/>
      <c r="AR71" s="233">
        <f>_xlfn.XLOOKUP($D71,'Modelling New'!$D:$D,'Modelling New'!$N:$N)</f>
        <v>87.8</v>
      </c>
      <c r="AS71" s="233">
        <f t="shared" si="8"/>
        <v>0</v>
      </c>
    </row>
    <row r="72" spans="1:45">
      <c r="A72" s="232">
        <f t="shared" si="9"/>
        <v>45909</v>
      </c>
      <c r="B72" s="233">
        <f>YEAR(Daily_KPI[[#This Row],[Date]])+IF(MONTH(Daily_KPI[[#This Row],[Date]])&gt;=4,1,0)</f>
        <v>2026</v>
      </c>
      <c r="C72" s="234">
        <f>YEAR(Daily_KPI[[#This Row],[Date]])</f>
        <v>2025</v>
      </c>
      <c r="D72" s="235">
        <f>Daily_KPI[[#This Row],[Date]]-DAY(Daily_KPI[[#This Row],[Date]])+1</f>
        <v>45901</v>
      </c>
      <c r="E72" s="234">
        <f t="shared" si="5"/>
        <v>30</v>
      </c>
      <c r="F72" s="236">
        <f>IFERROR(_xlfn.XLOOKUP($A72,Input_Raw!$A:$A,Input_Raw!$BM:$BM),"")</f>
        <v>0</v>
      </c>
      <c r="G72" s="237">
        <f>IFERROR(_xlfn.XLOOKUP($A72,Input_Raw!$A:$A,Input_Raw!$AN:$AN),"")</f>
        <v>0</v>
      </c>
      <c r="H72" s="237"/>
      <c r="I72" s="237">
        <f>IFERROR(_xlfn.XLOOKUP($A72,Input_Raw!$A:$A,Input_Raw!$AM:$AM),"")</f>
        <v>0</v>
      </c>
      <c r="J72" s="237"/>
      <c r="K72" s="237">
        <f>IFERROR(_xlfn.XLOOKUP($A72,Input_Raw!$A:$A,Input_Raw!AO:AO),"")</f>
        <v>0</v>
      </c>
      <c r="L72" s="237">
        <f>IFERROR(_xlfn.XLOOKUP($A72,Input_Raw!$A:$A,Input_Raw!AP:AP),"")</f>
        <v>0</v>
      </c>
      <c r="M72" s="237">
        <f>IFERROR(_xlfn.XLOOKUP($A72,Input_Raw!$A:$A,Input_Raw!AS:AS),"")</f>
        <v>0</v>
      </c>
      <c r="N72" s="237">
        <f>IFERROR(_xlfn.XLOOKUP($A72,Input_Raw!$A:$A,Input_Raw!AT:AT),"")</f>
        <v>0</v>
      </c>
      <c r="O72" s="238" t="str">
        <f>IFERROR(1-(SUMIF(Plant_BD!$B:$B,$A72,Plant_BD!$AL:$AL)/($AA72+SUMIF(Plant_BD!$B:$B,$A72,Plant_BD!$AL:$AL))),"")</f>
        <v/>
      </c>
      <c r="P72" s="238"/>
      <c r="Q72" s="239"/>
      <c r="R72" s="238" t="str">
        <f>IFERROR(1-(SUMIF(Grid_BD!$B:$B,$A72,Grid_BD!$V:$V)/($AA72+SUMIF(Grid_BD!$B:$B,$A72,Grid_BD!$V:$V))),"")</f>
        <v/>
      </c>
      <c r="S72" s="234"/>
      <c r="T72" s="239"/>
      <c r="U72" s="240" t="str">
        <f t="shared" si="6"/>
        <v/>
      </c>
      <c r="V72" s="240" t="str">
        <f>IFERROR(_xlfn.XLOOKUP($A72,Input_Raw!$A:$A,Input_Raw!$BS:$BS),"")</f>
        <v/>
      </c>
      <c r="W72" s="241">
        <f t="shared" si="7"/>
        <v>0</v>
      </c>
      <c r="X72" s="233">
        <f>IFERROR(_xlfn.XLOOKUP($A72,Input_Raw!$A:$A,Input_Raw!$AW:$AW),"")</f>
        <v>0</v>
      </c>
      <c r="Y72" s="233">
        <f>IFERROR(_xlfn.XLOOKUP($A72,Input_Raw!$A:$A,Input_Raw!$BN:$BN),"")</f>
        <v>0</v>
      </c>
      <c r="Z72" s="233"/>
      <c r="AA72" s="233">
        <f>IFERROR(_xlfn.XLOOKUP($A72,Input_Raw!$A:$A,Input_Raw!$BO:$BO),"")</f>
        <v>0</v>
      </c>
      <c r="AB72" s="233">
        <f>IFERROR(_xlfn.XLOOKUP($A72,Input_Raw!$A:$A,Input_Raw!$BP:$BP),"")</f>
        <v>0</v>
      </c>
      <c r="AC72" s="242">
        <f>IFERROR(_xlfn.XLOOKUP($D72,'Modelling New'!$D:$D,'Modelling New'!P:P),"")</f>
        <v>4.7</v>
      </c>
      <c r="AD72" s="233">
        <f>IFERROR(_xlfn.XLOOKUP($D72,'Modelling New'!$D:$D,'Modelling New'!T:T)*1000,"")</f>
        <v>346138.02873548196</v>
      </c>
      <c r="AE72" s="243">
        <f>IFERROR(_xlfn.XLOOKUP($D72,'Modelling New'!$D:$D,'Modelling New'!$O:$O),"")</f>
        <v>0.83879714228537272</v>
      </c>
      <c r="AF72" s="243">
        <f>IFERROR(_xlfn.XLOOKUP($D72,'Modelling New'!$D:$D,'Modelling New'!$W:$W),"")</f>
        <v>0.16426444036421886</v>
      </c>
      <c r="AG72" s="243">
        <f>IFERROR(_xlfn.XLOOKUP($D72,'Modelling New'!$D:$D,'Modelling New'!$AE:$AE),"")</f>
        <v>0.995</v>
      </c>
      <c r="AH72" s="243">
        <f>IFERROR(_xlfn.XLOOKUP($D72,'Modelling New'!$D:$D,'Modelling New'!$AF:$AF),"")</f>
        <v>0.995</v>
      </c>
      <c r="AI72" s="234"/>
      <c r="AJ72" s="234"/>
      <c r="AK72" s="234"/>
      <c r="AL72" s="234"/>
      <c r="AM72" s="234"/>
      <c r="AN72" s="244"/>
      <c r="AO72" s="241"/>
      <c r="AP72" s="241"/>
      <c r="AQ72" s="241"/>
      <c r="AR72" s="233">
        <f>_xlfn.XLOOKUP($D72,'Modelling New'!$D:$D,'Modelling New'!$N:$N)</f>
        <v>87.8</v>
      </c>
      <c r="AS72" s="233">
        <f t="shared" si="8"/>
        <v>0</v>
      </c>
    </row>
    <row r="73" spans="1:45">
      <c r="A73" s="232">
        <f t="shared" si="9"/>
        <v>45910</v>
      </c>
      <c r="B73" s="233">
        <f>YEAR(Daily_KPI[[#This Row],[Date]])+IF(MONTH(Daily_KPI[[#This Row],[Date]])&gt;=4,1,0)</f>
        <v>2026</v>
      </c>
      <c r="C73" s="234">
        <f>YEAR(Daily_KPI[[#This Row],[Date]])</f>
        <v>2025</v>
      </c>
      <c r="D73" s="235">
        <f>Daily_KPI[[#This Row],[Date]]-DAY(Daily_KPI[[#This Row],[Date]])+1</f>
        <v>45901</v>
      </c>
      <c r="E73" s="234">
        <f t="shared" si="5"/>
        <v>30</v>
      </c>
      <c r="F73" s="236">
        <f>IFERROR(_xlfn.XLOOKUP($A73,Input_Raw!$A:$A,Input_Raw!$BM:$BM),"")</f>
        <v>0</v>
      </c>
      <c r="G73" s="237">
        <f>IFERROR(_xlfn.XLOOKUP($A73,Input_Raw!$A:$A,Input_Raw!$AN:$AN),"")</f>
        <v>0</v>
      </c>
      <c r="H73" s="237"/>
      <c r="I73" s="237">
        <f>IFERROR(_xlfn.XLOOKUP($A73,Input_Raw!$A:$A,Input_Raw!$AM:$AM),"")</f>
        <v>0</v>
      </c>
      <c r="J73" s="237"/>
      <c r="K73" s="237">
        <f>IFERROR(_xlfn.XLOOKUP($A73,Input_Raw!$A:$A,Input_Raw!AO:AO),"")</f>
        <v>0</v>
      </c>
      <c r="L73" s="237">
        <f>IFERROR(_xlfn.XLOOKUP($A73,Input_Raw!$A:$A,Input_Raw!AP:AP),"")</f>
        <v>0</v>
      </c>
      <c r="M73" s="237">
        <f>IFERROR(_xlfn.XLOOKUP($A73,Input_Raw!$A:$A,Input_Raw!AS:AS),"")</f>
        <v>0</v>
      </c>
      <c r="N73" s="237">
        <f>IFERROR(_xlfn.XLOOKUP($A73,Input_Raw!$A:$A,Input_Raw!AT:AT),"")</f>
        <v>0</v>
      </c>
      <c r="O73" s="238" t="str">
        <f>IFERROR(1-(SUMIF(Plant_BD!$B:$B,$A73,Plant_BD!$AL:$AL)/($AA73+SUMIF(Plant_BD!$B:$B,$A73,Plant_BD!$AL:$AL))),"")</f>
        <v/>
      </c>
      <c r="P73" s="238"/>
      <c r="Q73" s="239"/>
      <c r="R73" s="238" t="str">
        <f>IFERROR(1-(SUMIF(Grid_BD!$B:$B,$A73,Grid_BD!$V:$V)/($AA73+SUMIF(Grid_BD!$B:$B,$A73,Grid_BD!$V:$V))),"")</f>
        <v/>
      </c>
      <c r="S73" s="234"/>
      <c r="T73" s="239"/>
      <c r="U73" s="240" t="str">
        <f t="shared" si="6"/>
        <v/>
      </c>
      <c r="V73" s="240" t="str">
        <f>IFERROR(_xlfn.XLOOKUP($A73,Input_Raw!$A:$A,Input_Raw!$BS:$BS),"")</f>
        <v/>
      </c>
      <c r="W73" s="241">
        <f t="shared" si="7"/>
        <v>0</v>
      </c>
      <c r="X73" s="233">
        <f>IFERROR(_xlfn.XLOOKUP($A73,Input_Raw!$A:$A,Input_Raw!$AW:$AW),"")</f>
        <v>0</v>
      </c>
      <c r="Y73" s="233">
        <f>IFERROR(_xlfn.XLOOKUP($A73,Input_Raw!$A:$A,Input_Raw!$BN:$BN),"")</f>
        <v>0</v>
      </c>
      <c r="Z73" s="233"/>
      <c r="AA73" s="233">
        <f>IFERROR(_xlfn.XLOOKUP($A73,Input_Raw!$A:$A,Input_Raw!$BO:$BO),"")</f>
        <v>0</v>
      </c>
      <c r="AB73" s="233">
        <f>IFERROR(_xlfn.XLOOKUP($A73,Input_Raw!$A:$A,Input_Raw!$BP:$BP),"")</f>
        <v>0</v>
      </c>
      <c r="AC73" s="242">
        <f>IFERROR(_xlfn.XLOOKUP($D73,'Modelling New'!$D:$D,'Modelling New'!P:P),"")</f>
        <v>4.7</v>
      </c>
      <c r="AD73" s="233">
        <f>IFERROR(_xlfn.XLOOKUP($D73,'Modelling New'!$D:$D,'Modelling New'!T:T)*1000,"")</f>
        <v>346138.02873548196</v>
      </c>
      <c r="AE73" s="243">
        <f>IFERROR(_xlfn.XLOOKUP($D73,'Modelling New'!$D:$D,'Modelling New'!$O:$O),"")</f>
        <v>0.83879714228537272</v>
      </c>
      <c r="AF73" s="243">
        <f>IFERROR(_xlfn.XLOOKUP($D73,'Modelling New'!$D:$D,'Modelling New'!$W:$W),"")</f>
        <v>0.16426444036421886</v>
      </c>
      <c r="AG73" s="243">
        <f>IFERROR(_xlfn.XLOOKUP($D73,'Modelling New'!$D:$D,'Modelling New'!$AE:$AE),"")</f>
        <v>0.995</v>
      </c>
      <c r="AH73" s="243">
        <f>IFERROR(_xlfn.XLOOKUP($D73,'Modelling New'!$D:$D,'Modelling New'!$AF:$AF),"")</f>
        <v>0.995</v>
      </c>
      <c r="AI73" s="234"/>
      <c r="AJ73" s="234"/>
      <c r="AK73" s="234"/>
      <c r="AL73" s="234"/>
      <c r="AM73" s="234"/>
      <c r="AN73" s="244"/>
      <c r="AO73" s="241"/>
      <c r="AP73" s="241"/>
      <c r="AQ73" s="241"/>
      <c r="AR73" s="233">
        <f>_xlfn.XLOOKUP($D73,'Modelling New'!$D:$D,'Modelling New'!$N:$N)</f>
        <v>87.8</v>
      </c>
      <c r="AS73" s="233">
        <f t="shared" si="8"/>
        <v>0</v>
      </c>
    </row>
    <row r="74" spans="1:45">
      <c r="A74" s="232">
        <f t="shared" si="9"/>
        <v>45911</v>
      </c>
      <c r="B74" s="233">
        <f>YEAR(Daily_KPI[[#This Row],[Date]])+IF(MONTH(Daily_KPI[[#This Row],[Date]])&gt;=4,1,0)</f>
        <v>2026</v>
      </c>
      <c r="C74" s="234">
        <f>YEAR(Daily_KPI[[#This Row],[Date]])</f>
        <v>2025</v>
      </c>
      <c r="D74" s="235">
        <f>Daily_KPI[[#This Row],[Date]]-DAY(Daily_KPI[[#This Row],[Date]])+1</f>
        <v>45901</v>
      </c>
      <c r="E74" s="234">
        <f t="shared" ref="E74:E137" si="10">DAY(EOMONTH(A74,0))</f>
        <v>30</v>
      </c>
      <c r="F74" s="236">
        <f>IFERROR(_xlfn.XLOOKUP($A74,Input_Raw!$A:$A,Input_Raw!$BM:$BM),"")</f>
        <v>0</v>
      </c>
      <c r="G74" s="237">
        <f>IFERROR(_xlfn.XLOOKUP($A74,Input_Raw!$A:$A,Input_Raw!$AN:$AN),"")</f>
        <v>0</v>
      </c>
      <c r="H74" s="237"/>
      <c r="I74" s="237">
        <f>IFERROR(_xlfn.XLOOKUP($A74,Input_Raw!$A:$A,Input_Raw!$AM:$AM),"")</f>
        <v>0</v>
      </c>
      <c r="J74" s="237"/>
      <c r="K74" s="237">
        <f>IFERROR(_xlfn.XLOOKUP($A74,Input_Raw!$A:$A,Input_Raw!AO:AO),"")</f>
        <v>0</v>
      </c>
      <c r="L74" s="237">
        <f>IFERROR(_xlfn.XLOOKUP($A74,Input_Raw!$A:$A,Input_Raw!AP:AP),"")</f>
        <v>0</v>
      </c>
      <c r="M74" s="237">
        <f>IFERROR(_xlfn.XLOOKUP($A74,Input_Raw!$A:$A,Input_Raw!AS:AS),"")</f>
        <v>0</v>
      </c>
      <c r="N74" s="237">
        <f>IFERROR(_xlfn.XLOOKUP($A74,Input_Raw!$A:$A,Input_Raw!AT:AT),"")</f>
        <v>0</v>
      </c>
      <c r="O74" s="238" t="str">
        <f>IFERROR(1-(SUMIF(Plant_BD!$B:$B,$A74,Plant_BD!$AL:$AL)/($AA74+SUMIF(Plant_BD!$B:$B,$A74,Plant_BD!$AL:$AL))),"")</f>
        <v/>
      </c>
      <c r="P74" s="238"/>
      <c r="Q74" s="239"/>
      <c r="R74" s="238" t="str">
        <f>IFERROR(1-(SUMIF(Grid_BD!$B:$B,$A74,Grid_BD!$V:$V)/($AA74+SUMIF(Grid_BD!$B:$B,$A74,Grid_BD!$V:$V))),"")</f>
        <v/>
      </c>
      <c r="S74" s="234"/>
      <c r="T74" s="239"/>
      <c r="U74" s="240" t="str">
        <f t="shared" ref="U74:U137" si="11">IFERROR(AA74/I74/AB74/1000,"")</f>
        <v/>
      </c>
      <c r="V74" s="240" t="str">
        <f>IFERROR(_xlfn.XLOOKUP($A74,Input_Raw!$A:$A,Input_Raw!$BS:$BS),"")</f>
        <v/>
      </c>
      <c r="W74" s="241">
        <f t="shared" ref="W74:W137" si="12">IFERROR(AA74/(24*AR74*1000),"")</f>
        <v>0</v>
      </c>
      <c r="X74" s="233">
        <f>IFERROR(_xlfn.XLOOKUP($A74,Input_Raw!$A:$A,Input_Raw!$AW:$AW),"")</f>
        <v>0</v>
      </c>
      <c r="Y74" s="233">
        <f>IFERROR(_xlfn.XLOOKUP($A74,Input_Raw!$A:$A,Input_Raw!$BN:$BN),"")</f>
        <v>0</v>
      </c>
      <c r="Z74" s="233"/>
      <c r="AA74" s="233">
        <f>IFERROR(_xlfn.XLOOKUP($A74,Input_Raw!$A:$A,Input_Raw!$BO:$BO),"")</f>
        <v>0</v>
      </c>
      <c r="AB74" s="233">
        <f>IFERROR(_xlfn.XLOOKUP($A74,Input_Raw!$A:$A,Input_Raw!$BP:$BP),"")</f>
        <v>0</v>
      </c>
      <c r="AC74" s="242">
        <f>IFERROR(_xlfn.XLOOKUP($D74,'Modelling New'!$D:$D,'Modelling New'!P:P),"")</f>
        <v>4.7</v>
      </c>
      <c r="AD74" s="233">
        <f>IFERROR(_xlfn.XLOOKUP($D74,'Modelling New'!$D:$D,'Modelling New'!T:T)*1000,"")</f>
        <v>346138.02873548196</v>
      </c>
      <c r="AE74" s="243">
        <f>IFERROR(_xlfn.XLOOKUP($D74,'Modelling New'!$D:$D,'Modelling New'!$O:$O),"")</f>
        <v>0.83879714228537272</v>
      </c>
      <c r="AF74" s="243">
        <f>IFERROR(_xlfn.XLOOKUP($D74,'Modelling New'!$D:$D,'Modelling New'!$W:$W),"")</f>
        <v>0.16426444036421886</v>
      </c>
      <c r="AG74" s="243">
        <f>IFERROR(_xlfn.XLOOKUP($D74,'Modelling New'!$D:$D,'Modelling New'!$AE:$AE),"")</f>
        <v>0.995</v>
      </c>
      <c r="AH74" s="243">
        <f>IFERROR(_xlfn.XLOOKUP($D74,'Modelling New'!$D:$D,'Modelling New'!$AF:$AF),"")</f>
        <v>0.995</v>
      </c>
      <c r="AI74" s="234"/>
      <c r="AJ74" s="234"/>
      <c r="AK74" s="234"/>
      <c r="AL74" s="234"/>
      <c r="AM74" s="234"/>
      <c r="AN74" s="244"/>
      <c r="AO74" s="241"/>
      <c r="AP74" s="241"/>
      <c r="AQ74" s="241"/>
      <c r="AR74" s="233">
        <f>_xlfn.XLOOKUP($D74,'Modelling New'!$D:$D,'Modelling New'!$N:$N)</f>
        <v>87.8</v>
      </c>
      <c r="AS74" s="233">
        <f t="shared" ref="AS74:AS137" si="13">IFERROR((AD74/AR74)*AB74,"")</f>
        <v>0</v>
      </c>
    </row>
    <row r="75" spans="1:45">
      <c r="A75" s="232">
        <f t="shared" si="9"/>
        <v>45912</v>
      </c>
      <c r="B75" s="233">
        <f>YEAR(Daily_KPI[[#This Row],[Date]])+IF(MONTH(Daily_KPI[[#This Row],[Date]])&gt;=4,1,0)</f>
        <v>2026</v>
      </c>
      <c r="C75" s="234">
        <f>YEAR(Daily_KPI[[#This Row],[Date]])</f>
        <v>2025</v>
      </c>
      <c r="D75" s="235">
        <f>Daily_KPI[[#This Row],[Date]]-DAY(Daily_KPI[[#This Row],[Date]])+1</f>
        <v>45901</v>
      </c>
      <c r="E75" s="234">
        <f t="shared" si="10"/>
        <v>30</v>
      </c>
      <c r="F75" s="236">
        <f>IFERROR(_xlfn.XLOOKUP($A75,Input_Raw!$A:$A,Input_Raw!$BM:$BM),"")</f>
        <v>0</v>
      </c>
      <c r="G75" s="237">
        <f>IFERROR(_xlfn.XLOOKUP($A75,Input_Raw!$A:$A,Input_Raw!$AN:$AN),"")</f>
        <v>0</v>
      </c>
      <c r="H75" s="237"/>
      <c r="I75" s="237">
        <f>IFERROR(_xlfn.XLOOKUP($A75,Input_Raw!$A:$A,Input_Raw!$AM:$AM),"")</f>
        <v>0</v>
      </c>
      <c r="J75" s="237"/>
      <c r="K75" s="237">
        <f>IFERROR(_xlfn.XLOOKUP($A75,Input_Raw!$A:$A,Input_Raw!AO:AO),"")</f>
        <v>0</v>
      </c>
      <c r="L75" s="237">
        <f>IFERROR(_xlfn.XLOOKUP($A75,Input_Raw!$A:$A,Input_Raw!AP:AP),"")</f>
        <v>0</v>
      </c>
      <c r="M75" s="237">
        <f>IFERROR(_xlfn.XLOOKUP($A75,Input_Raw!$A:$A,Input_Raw!AS:AS),"")</f>
        <v>0</v>
      </c>
      <c r="N75" s="237">
        <f>IFERROR(_xlfn.XLOOKUP($A75,Input_Raw!$A:$A,Input_Raw!AT:AT),"")</f>
        <v>0</v>
      </c>
      <c r="O75" s="238" t="str">
        <f>IFERROR(1-(SUMIF(Plant_BD!$B:$B,$A75,Plant_BD!$AL:$AL)/($AA75+SUMIF(Plant_BD!$B:$B,$A75,Plant_BD!$AL:$AL))),"")</f>
        <v/>
      </c>
      <c r="P75" s="238"/>
      <c r="Q75" s="239"/>
      <c r="R75" s="238" t="str">
        <f>IFERROR(1-(SUMIF(Grid_BD!$B:$B,$A75,Grid_BD!$V:$V)/($AA75+SUMIF(Grid_BD!$B:$B,$A75,Grid_BD!$V:$V))),"")</f>
        <v/>
      </c>
      <c r="S75" s="234"/>
      <c r="T75" s="239"/>
      <c r="U75" s="240" t="str">
        <f t="shared" si="11"/>
        <v/>
      </c>
      <c r="V75" s="240" t="str">
        <f>IFERROR(_xlfn.XLOOKUP($A75,Input_Raw!$A:$A,Input_Raw!$BS:$BS),"")</f>
        <v/>
      </c>
      <c r="W75" s="241">
        <f t="shared" si="12"/>
        <v>0</v>
      </c>
      <c r="X75" s="233">
        <f>IFERROR(_xlfn.XLOOKUP($A75,Input_Raw!$A:$A,Input_Raw!$AW:$AW),"")</f>
        <v>0</v>
      </c>
      <c r="Y75" s="233">
        <f>IFERROR(_xlfn.XLOOKUP($A75,Input_Raw!$A:$A,Input_Raw!$BN:$BN),"")</f>
        <v>0</v>
      </c>
      <c r="Z75" s="233"/>
      <c r="AA75" s="233">
        <f>IFERROR(_xlfn.XLOOKUP($A75,Input_Raw!$A:$A,Input_Raw!$BO:$BO),"")</f>
        <v>0</v>
      </c>
      <c r="AB75" s="233">
        <f>IFERROR(_xlfn.XLOOKUP($A75,Input_Raw!$A:$A,Input_Raw!$BP:$BP),"")</f>
        <v>0</v>
      </c>
      <c r="AC75" s="242">
        <f>IFERROR(_xlfn.XLOOKUP($D75,'Modelling New'!$D:$D,'Modelling New'!P:P),"")</f>
        <v>4.7</v>
      </c>
      <c r="AD75" s="233">
        <f>IFERROR(_xlfn.XLOOKUP($D75,'Modelling New'!$D:$D,'Modelling New'!T:T)*1000,"")</f>
        <v>346138.02873548196</v>
      </c>
      <c r="AE75" s="243">
        <f>IFERROR(_xlfn.XLOOKUP($D75,'Modelling New'!$D:$D,'Modelling New'!$O:$O),"")</f>
        <v>0.83879714228537272</v>
      </c>
      <c r="AF75" s="243">
        <f>IFERROR(_xlfn.XLOOKUP($D75,'Modelling New'!$D:$D,'Modelling New'!$W:$W),"")</f>
        <v>0.16426444036421886</v>
      </c>
      <c r="AG75" s="243">
        <f>IFERROR(_xlfn.XLOOKUP($D75,'Modelling New'!$D:$D,'Modelling New'!$AE:$AE),"")</f>
        <v>0.995</v>
      </c>
      <c r="AH75" s="243">
        <f>IFERROR(_xlfn.XLOOKUP($D75,'Modelling New'!$D:$D,'Modelling New'!$AF:$AF),"")</f>
        <v>0.995</v>
      </c>
      <c r="AI75" s="234"/>
      <c r="AJ75" s="234"/>
      <c r="AK75" s="234"/>
      <c r="AL75" s="234"/>
      <c r="AM75" s="234"/>
      <c r="AN75" s="244"/>
      <c r="AO75" s="241"/>
      <c r="AP75" s="241"/>
      <c r="AQ75" s="241"/>
      <c r="AR75" s="233">
        <f>_xlfn.XLOOKUP($D75,'Modelling New'!$D:$D,'Modelling New'!$N:$N)</f>
        <v>87.8</v>
      </c>
      <c r="AS75" s="233">
        <f t="shared" si="13"/>
        <v>0</v>
      </c>
    </row>
    <row r="76" spans="1:45">
      <c r="A76" s="232">
        <f t="shared" ref="A76:A139" si="14">A75+1</f>
        <v>45913</v>
      </c>
      <c r="B76" s="233">
        <f>YEAR(Daily_KPI[[#This Row],[Date]])+IF(MONTH(Daily_KPI[[#This Row],[Date]])&gt;=4,1,0)</f>
        <v>2026</v>
      </c>
      <c r="C76" s="234">
        <f>YEAR(Daily_KPI[[#This Row],[Date]])</f>
        <v>2025</v>
      </c>
      <c r="D76" s="235">
        <f>Daily_KPI[[#This Row],[Date]]-DAY(Daily_KPI[[#This Row],[Date]])+1</f>
        <v>45901</v>
      </c>
      <c r="E76" s="234">
        <f t="shared" si="10"/>
        <v>30</v>
      </c>
      <c r="F76" s="236">
        <f>IFERROR(_xlfn.XLOOKUP($A76,Input_Raw!$A:$A,Input_Raw!$BM:$BM),"")</f>
        <v>0</v>
      </c>
      <c r="G76" s="237">
        <f>IFERROR(_xlfn.XLOOKUP($A76,Input_Raw!$A:$A,Input_Raw!$AN:$AN),"")</f>
        <v>0</v>
      </c>
      <c r="H76" s="237"/>
      <c r="I76" s="237">
        <f>IFERROR(_xlfn.XLOOKUP($A76,Input_Raw!$A:$A,Input_Raw!$AM:$AM),"")</f>
        <v>0</v>
      </c>
      <c r="J76" s="237"/>
      <c r="K76" s="237">
        <f>IFERROR(_xlfn.XLOOKUP($A76,Input_Raw!$A:$A,Input_Raw!AO:AO),"")</f>
        <v>0</v>
      </c>
      <c r="L76" s="237">
        <f>IFERROR(_xlfn.XLOOKUP($A76,Input_Raw!$A:$A,Input_Raw!AP:AP),"")</f>
        <v>0</v>
      </c>
      <c r="M76" s="237">
        <f>IFERROR(_xlfn.XLOOKUP($A76,Input_Raw!$A:$A,Input_Raw!AS:AS),"")</f>
        <v>0</v>
      </c>
      <c r="N76" s="237">
        <f>IFERROR(_xlfn.XLOOKUP($A76,Input_Raw!$A:$A,Input_Raw!AT:AT),"")</f>
        <v>0</v>
      </c>
      <c r="O76" s="238" t="str">
        <f>IFERROR(1-(SUMIF(Plant_BD!$B:$B,$A76,Plant_BD!$AL:$AL)/($AA76+SUMIF(Plant_BD!$B:$B,$A76,Plant_BD!$AL:$AL))),"")</f>
        <v/>
      </c>
      <c r="P76" s="238"/>
      <c r="Q76" s="239"/>
      <c r="R76" s="238" t="str">
        <f>IFERROR(1-(SUMIF(Grid_BD!$B:$B,$A76,Grid_BD!$V:$V)/($AA76+SUMIF(Grid_BD!$B:$B,$A76,Grid_BD!$V:$V))),"")</f>
        <v/>
      </c>
      <c r="S76" s="234"/>
      <c r="T76" s="239"/>
      <c r="U76" s="240" t="str">
        <f t="shared" si="11"/>
        <v/>
      </c>
      <c r="V76" s="240" t="str">
        <f>IFERROR(_xlfn.XLOOKUP($A76,Input_Raw!$A:$A,Input_Raw!$BS:$BS),"")</f>
        <v/>
      </c>
      <c r="W76" s="241">
        <f t="shared" si="12"/>
        <v>0</v>
      </c>
      <c r="X76" s="233">
        <f>IFERROR(_xlfn.XLOOKUP($A76,Input_Raw!$A:$A,Input_Raw!$AW:$AW),"")</f>
        <v>0</v>
      </c>
      <c r="Y76" s="233">
        <f>IFERROR(_xlfn.XLOOKUP($A76,Input_Raw!$A:$A,Input_Raw!$BN:$BN),"")</f>
        <v>0</v>
      </c>
      <c r="Z76" s="233"/>
      <c r="AA76" s="233">
        <f>IFERROR(_xlfn.XLOOKUP($A76,Input_Raw!$A:$A,Input_Raw!$BO:$BO),"")</f>
        <v>0</v>
      </c>
      <c r="AB76" s="233">
        <f>IFERROR(_xlfn.XLOOKUP($A76,Input_Raw!$A:$A,Input_Raw!$BP:$BP),"")</f>
        <v>0</v>
      </c>
      <c r="AC76" s="242">
        <f>IFERROR(_xlfn.XLOOKUP($D76,'Modelling New'!$D:$D,'Modelling New'!P:P),"")</f>
        <v>4.7</v>
      </c>
      <c r="AD76" s="233">
        <f>IFERROR(_xlfn.XLOOKUP($D76,'Modelling New'!$D:$D,'Modelling New'!T:T)*1000,"")</f>
        <v>346138.02873548196</v>
      </c>
      <c r="AE76" s="243">
        <f>IFERROR(_xlfn.XLOOKUP($D76,'Modelling New'!$D:$D,'Modelling New'!$O:$O),"")</f>
        <v>0.83879714228537272</v>
      </c>
      <c r="AF76" s="243">
        <f>IFERROR(_xlfn.XLOOKUP($D76,'Modelling New'!$D:$D,'Modelling New'!$W:$W),"")</f>
        <v>0.16426444036421886</v>
      </c>
      <c r="AG76" s="243">
        <f>IFERROR(_xlfn.XLOOKUP($D76,'Modelling New'!$D:$D,'Modelling New'!$AE:$AE),"")</f>
        <v>0.995</v>
      </c>
      <c r="AH76" s="243">
        <f>IFERROR(_xlfn.XLOOKUP($D76,'Modelling New'!$D:$D,'Modelling New'!$AF:$AF),"")</f>
        <v>0.995</v>
      </c>
      <c r="AI76" s="234"/>
      <c r="AJ76" s="234"/>
      <c r="AK76" s="234"/>
      <c r="AL76" s="234"/>
      <c r="AM76" s="234"/>
      <c r="AN76" s="244"/>
      <c r="AO76" s="241"/>
      <c r="AP76" s="241"/>
      <c r="AQ76" s="241"/>
      <c r="AR76" s="233">
        <f>_xlfn.XLOOKUP($D76,'Modelling New'!$D:$D,'Modelling New'!$N:$N)</f>
        <v>87.8</v>
      </c>
      <c r="AS76" s="233">
        <f t="shared" si="13"/>
        <v>0</v>
      </c>
    </row>
    <row r="77" spans="1:45">
      <c r="A77" s="232">
        <f t="shared" si="14"/>
        <v>45914</v>
      </c>
      <c r="B77" s="233">
        <f>YEAR(Daily_KPI[[#This Row],[Date]])+IF(MONTH(Daily_KPI[[#This Row],[Date]])&gt;=4,1,0)</f>
        <v>2026</v>
      </c>
      <c r="C77" s="234">
        <f>YEAR(Daily_KPI[[#This Row],[Date]])</f>
        <v>2025</v>
      </c>
      <c r="D77" s="235">
        <f>Daily_KPI[[#This Row],[Date]]-DAY(Daily_KPI[[#This Row],[Date]])+1</f>
        <v>45901</v>
      </c>
      <c r="E77" s="234">
        <f t="shared" si="10"/>
        <v>30</v>
      </c>
      <c r="F77" s="236">
        <f>IFERROR(_xlfn.XLOOKUP($A77,Input_Raw!$A:$A,Input_Raw!$BM:$BM),"")</f>
        <v>0</v>
      </c>
      <c r="G77" s="237">
        <f>IFERROR(_xlfn.XLOOKUP($A77,Input_Raw!$A:$A,Input_Raw!$AN:$AN),"")</f>
        <v>0</v>
      </c>
      <c r="H77" s="237"/>
      <c r="I77" s="237">
        <f>IFERROR(_xlfn.XLOOKUP($A77,Input_Raw!$A:$A,Input_Raw!$AM:$AM),"")</f>
        <v>0</v>
      </c>
      <c r="J77" s="237"/>
      <c r="K77" s="237">
        <f>IFERROR(_xlfn.XLOOKUP($A77,Input_Raw!$A:$A,Input_Raw!AO:AO),"")</f>
        <v>0</v>
      </c>
      <c r="L77" s="237">
        <f>IFERROR(_xlfn.XLOOKUP($A77,Input_Raw!$A:$A,Input_Raw!AP:AP),"")</f>
        <v>0</v>
      </c>
      <c r="M77" s="237">
        <f>IFERROR(_xlfn.XLOOKUP($A77,Input_Raw!$A:$A,Input_Raw!AS:AS),"")</f>
        <v>0</v>
      </c>
      <c r="N77" s="237">
        <f>IFERROR(_xlfn.XLOOKUP($A77,Input_Raw!$A:$A,Input_Raw!AT:AT),"")</f>
        <v>0</v>
      </c>
      <c r="O77" s="238" t="str">
        <f>IFERROR(1-(SUMIF(Plant_BD!$B:$B,$A77,Plant_BD!$AL:$AL)/($AA77+SUMIF(Plant_BD!$B:$B,$A77,Plant_BD!$AL:$AL))),"")</f>
        <v/>
      </c>
      <c r="P77" s="238"/>
      <c r="Q77" s="239"/>
      <c r="R77" s="238" t="str">
        <f>IFERROR(1-(SUMIF(Grid_BD!$B:$B,$A77,Grid_BD!$V:$V)/($AA77+SUMIF(Grid_BD!$B:$B,$A77,Grid_BD!$V:$V))),"")</f>
        <v/>
      </c>
      <c r="S77" s="234"/>
      <c r="T77" s="239"/>
      <c r="U77" s="240" t="str">
        <f t="shared" si="11"/>
        <v/>
      </c>
      <c r="V77" s="240" t="str">
        <f>IFERROR(_xlfn.XLOOKUP($A77,Input_Raw!$A:$A,Input_Raw!$BS:$BS),"")</f>
        <v/>
      </c>
      <c r="W77" s="241">
        <f t="shared" si="12"/>
        <v>0</v>
      </c>
      <c r="X77" s="233">
        <f>IFERROR(_xlfn.XLOOKUP($A77,Input_Raw!$A:$A,Input_Raw!$AW:$AW),"")</f>
        <v>0</v>
      </c>
      <c r="Y77" s="233">
        <f>IFERROR(_xlfn.XLOOKUP($A77,Input_Raw!$A:$A,Input_Raw!$BN:$BN),"")</f>
        <v>0</v>
      </c>
      <c r="Z77" s="233"/>
      <c r="AA77" s="233">
        <f>IFERROR(_xlfn.XLOOKUP($A77,Input_Raw!$A:$A,Input_Raw!$BO:$BO),"")</f>
        <v>0</v>
      </c>
      <c r="AB77" s="233">
        <f>IFERROR(_xlfn.XLOOKUP($A77,Input_Raw!$A:$A,Input_Raw!$BP:$BP),"")</f>
        <v>0</v>
      </c>
      <c r="AC77" s="242">
        <f>IFERROR(_xlfn.XLOOKUP($D77,'Modelling New'!$D:$D,'Modelling New'!P:P),"")</f>
        <v>4.7</v>
      </c>
      <c r="AD77" s="233">
        <f>IFERROR(_xlfn.XLOOKUP($D77,'Modelling New'!$D:$D,'Modelling New'!T:T)*1000,"")</f>
        <v>346138.02873548196</v>
      </c>
      <c r="AE77" s="243">
        <f>IFERROR(_xlfn.XLOOKUP($D77,'Modelling New'!$D:$D,'Modelling New'!$O:$O),"")</f>
        <v>0.83879714228537272</v>
      </c>
      <c r="AF77" s="243">
        <f>IFERROR(_xlfn.XLOOKUP($D77,'Modelling New'!$D:$D,'Modelling New'!$W:$W),"")</f>
        <v>0.16426444036421886</v>
      </c>
      <c r="AG77" s="243">
        <f>IFERROR(_xlfn.XLOOKUP($D77,'Modelling New'!$D:$D,'Modelling New'!$AE:$AE),"")</f>
        <v>0.995</v>
      </c>
      <c r="AH77" s="243">
        <f>IFERROR(_xlfn.XLOOKUP($D77,'Modelling New'!$D:$D,'Modelling New'!$AF:$AF),"")</f>
        <v>0.995</v>
      </c>
      <c r="AI77" s="234"/>
      <c r="AJ77" s="234"/>
      <c r="AK77" s="234"/>
      <c r="AL77" s="234"/>
      <c r="AM77" s="234"/>
      <c r="AN77" s="244"/>
      <c r="AO77" s="241"/>
      <c r="AP77" s="241"/>
      <c r="AQ77" s="241"/>
      <c r="AR77" s="233">
        <f>_xlfn.XLOOKUP($D77,'Modelling New'!$D:$D,'Modelling New'!$N:$N)</f>
        <v>87.8</v>
      </c>
      <c r="AS77" s="233">
        <f t="shared" si="13"/>
        <v>0</v>
      </c>
    </row>
    <row r="78" spans="1:45">
      <c r="A78" s="232">
        <f t="shared" si="14"/>
        <v>45915</v>
      </c>
      <c r="B78" s="233">
        <f>YEAR(Daily_KPI[[#This Row],[Date]])+IF(MONTH(Daily_KPI[[#This Row],[Date]])&gt;=4,1,0)</f>
        <v>2026</v>
      </c>
      <c r="C78" s="234">
        <f>YEAR(Daily_KPI[[#This Row],[Date]])</f>
        <v>2025</v>
      </c>
      <c r="D78" s="235">
        <f>Daily_KPI[[#This Row],[Date]]-DAY(Daily_KPI[[#This Row],[Date]])+1</f>
        <v>45901</v>
      </c>
      <c r="E78" s="234">
        <f t="shared" si="10"/>
        <v>30</v>
      </c>
      <c r="F78" s="236">
        <f>IFERROR(_xlfn.XLOOKUP($A78,Input_Raw!$A:$A,Input_Raw!$BM:$BM),"")</f>
        <v>0</v>
      </c>
      <c r="G78" s="237">
        <f>IFERROR(_xlfn.XLOOKUP($A78,Input_Raw!$A:$A,Input_Raw!$AN:$AN),"")</f>
        <v>0</v>
      </c>
      <c r="H78" s="237"/>
      <c r="I78" s="237">
        <f>IFERROR(_xlfn.XLOOKUP($A78,Input_Raw!$A:$A,Input_Raw!$AM:$AM),"")</f>
        <v>0</v>
      </c>
      <c r="J78" s="237"/>
      <c r="K78" s="237">
        <f>IFERROR(_xlfn.XLOOKUP($A78,Input_Raw!$A:$A,Input_Raw!AO:AO),"")</f>
        <v>0</v>
      </c>
      <c r="L78" s="237">
        <f>IFERROR(_xlfn.XLOOKUP($A78,Input_Raw!$A:$A,Input_Raw!AP:AP),"")</f>
        <v>0</v>
      </c>
      <c r="M78" s="237">
        <f>IFERROR(_xlfn.XLOOKUP($A78,Input_Raw!$A:$A,Input_Raw!AS:AS),"")</f>
        <v>0</v>
      </c>
      <c r="N78" s="237">
        <f>IFERROR(_xlfn.XLOOKUP($A78,Input_Raw!$A:$A,Input_Raw!AT:AT),"")</f>
        <v>0</v>
      </c>
      <c r="O78" s="238" t="str">
        <f>IFERROR(1-(SUMIF(Plant_BD!$B:$B,$A78,Plant_BD!$AL:$AL)/($AA78+SUMIF(Plant_BD!$B:$B,$A78,Plant_BD!$AL:$AL))),"")</f>
        <v/>
      </c>
      <c r="P78" s="238"/>
      <c r="Q78" s="239"/>
      <c r="R78" s="238" t="str">
        <f>IFERROR(1-(SUMIF(Grid_BD!$B:$B,$A78,Grid_BD!$V:$V)/($AA78+SUMIF(Grid_BD!$B:$B,$A78,Grid_BD!$V:$V))),"")</f>
        <v/>
      </c>
      <c r="S78" s="234"/>
      <c r="T78" s="239"/>
      <c r="U78" s="240" t="str">
        <f t="shared" si="11"/>
        <v/>
      </c>
      <c r="V78" s="240" t="str">
        <f>IFERROR(_xlfn.XLOOKUP($A78,Input_Raw!$A:$A,Input_Raw!$BS:$BS),"")</f>
        <v/>
      </c>
      <c r="W78" s="241">
        <f t="shared" si="12"/>
        <v>0</v>
      </c>
      <c r="X78" s="233">
        <f>IFERROR(_xlfn.XLOOKUP($A78,Input_Raw!$A:$A,Input_Raw!$AW:$AW),"")</f>
        <v>0</v>
      </c>
      <c r="Y78" s="233">
        <f>IFERROR(_xlfn.XLOOKUP($A78,Input_Raw!$A:$A,Input_Raw!$BN:$BN),"")</f>
        <v>0</v>
      </c>
      <c r="Z78" s="233"/>
      <c r="AA78" s="233">
        <f>IFERROR(_xlfn.XLOOKUP($A78,Input_Raw!$A:$A,Input_Raw!$BO:$BO),"")</f>
        <v>0</v>
      </c>
      <c r="AB78" s="233">
        <f>IFERROR(_xlfn.XLOOKUP($A78,Input_Raw!$A:$A,Input_Raw!$BP:$BP),"")</f>
        <v>0</v>
      </c>
      <c r="AC78" s="242">
        <f>IFERROR(_xlfn.XLOOKUP($D78,'Modelling New'!$D:$D,'Modelling New'!P:P),"")</f>
        <v>4.7</v>
      </c>
      <c r="AD78" s="233">
        <f>IFERROR(_xlfn.XLOOKUP($D78,'Modelling New'!$D:$D,'Modelling New'!T:T)*1000,"")</f>
        <v>346138.02873548196</v>
      </c>
      <c r="AE78" s="243">
        <f>IFERROR(_xlfn.XLOOKUP($D78,'Modelling New'!$D:$D,'Modelling New'!$O:$O),"")</f>
        <v>0.83879714228537272</v>
      </c>
      <c r="AF78" s="243">
        <f>IFERROR(_xlfn.XLOOKUP($D78,'Modelling New'!$D:$D,'Modelling New'!$W:$W),"")</f>
        <v>0.16426444036421886</v>
      </c>
      <c r="AG78" s="243">
        <f>IFERROR(_xlfn.XLOOKUP($D78,'Modelling New'!$D:$D,'Modelling New'!$AE:$AE),"")</f>
        <v>0.995</v>
      </c>
      <c r="AH78" s="243">
        <f>IFERROR(_xlfn.XLOOKUP($D78,'Modelling New'!$D:$D,'Modelling New'!$AF:$AF),"")</f>
        <v>0.995</v>
      </c>
      <c r="AI78" s="234"/>
      <c r="AJ78" s="234"/>
      <c r="AK78" s="234"/>
      <c r="AL78" s="234"/>
      <c r="AM78" s="234"/>
      <c r="AN78" s="244"/>
      <c r="AO78" s="241"/>
      <c r="AP78" s="241"/>
      <c r="AQ78" s="241"/>
      <c r="AR78" s="233">
        <f>_xlfn.XLOOKUP($D78,'Modelling New'!$D:$D,'Modelling New'!$N:$N)</f>
        <v>87.8</v>
      </c>
      <c r="AS78" s="233">
        <f t="shared" si="13"/>
        <v>0</v>
      </c>
    </row>
    <row r="79" spans="1:45">
      <c r="A79" s="232">
        <f t="shared" si="14"/>
        <v>45916</v>
      </c>
      <c r="B79" s="233">
        <f>YEAR(Daily_KPI[[#This Row],[Date]])+IF(MONTH(Daily_KPI[[#This Row],[Date]])&gt;=4,1,0)</f>
        <v>2026</v>
      </c>
      <c r="C79" s="234">
        <f>YEAR(Daily_KPI[[#This Row],[Date]])</f>
        <v>2025</v>
      </c>
      <c r="D79" s="235">
        <f>Daily_KPI[[#This Row],[Date]]-DAY(Daily_KPI[[#This Row],[Date]])+1</f>
        <v>45901</v>
      </c>
      <c r="E79" s="234">
        <f t="shared" si="10"/>
        <v>30</v>
      </c>
      <c r="F79" s="236">
        <f>IFERROR(_xlfn.XLOOKUP($A79,Input_Raw!$A:$A,Input_Raw!$BM:$BM),"")</f>
        <v>0</v>
      </c>
      <c r="G79" s="237">
        <f>IFERROR(_xlfn.XLOOKUP($A79,Input_Raw!$A:$A,Input_Raw!$AN:$AN),"")</f>
        <v>0</v>
      </c>
      <c r="H79" s="237"/>
      <c r="I79" s="237">
        <f>IFERROR(_xlfn.XLOOKUP($A79,Input_Raw!$A:$A,Input_Raw!$AM:$AM),"")</f>
        <v>0</v>
      </c>
      <c r="J79" s="237"/>
      <c r="K79" s="237">
        <f>IFERROR(_xlfn.XLOOKUP($A79,Input_Raw!$A:$A,Input_Raw!AO:AO),"")</f>
        <v>0</v>
      </c>
      <c r="L79" s="237">
        <f>IFERROR(_xlfn.XLOOKUP($A79,Input_Raw!$A:$A,Input_Raw!AP:AP),"")</f>
        <v>0</v>
      </c>
      <c r="M79" s="237">
        <f>IFERROR(_xlfn.XLOOKUP($A79,Input_Raw!$A:$A,Input_Raw!AS:AS),"")</f>
        <v>0</v>
      </c>
      <c r="N79" s="237">
        <f>IFERROR(_xlfn.XLOOKUP($A79,Input_Raw!$A:$A,Input_Raw!AT:AT),"")</f>
        <v>0</v>
      </c>
      <c r="O79" s="238" t="str">
        <f>IFERROR(1-(SUMIF(Plant_BD!$B:$B,$A79,Plant_BD!$AL:$AL)/($AA79+SUMIF(Plant_BD!$B:$B,$A79,Plant_BD!$AL:$AL))),"")</f>
        <v/>
      </c>
      <c r="P79" s="238"/>
      <c r="Q79" s="239"/>
      <c r="R79" s="238" t="str">
        <f>IFERROR(1-(SUMIF(Grid_BD!$B:$B,$A79,Grid_BD!$V:$V)/($AA79+SUMIF(Grid_BD!$B:$B,$A79,Grid_BD!$V:$V))),"")</f>
        <v/>
      </c>
      <c r="S79" s="234"/>
      <c r="T79" s="239"/>
      <c r="U79" s="240" t="str">
        <f t="shared" si="11"/>
        <v/>
      </c>
      <c r="V79" s="240" t="str">
        <f>IFERROR(_xlfn.XLOOKUP($A79,Input_Raw!$A:$A,Input_Raw!$BS:$BS),"")</f>
        <v/>
      </c>
      <c r="W79" s="241">
        <f t="shared" si="12"/>
        <v>0</v>
      </c>
      <c r="X79" s="233">
        <f>IFERROR(_xlfn.XLOOKUP($A79,Input_Raw!$A:$A,Input_Raw!$AW:$AW),"")</f>
        <v>0</v>
      </c>
      <c r="Y79" s="233">
        <f>IFERROR(_xlfn.XLOOKUP($A79,Input_Raw!$A:$A,Input_Raw!$BN:$BN),"")</f>
        <v>0</v>
      </c>
      <c r="Z79" s="233"/>
      <c r="AA79" s="233">
        <f>IFERROR(_xlfn.XLOOKUP($A79,Input_Raw!$A:$A,Input_Raw!$BO:$BO),"")</f>
        <v>0</v>
      </c>
      <c r="AB79" s="233">
        <f>IFERROR(_xlfn.XLOOKUP($A79,Input_Raw!$A:$A,Input_Raw!$BP:$BP),"")</f>
        <v>0</v>
      </c>
      <c r="AC79" s="242">
        <f>IFERROR(_xlfn.XLOOKUP($D79,'Modelling New'!$D:$D,'Modelling New'!P:P),"")</f>
        <v>4.7</v>
      </c>
      <c r="AD79" s="233">
        <f>IFERROR(_xlfn.XLOOKUP($D79,'Modelling New'!$D:$D,'Modelling New'!T:T)*1000,"")</f>
        <v>346138.02873548196</v>
      </c>
      <c r="AE79" s="243">
        <f>IFERROR(_xlfn.XLOOKUP($D79,'Modelling New'!$D:$D,'Modelling New'!$O:$O),"")</f>
        <v>0.83879714228537272</v>
      </c>
      <c r="AF79" s="243">
        <f>IFERROR(_xlfn.XLOOKUP($D79,'Modelling New'!$D:$D,'Modelling New'!$W:$W),"")</f>
        <v>0.16426444036421886</v>
      </c>
      <c r="AG79" s="243">
        <f>IFERROR(_xlfn.XLOOKUP($D79,'Modelling New'!$D:$D,'Modelling New'!$AE:$AE),"")</f>
        <v>0.995</v>
      </c>
      <c r="AH79" s="243">
        <f>IFERROR(_xlfn.XLOOKUP($D79,'Modelling New'!$D:$D,'Modelling New'!$AF:$AF),"")</f>
        <v>0.995</v>
      </c>
      <c r="AI79" s="234"/>
      <c r="AJ79" s="234"/>
      <c r="AK79" s="234"/>
      <c r="AL79" s="234"/>
      <c r="AM79" s="234"/>
      <c r="AN79" s="244"/>
      <c r="AO79" s="241"/>
      <c r="AP79" s="241"/>
      <c r="AQ79" s="241"/>
      <c r="AR79" s="233">
        <f>_xlfn.XLOOKUP($D79,'Modelling New'!$D:$D,'Modelling New'!$N:$N)</f>
        <v>87.8</v>
      </c>
      <c r="AS79" s="233">
        <f t="shared" si="13"/>
        <v>0</v>
      </c>
    </row>
    <row r="80" spans="1:45">
      <c r="A80" s="232">
        <f t="shared" si="14"/>
        <v>45917</v>
      </c>
      <c r="B80" s="233">
        <f>YEAR(Daily_KPI[[#This Row],[Date]])+IF(MONTH(Daily_KPI[[#This Row],[Date]])&gt;=4,1,0)</f>
        <v>2026</v>
      </c>
      <c r="C80" s="234">
        <f>YEAR(Daily_KPI[[#This Row],[Date]])</f>
        <v>2025</v>
      </c>
      <c r="D80" s="235">
        <f>Daily_KPI[[#This Row],[Date]]-DAY(Daily_KPI[[#This Row],[Date]])+1</f>
        <v>45901</v>
      </c>
      <c r="E80" s="234">
        <f t="shared" si="10"/>
        <v>30</v>
      </c>
      <c r="F80" s="236">
        <f>IFERROR(_xlfn.XLOOKUP($A80,Input_Raw!$A:$A,Input_Raw!$BM:$BM),"")</f>
        <v>0</v>
      </c>
      <c r="G80" s="237">
        <f>IFERROR(_xlfn.XLOOKUP($A80,Input_Raw!$A:$A,Input_Raw!$AN:$AN),"")</f>
        <v>0</v>
      </c>
      <c r="H80" s="237"/>
      <c r="I80" s="237">
        <f>IFERROR(_xlfn.XLOOKUP($A80,Input_Raw!$A:$A,Input_Raw!$AM:$AM),"")</f>
        <v>0</v>
      </c>
      <c r="J80" s="237"/>
      <c r="K80" s="237">
        <f>IFERROR(_xlfn.XLOOKUP($A80,Input_Raw!$A:$A,Input_Raw!AO:AO),"")</f>
        <v>0</v>
      </c>
      <c r="L80" s="237">
        <f>IFERROR(_xlfn.XLOOKUP($A80,Input_Raw!$A:$A,Input_Raw!AP:AP),"")</f>
        <v>0</v>
      </c>
      <c r="M80" s="237">
        <f>IFERROR(_xlfn.XLOOKUP($A80,Input_Raw!$A:$A,Input_Raw!AS:AS),"")</f>
        <v>0</v>
      </c>
      <c r="N80" s="237">
        <f>IFERROR(_xlfn.XLOOKUP($A80,Input_Raw!$A:$A,Input_Raw!AT:AT),"")</f>
        <v>0</v>
      </c>
      <c r="O80" s="238" t="str">
        <f>IFERROR(1-(SUMIF(Plant_BD!$B:$B,$A80,Plant_BD!$AL:$AL)/($AA80+SUMIF(Plant_BD!$B:$B,$A80,Plant_BD!$AL:$AL))),"")</f>
        <v/>
      </c>
      <c r="P80" s="238"/>
      <c r="Q80" s="239"/>
      <c r="R80" s="238" t="str">
        <f>IFERROR(1-(SUMIF(Grid_BD!$B:$B,$A80,Grid_BD!$V:$V)/($AA80+SUMIF(Grid_BD!$B:$B,$A80,Grid_BD!$V:$V))),"")</f>
        <v/>
      </c>
      <c r="S80" s="234"/>
      <c r="T80" s="239"/>
      <c r="U80" s="240" t="str">
        <f t="shared" si="11"/>
        <v/>
      </c>
      <c r="V80" s="240" t="str">
        <f>IFERROR(_xlfn.XLOOKUP($A80,Input_Raw!$A:$A,Input_Raw!$BS:$BS),"")</f>
        <v/>
      </c>
      <c r="W80" s="241">
        <f t="shared" si="12"/>
        <v>0</v>
      </c>
      <c r="X80" s="233">
        <f>IFERROR(_xlfn.XLOOKUP($A80,Input_Raw!$A:$A,Input_Raw!$AW:$AW),"")</f>
        <v>0</v>
      </c>
      <c r="Y80" s="233">
        <f>IFERROR(_xlfn.XLOOKUP($A80,Input_Raw!$A:$A,Input_Raw!$BN:$BN),"")</f>
        <v>0</v>
      </c>
      <c r="Z80" s="233"/>
      <c r="AA80" s="233">
        <f>IFERROR(_xlfn.XLOOKUP($A80,Input_Raw!$A:$A,Input_Raw!$BO:$BO),"")</f>
        <v>0</v>
      </c>
      <c r="AB80" s="233">
        <f>IFERROR(_xlfn.XLOOKUP($A80,Input_Raw!$A:$A,Input_Raw!$BP:$BP),"")</f>
        <v>0</v>
      </c>
      <c r="AC80" s="242">
        <f>IFERROR(_xlfn.XLOOKUP($D80,'Modelling New'!$D:$D,'Modelling New'!P:P),"")</f>
        <v>4.7</v>
      </c>
      <c r="AD80" s="233">
        <f>IFERROR(_xlfn.XLOOKUP($D80,'Modelling New'!$D:$D,'Modelling New'!T:T)*1000,"")</f>
        <v>346138.02873548196</v>
      </c>
      <c r="AE80" s="243">
        <f>IFERROR(_xlfn.XLOOKUP($D80,'Modelling New'!$D:$D,'Modelling New'!$O:$O),"")</f>
        <v>0.83879714228537272</v>
      </c>
      <c r="AF80" s="243">
        <f>IFERROR(_xlfn.XLOOKUP($D80,'Modelling New'!$D:$D,'Modelling New'!$W:$W),"")</f>
        <v>0.16426444036421886</v>
      </c>
      <c r="AG80" s="243">
        <f>IFERROR(_xlfn.XLOOKUP($D80,'Modelling New'!$D:$D,'Modelling New'!$AE:$AE),"")</f>
        <v>0.995</v>
      </c>
      <c r="AH80" s="243">
        <f>IFERROR(_xlfn.XLOOKUP($D80,'Modelling New'!$D:$D,'Modelling New'!$AF:$AF),"")</f>
        <v>0.995</v>
      </c>
      <c r="AI80" s="234"/>
      <c r="AJ80" s="234"/>
      <c r="AK80" s="234"/>
      <c r="AL80" s="234"/>
      <c r="AM80" s="234"/>
      <c r="AN80" s="244"/>
      <c r="AO80" s="241"/>
      <c r="AP80" s="241"/>
      <c r="AQ80" s="241"/>
      <c r="AR80" s="233">
        <f>_xlfn.XLOOKUP($D80,'Modelling New'!$D:$D,'Modelling New'!$N:$N)</f>
        <v>87.8</v>
      </c>
      <c r="AS80" s="233">
        <f t="shared" si="13"/>
        <v>0</v>
      </c>
    </row>
    <row r="81" spans="1:45">
      <c r="A81" s="232">
        <f t="shared" si="14"/>
        <v>45918</v>
      </c>
      <c r="B81" s="233">
        <f>YEAR(Daily_KPI[[#This Row],[Date]])+IF(MONTH(Daily_KPI[[#This Row],[Date]])&gt;=4,1,0)</f>
        <v>2026</v>
      </c>
      <c r="C81" s="234">
        <f>YEAR(Daily_KPI[[#This Row],[Date]])</f>
        <v>2025</v>
      </c>
      <c r="D81" s="235">
        <f>Daily_KPI[[#This Row],[Date]]-DAY(Daily_KPI[[#This Row],[Date]])+1</f>
        <v>45901</v>
      </c>
      <c r="E81" s="234">
        <f t="shared" si="10"/>
        <v>30</v>
      </c>
      <c r="F81" s="236">
        <f>IFERROR(_xlfn.XLOOKUP($A81,Input_Raw!$A:$A,Input_Raw!$BM:$BM),"")</f>
        <v>0</v>
      </c>
      <c r="G81" s="237">
        <f>IFERROR(_xlfn.XLOOKUP($A81,Input_Raw!$A:$A,Input_Raw!$AN:$AN),"")</f>
        <v>0</v>
      </c>
      <c r="H81" s="237"/>
      <c r="I81" s="237">
        <f>IFERROR(_xlfn.XLOOKUP($A81,Input_Raw!$A:$A,Input_Raw!$AM:$AM),"")</f>
        <v>0</v>
      </c>
      <c r="J81" s="237"/>
      <c r="K81" s="237">
        <f>IFERROR(_xlfn.XLOOKUP($A81,Input_Raw!$A:$A,Input_Raw!AO:AO),"")</f>
        <v>0</v>
      </c>
      <c r="L81" s="237">
        <f>IFERROR(_xlfn.XLOOKUP($A81,Input_Raw!$A:$A,Input_Raw!AP:AP),"")</f>
        <v>0</v>
      </c>
      <c r="M81" s="237">
        <f>IFERROR(_xlfn.XLOOKUP($A81,Input_Raw!$A:$A,Input_Raw!AS:AS),"")</f>
        <v>0</v>
      </c>
      <c r="N81" s="237">
        <f>IFERROR(_xlfn.XLOOKUP($A81,Input_Raw!$A:$A,Input_Raw!AT:AT),"")</f>
        <v>0</v>
      </c>
      <c r="O81" s="238" t="str">
        <f>IFERROR(1-(SUMIF(Plant_BD!$B:$B,$A81,Plant_BD!$AL:$AL)/($AA81+SUMIF(Plant_BD!$B:$B,$A81,Plant_BD!$AL:$AL))),"")</f>
        <v/>
      </c>
      <c r="P81" s="238"/>
      <c r="Q81" s="239"/>
      <c r="R81" s="238" t="str">
        <f>IFERROR(1-(SUMIF(Grid_BD!$B:$B,$A81,Grid_BD!$V:$V)/($AA81+SUMIF(Grid_BD!$B:$B,$A81,Grid_BD!$V:$V))),"")</f>
        <v/>
      </c>
      <c r="S81" s="234"/>
      <c r="T81" s="239"/>
      <c r="U81" s="240" t="str">
        <f t="shared" si="11"/>
        <v/>
      </c>
      <c r="V81" s="240" t="str">
        <f>IFERROR(_xlfn.XLOOKUP($A81,Input_Raw!$A:$A,Input_Raw!$BS:$BS),"")</f>
        <v/>
      </c>
      <c r="W81" s="241">
        <f t="shared" si="12"/>
        <v>0</v>
      </c>
      <c r="X81" s="233">
        <f>IFERROR(_xlfn.XLOOKUP($A81,Input_Raw!$A:$A,Input_Raw!$AW:$AW),"")</f>
        <v>0</v>
      </c>
      <c r="Y81" s="233">
        <f>IFERROR(_xlfn.XLOOKUP($A81,Input_Raw!$A:$A,Input_Raw!$BN:$BN),"")</f>
        <v>0</v>
      </c>
      <c r="Z81" s="233"/>
      <c r="AA81" s="233">
        <f>IFERROR(_xlfn.XLOOKUP($A81,Input_Raw!$A:$A,Input_Raw!$BO:$BO),"")</f>
        <v>0</v>
      </c>
      <c r="AB81" s="233">
        <f>IFERROR(_xlfn.XLOOKUP($A81,Input_Raw!$A:$A,Input_Raw!$BP:$BP),"")</f>
        <v>0</v>
      </c>
      <c r="AC81" s="242">
        <f>IFERROR(_xlfn.XLOOKUP($D81,'Modelling New'!$D:$D,'Modelling New'!P:P),"")</f>
        <v>4.7</v>
      </c>
      <c r="AD81" s="233">
        <f>IFERROR(_xlfn.XLOOKUP($D81,'Modelling New'!$D:$D,'Modelling New'!T:T)*1000,"")</f>
        <v>346138.02873548196</v>
      </c>
      <c r="AE81" s="243">
        <f>IFERROR(_xlfn.XLOOKUP($D81,'Modelling New'!$D:$D,'Modelling New'!$O:$O),"")</f>
        <v>0.83879714228537272</v>
      </c>
      <c r="AF81" s="243">
        <f>IFERROR(_xlfn.XLOOKUP($D81,'Modelling New'!$D:$D,'Modelling New'!$W:$W),"")</f>
        <v>0.16426444036421886</v>
      </c>
      <c r="AG81" s="243">
        <f>IFERROR(_xlfn.XLOOKUP($D81,'Modelling New'!$D:$D,'Modelling New'!$AE:$AE),"")</f>
        <v>0.995</v>
      </c>
      <c r="AH81" s="243">
        <f>IFERROR(_xlfn.XLOOKUP($D81,'Modelling New'!$D:$D,'Modelling New'!$AF:$AF),"")</f>
        <v>0.995</v>
      </c>
      <c r="AI81" s="234"/>
      <c r="AJ81" s="234"/>
      <c r="AK81" s="234"/>
      <c r="AL81" s="234"/>
      <c r="AM81" s="234"/>
      <c r="AN81" s="244"/>
      <c r="AO81" s="241"/>
      <c r="AP81" s="241"/>
      <c r="AQ81" s="241"/>
      <c r="AR81" s="233">
        <f>_xlfn.XLOOKUP($D81,'Modelling New'!$D:$D,'Modelling New'!$N:$N)</f>
        <v>87.8</v>
      </c>
      <c r="AS81" s="233">
        <f t="shared" si="13"/>
        <v>0</v>
      </c>
    </row>
    <row r="82" spans="1:45">
      <c r="A82" s="232">
        <f t="shared" si="14"/>
        <v>45919</v>
      </c>
      <c r="B82" s="233">
        <f>YEAR(Daily_KPI[[#This Row],[Date]])+IF(MONTH(Daily_KPI[[#This Row],[Date]])&gt;=4,1,0)</f>
        <v>2026</v>
      </c>
      <c r="C82" s="234">
        <f>YEAR(Daily_KPI[[#This Row],[Date]])</f>
        <v>2025</v>
      </c>
      <c r="D82" s="235">
        <f>Daily_KPI[[#This Row],[Date]]-DAY(Daily_KPI[[#This Row],[Date]])+1</f>
        <v>45901</v>
      </c>
      <c r="E82" s="234">
        <f t="shared" si="10"/>
        <v>30</v>
      </c>
      <c r="F82" s="236">
        <f>IFERROR(_xlfn.XLOOKUP($A82,Input_Raw!$A:$A,Input_Raw!$BM:$BM),"")</f>
        <v>0</v>
      </c>
      <c r="G82" s="237">
        <f>IFERROR(_xlfn.XLOOKUP($A82,Input_Raw!$A:$A,Input_Raw!$AN:$AN),"")</f>
        <v>0</v>
      </c>
      <c r="H82" s="237"/>
      <c r="I82" s="237">
        <f>IFERROR(_xlfn.XLOOKUP($A82,Input_Raw!$A:$A,Input_Raw!$AM:$AM),"")</f>
        <v>0</v>
      </c>
      <c r="J82" s="237"/>
      <c r="K82" s="237">
        <f>IFERROR(_xlfn.XLOOKUP($A82,Input_Raw!$A:$A,Input_Raw!AO:AO),"")</f>
        <v>0</v>
      </c>
      <c r="L82" s="237">
        <f>IFERROR(_xlfn.XLOOKUP($A82,Input_Raw!$A:$A,Input_Raw!AP:AP),"")</f>
        <v>0</v>
      </c>
      <c r="M82" s="237">
        <f>IFERROR(_xlfn.XLOOKUP($A82,Input_Raw!$A:$A,Input_Raw!AS:AS),"")</f>
        <v>0</v>
      </c>
      <c r="N82" s="237">
        <f>IFERROR(_xlfn.XLOOKUP($A82,Input_Raw!$A:$A,Input_Raw!AT:AT),"")</f>
        <v>0</v>
      </c>
      <c r="O82" s="238" t="str">
        <f>IFERROR(1-(SUMIF(Plant_BD!$B:$B,$A82,Plant_BD!$AL:$AL)/($AA82+SUMIF(Plant_BD!$B:$B,$A82,Plant_BD!$AL:$AL))),"")</f>
        <v/>
      </c>
      <c r="P82" s="238"/>
      <c r="Q82" s="239"/>
      <c r="R82" s="238" t="str">
        <f>IFERROR(1-(SUMIF(Grid_BD!$B:$B,$A82,Grid_BD!$V:$V)/($AA82+SUMIF(Grid_BD!$B:$B,$A82,Grid_BD!$V:$V))),"")</f>
        <v/>
      </c>
      <c r="S82" s="234"/>
      <c r="T82" s="239"/>
      <c r="U82" s="240" t="str">
        <f t="shared" si="11"/>
        <v/>
      </c>
      <c r="V82" s="240" t="str">
        <f>IFERROR(_xlfn.XLOOKUP($A82,Input_Raw!$A:$A,Input_Raw!$BS:$BS),"")</f>
        <v/>
      </c>
      <c r="W82" s="241">
        <f t="shared" si="12"/>
        <v>0</v>
      </c>
      <c r="X82" s="233">
        <f>IFERROR(_xlfn.XLOOKUP($A82,Input_Raw!$A:$A,Input_Raw!$AW:$AW),"")</f>
        <v>0</v>
      </c>
      <c r="Y82" s="233">
        <f>IFERROR(_xlfn.XLOOKUP($A82,Input_Raw!$A:$A,Input_Raw!$BN:$BN),"")</f>
        <v>0</v>
      </c>
      <c r="Z82" s="233"/>
      <c r="AA82" s="233">
        <f>IFERROR(_xlfn.XLOOKUP($A82,Input_Raw!$A:$A,Input_Raw!$BO:$BO),"")</f>
        <v>0</v>
      </c>
      <c r="AB82" s="233">
        <f>IFERROR(_xlfn.XLOOKUP($A82,Input_Raw!$A:$A,Input_Raw!$BP:$BP),"")</f>
        <v>0</v>
      </c>
      <c r="AC82" s="242">
        <f>IFERROR(_xlfn.XLOOKUP($D82,'Modelling New'!$D:$D,'Modelling New'!P:P),"")</f>
        <v>4.7</v>
      </c>
      <c r="AD82" s="233">
        <f>IFERROR(_xlfn.XLOOKUP($D82,'Modelling New'!$D:$D,'Modelling New'!T:T)*1000,"")</f>
        <v>346138.02873548196</v>
      </c>
      <c r="AE82" s="243">
        <f>IFERROR(_xlfn.XLOOKUP($D82,'Modelling New'!$D:$D,'Modelling New'!$O:$O),"")</f>
        <v>0.83879714228537272</v>
      </c>
      <c r="AF82" s="243">
        <f>IFERROR(_xlfn.XLOOKUP($D82,'Modelling New'!$D:$D,'Modelling New'!$W:$W),"")</f>
        <v>0.16426444036421886</v>
      </c>
      <c r="AG82" s="243">
        <f>IFERROR(_xlfn.XLOOKUP($D82,'Modelling New'!$D:$D,'Modelling New'!$AE:$AE),"")</f>
        <v>0.995</v>
      </c>
      <c r="AH82" s="243">
        <f>IFERROR(_xlfn.XLOOKUP($D82,'Modelling New'!$D:$D,'Modelling New'!$AF:$AF),"")</f>
        <v>0.995</v>
      </c>
      <c r="AI82" s="234"/>
      <c r="AJ82" s="234"/>
      <c r="AK82" s="234"/>
      <c r="AL82" s="234"/>
      <c r="AM82" s="234"/>
      <c r="AN82" s="244"/>
      <c r="AO82" s="241"/>
      <c r="AP82" s="241"/>
      <c r="AQ82" s="241"/>
      <c r="AR82" s="233">
        <f>_xlfn.XLOOKUP($D82,'Modelling New'!$D:$D,'Modelling New'!$N:$N)</f>
        <v>87.8</v>
      </c>
      <c r="AS82" s="233">
        <f t="shared" si="13"/>
        <v>0</v>
      </c>
    </row>
    <row r="83" spans="1:45">
      <c r="A83" s="232">
        <f t="shared" si="14"/>
        <v>45920</v>
      </c>
      <c r="B83" s="233">
        <f>YEAR(Daily_KPI[[#This Row],[Date]])+IF(MONTH(Daily_KPI[[#This Row],[Date]])&gt;=4,1,0)</f>
        <v>2026</v>
      </c>
      <c r="C83" s="234">
        <f>YEAR(Daily_KPI[[#This Row],[Date]])</f>
        <v>2025</v>
      </c>
      <c r="D83" s="235">
        <f>Daily_KPI[[#This Row],[Date]]-DAY(Daily_KPI[[#This Row],[Date]])+1</f>
        <v>45901</v>
      </c>
      <c r="E83" s="234">
        <f t="shared" si="10"/>
        <v>30</v>
      </c>
      <c r="F83" s="236">
        <f>IFERROR(_xlfn.XLOOKUP($A83,Input_Raw!$A:$A,Input_Raw!$BM:$BM),"")</f>
        <v>0</v>
      </c>
      <c r="G83" s="237">
        <f>IFERROR(_xlfn.XLOOKUP($A83,Input_Raw!$A:$A,Input_Raw!$AN:$AN),"")</f>
        <v>0</v>
      </c>
      <c r="H83" s="237"/>
      <c r="I83" s="237">
        <f>IFERROR(_xlfn.XLOOKUP($A83,Input_Raw!$A:$A,Input_Raw!$AM:$AM),"")</f>
        <v>0</v>
      </c>
      <c r="J83" s="237"/>
      <c r="K83" s="237">
        <f>IFERROR(_xlfn.XLOOKUP($A83,Input_Raw!$A:$A,Input_Raw!AO:AO),"")</f>
        <v>0</v>
      </c>
      <c r="L83" s="237">
        <f>IFERROR(_xlfn.XLOOKUP($A83,Input_Raw!$A:$A,Input_Raw!AP:AP),"")</f>
        <v>0</v>
      </c>
      <c r="M83" s="237">
        <f>IFERROR(_xlfn.XLOOKUP($A83,Input_Raw!$A:$A,Input_Raw!AS:AS),"")</f>
        <v>0</v>
      </c>
      <c r="N83" s="237">
        <f>IFERROR(_xlfn.XLOOKUP($A83,Input_Raw!$A:$A,Input_Raw!AT:AT),"")</f>
        <v>0</v>
      </c>
      <c r="O83" s="238" t="str">
        <f>IFERROR(1-(SUMIF(Plant_BD!$B:$B,$A83,Plant_BD!$AL:$AL)/($AA83+SUMIF(Plant_BD!$B:$B,$A83,Plant_BD!$AL:$AL))),"")</f>
        <v/>
      </c>
      <c r="P83" s="238"/>
      <c r="Q83" s="239"/>
      <c r="R83" s="238" t="str">
        <f>IFERROR(1-(SUMIF(Grid_BD!$B:$B,$A83,Grid_BD!$V:$V)/($AA83+SUMIF(Grid_BD!$B:$B,$A83,Grid_BD!$V:$V))),"")</f>
        <v/>
      </c>
      <c r="S83" s="234"/>
      <c r="T83" s="239"/>
      <c r="U83" s="240" t="str">
        <f t="shared" si="11"/>
        <v/>
      </c>
      <c r="V83" s="240" t="str">
        <f>IFERROR(_xlfn.XLOOKUP($A83,Input_Raw!$A:$A,Input_Raw!$BS:$BS),"")</f>
        <v/>
      </c>
      <c r="W83" s="241">
        <f t="shared" si="12"/>
        <v>0</v>
      </c>
      <c r="X83" s="233">
        <f>IFERROR(_xlfn.XLOOKUP($A83,Input_Raw!$A:$A,Input_Raw!$AW:$AW),"")</f>
        <v>0</v>
      </c>
      <c r="Y83" s="233">
        <f>IFERROR(_xlfn.XLOOKUP($A83,Input_Raw!$A:$A,Input_Raw!$BN:$BN),"")</f>
        <v>0</v>
      </c>
      <c r="Z83" s="233"/>
      <c r="AA83" s="233">
        <f>IFERROR(_xlfn.XLOOKUP($A83,Input_Raw!$A:$A,Input_Raw!$BO:$BO),"")</f>
        <v>0</v>
      </c>
      <c r="AB83" s="233">
        <f>IFERROR(_xlfn.XLOOKUP($A83,Input_Raw!$A:$A,Input_Raw!$BP:$BP),"")</f>
        <v>0</v>
      </c>
      <c r="AC83" s="242">
        <f>IFERROR(_xlfn.XLOOKUP($D83,'Modelling New'!$D:$D,'Modelling New'!P:P),"")</f>
        <v>4.7</v>
      </c>
      <c r="AD83" s="233">
        <f>IFERROR(_xlfn.XLOOKUP($D83,'Modelling New'!$D:$D,'Modelling New'!T:T)*1000,"")</f>
        <v>346138.02873548196</v>
      </c>
      <c r="AE83" s="243">
        <f>IFERROR(_xlfn.XLOOKUP($D83,'Modelling New'!$D:$D,'Modelling New'!$O:$O),"")</f>
        <v>0.83879714228537272</v>
      </c>
      <c r="AF83" s="243">
        <f>IFERROR(_xlfn.XLOOKUP($D83,'Modelling New'!$D:$D,'Modelling New'!$W:$W),"")</f>
        <v>0.16426444036421886</v>
      </c>
      <c r="AG83" s="243">
        <f>IFERROR(_xlfn.XLOOKUP($D83,'Modelling New'!$D:$D,'Modelling New'!$AE:$AE),"")</f>
        <v>0.995</v>
      </c>
      <c r="AH83" s="243">
        <f>IFERROR(_xlfn.XLOOKUP($D83,'Modelling New'!$D:$D,'Modelling New'!$AF:$AF),"")</f>
        <v>0.995</v>
      </c>
      <c r="AI83" s="234"/>
      <c r="AJ83" s="234"/>
      <c r="AK83" s="234"/>
      <c r="AL83" s="234"/>
      <c r="AM83" s="234"/>
      <c r="AN83" s="244"/>
      <c r="AO83" s="241"/>
      <c r="AP83" s="241"/>
      <c r="AQ83" s="241"/>
      <c r="AR83" s="233">
        <f>_xlfn.XLOOKUP($D83,'Modelling New'!$D:$D,'Modelling New'!$N:$N)</f>
        <v>87.8</v>
      </c>
      <c r="AS83" s="233">
        <f t="shared" si="13"/>
        <v>0</v>
      </c>
    </row>
    <row r="84" spans="1:45">
      <c r="A84" s="232">
        <f t="shared" si="14"/>
        <v>45921</v>
      </c>
      <c r="B84" s="233">
        <f>YEAR(Daily_KPI[[#This Row],[Date]])+IF(MONTH(Daily_KPI[[#This Row],[Date]])&gt;=4,1,0)</f>
        <v>2026</v>
      </c>
      <c r="C84" s="234">
        <f>YEAR(Daily_KPI[[#This Row],[Date]])</f>
        <v>2025</v>
      </c>
      <c r="D84" s="235">
        <f>Daily_KPI[[#This Row],[Date]]-DAY(Daily_KPI[[#This Row],[Date]])+1</f>
        <v>45901</v>
      </c>
      <c r="E84" s="234">
        <f t="shared" si="10"/>
        <v>30</v>
      </c>
      <c r="F84" s="236">
        <f>IFERROR(_xlfn.XLOOKUP($A84,Input_Raw!$A:$A,Input_Raw!$BM:$BM),"")</f>
        <v>0</v>
      </c>
      <c r="G84" s="237">
        <f>IFERROR(_xlfn.XLOOKUP($A84,Input_Raw!$A:$A,Input_Raw!$AN:$AN),"")</f>
        <v>0</v>
      </c>
      <c r="H84" s="237"/>
      <c r="I84" s="237">
        <f>IFERROR(_xlfn.XLOOKUP($A84,Input_Raw!$A:$A,Input_Raw!$AM:$AM),"")</f>
        <v>0</v>
      </c>
      <c r="J84" s="237"/>
      <c r="K84" s="237">
        <f>IFERROR(_xlfn.XLOOKUP($A84,Input_Raw!$A:$A,Input_Raw!AO:AO),"")</f>
        <v>0</v>
      </c>
      <c r="L84" s="237">
        <f>IFERROR(_xlfn.XLOOKUP($A84,Input_Raw!$A:$A,Input_Raw!AP:AP),"")</f>
        <v>0</v>
      </c>
      <c r="M84" s="237">
        <f>IFERROR(_xlfn.XLOOKUP($A84,Input_Raw!$A:$A,Input_Raw!AS:AS),"")</f>
        <v>0</v>
      </c>
      <c r="N84" s="237">
        <f>IFERROR(_xlfn.XLOOKUP($A84,Input_Raw!$A:$A,Input_Raw!AT:AT),"")</f>
        <v>0</v>
      </c>
      <c r="O84" s="238" t="str">
        <f>IFERROR(1-(SUMIF(Plant_BD!$B:$B,$A84,Plant_BD!$AL:$AL)/($AA84+SUMIF(Plant_BD!$B:$B,$A84,Plant_BD!$AL:$AL))),"")</f>
        <v/>
      </c>
      <c r="P84" s="238"/>
      <c r="Q84" s="239"/>
      <c r="R84" s="238" t="str">
        <f>IFERROR(1-(SUMIF(Grid_BD!$B:$B,$A84,Grid_BD!$V:$V)/($AA84+SUMIF(Grid_BD!$B:$B,$A84,Grid_BD!$V:$V))),"")</f>
        <v/>
      </c>
      <c r="S84" s="234"/>
      <c r="T84" s="239"/>
      <c r="U84" s="240" t="str">
        <f t="shared" si="11"/>
        <v/>
      </c>
      <c r="V84" s="240" t="str">
        <f>IFERROR(_xlfn.XLOOKUP($A84,Input_Raw!$A:$A,Input_Raw!$BS:$BS),"")</f>
        <v/>
      </c>
      <c r="W84" s="241">
        <f t="shared" si="12"/>
        <v>0</v>
      </c>
      <c r="X84" s="233">
        <f>IFERROR(_xlfn.XLOOKUP($A84,Input_Raw!$A:$A,Input_Raw!$AW:$AW),"")</f>
        <v>0</v>
      </c>
      <c r="Y84" s="233">
        <f>IFERROR(_xlfn.XLOOKUP($A84,Input_Raw!$A:$A,Input_Raw!$BN:$BN),"")</f>
        <v>0</v>
      </c>
      <c r="Z84" s="233"/>
      <c r="AA84" s="233">
        <f>IFERROR(_xlfn.XLOOKUP($A84,Input_Raw!$A:$A,Input_Raw!$BO:$BO),"")</f>
        <v>0</v>
      </c>
      <c r="AB84" s="233">
        <f>IFERROR(_xlfn.XLOOKUP($A84,Input_Raw!$A:$A,Input_Raw!$BP:$BP),"")</f>
        <v>0</v>
      </c>
      <c r="AC84" s="242">
        <f>IFERROR(_xlfn.XLOOKUP($D84,'Modelling New'!$D:$D,'Modelling New'!P:P),"")</f>
        <v>4.7</v>
      </c>
      <c r="AD84" s="233">
        <f>IFERROR(_xlfn.XLOOKUP($D84,'Modelling New'!$D:$D,'Modelling New'!T:T)*1000,"")</f>
        <v>346138.02873548196</v>
      </c>
      <c r="AE84" s="243">
        <f>IFERROR(_xlfn.XLOOKUP($D84,'Modelling New'!$D:$D,'Modelling New'!$O:$O),"")</f>
        <v>0.83879714228537272</v>
      </c>
      <c r="AF84" s="243">
        <f>IFERROR(_xlfn.XLOOKUP($D84,'Modelling New'!$D:$D,'Modelling New'!$W:$W),"")</f>
        <v>0.16426444036421886</v>
      </c>
      <c r="AG84" s="243">
        <f>IFERROR(_xlfn.XLOOKUP($D84,'Modelling New'!$D:$D,'Modelling New'!$AE:$AE),"")</f>
        <v>0.995</v>
      </c>
      <c r="AH84" s="243">
        <f>IFERROR(_xlfn.XLOOKUP($D84,'Modelling New'!$D:$D,'Modelling New'!$AF:$AF),"")</f>
        <v>0.995</v>
      </c>
      <c r="AI84" s="234"/>
      <c r="AJ84" s="234"/>
      <c r="AK84" s="234"/>
      <c r="AL84" s="234"/>
      <c r="AM84" s="234"/>
      <c r="AN84" s="244"/>
      <c r="AO84" s="241"/>
      <c r="AP84" s="241"/>
      <c r="AQ84" s="241"/>
      <c r="AR84" s="233">
        <f>_xlfn.XLOOKUP($D84,'Modelling New'!$D:$D,'Modelling New'!$N:$N)</f>
        <v>87.8</v>
      </c>
      <c r="AS84" s="233">
        <f t="shared" si="13"/>
        <v>0</v>
      </c>
    </row>
    <row r="85" spans="1:45">
      <c r="A85" s="232">
        <f t="shared" si="14"/>
        <v>45922</v>
      </c>
      <c r="B85" s="233">
        <f>YEAR(Daily_KPI[[#This Row],[Date]])+IF(MONTH(Daily_KPI[[#This Row],[Date]])&gt;=4,1,0)</f>
        <v>2026</v>
      </c>
      <c r="C85" s="234">
        <f>YEAR(Daily_KPI[[#This Row],[Date]])</f>
        <v>2025</v>
      </c>
      <c r="D85" s="235">
        <f>Daily_KPI[[#This Row],[Date]]-DAY(Daily_KPI[[#This Row],[Date]])+1</f>
        <v>45901</v>
      </c>
      <c r="E85" s="234">
        <f t="shared" si="10"/>
        <v>30</v>
      </c>
      <c r="F85" s="236">
        <f>IFERROR(_xlfn.XLOOKUP($A85,Input_Raw!$A:$A,Input_Raw!$BM:$BM),"")</f>
        <v>0</v>
      </c>
      <c r="G85" s="237">
        <f>IFERROR(_xlfn.XLOOKUP($A85,Input_Raw!$A:$A,Input_Raw!$AN:$AN),"")</f>
        <v>0</v>
      </c>
      <c r="H85" s="237"/>
      <c r="I85" s="237">
        <f>IFERROR(_xlfn.XLOOKUP($A85,Input_Raw!$A:$A,Input_Raw!$AM:$AM),"")</f>
        <v>0</v>
      </c>
      <c r="J85" s="237"/>
      <c r="K85" s="237">
        <f>IFERROR(_xlfn.XLOOKUP($A85,Input_Raw!$A:$A,Input_Raw!AO:AO),"")</f>
        <v>0</v>
      </c>
      <c r="L85" s="237">
        <f>IFERROR(_xlfn.XLOOKUP($A85,Input_Raw!$A:$A,Input_Raw!AP:AP),"")</f>
        <v>0</v>
      </c>
      <c r="M85" s="237">
        <f>IFERROR(_xlfn.XLOOKUP($A85,Input_Raw!$A:$A,Input_Raw!AS:AS),"")</f>
        <v>0</v>
      </c>
      <c r="N85" s="237">
        <f>IFERROR(_xlfn.XLOOKUP($A85,Input_Raw!$A:$A,Input_Raw!AT:AT),"")</f>
        <v>0</v>
      </c>
      <c r="O85" s="238" t="str">
        <f>IFERROR(1-(SUMIF(Plant_BD!$B:$B,$A85,Plant_BD!$AL:$AL)/($AA85+SUMIF(Plant_BD!$B:$B,$A85,Plant_BD!$AL:$AL))),"")</f>
        <v/>
      </c>
      <c r="P85" s="238"/>
      <c r="Q85" s="239"/>
      <c r="R85" s="238" t="str">
        <f>IFERROR(1-(SUMIF(Grid_BD!$B:$B,$A85,Grid_BD!$V:$V)/($AA85+SUMIF(Grid_BD!$B:$B,$A85,Grid_BD!$V:$V))),"")</f>
        <v/>
      </c>
      <c r="S85" s="234"/>
      <c r="T85" s="239"/>
      <c r="U85" s="240" t="str">
        <f t="shared" si="11"/>
        <v/>
      </c>
      <c r="V85" s="240" t="str">
        <f>IFERROR(_xlfn.XLOOKUP($A85,Input_Raw!$A:$A,Input_Raw!$BS:$BS),"")</f>
        <v/>
      </c>
      <c r="W85" s="241">
        <f t="shared" si="12"/>
        <v>0</v>
      </c>
      <c r="X85" s="233">
        <f>IFERROR(_xlfn.XLOOKUP($A85,Input_Raw!$A:$A,Input_Raw!$AW:$AW),"")</f>
        <v>0</v>
      </c>
      <c r="Y85" s="233">
        <f>IFERROR(_xlfn.XLOOKUP($A85,Input_Raw!$A:$A,Input_Raw!$BN:$BN),"")</f>
        <v>0</v>
      </c>
      <c r="Z85" s="233"/>
      <c r="AA85" s="233">
        <f>IFERROR(_xlfn.XLOOKUP($A85,Input_Raw!$A:$A,Input_Raw!$BO:$BO),"")</f>
        <v>0</v>
      </c>
      <c r="AB85" s="233">
        <f>IFERROR(_xlfn.XLOOKUP($A85,Input_Raw!$A:$A,Input_Raw!$BP:$BP),"")</f>
        <v>0</v>
      </c>
      <c r="AC85" s="242">
        <f>IFERROR(_xlfn.XLOOKUP($D85,'Modelling New'!$D:$D,'Modelling New'!P:P),"")</f>
        <v>4.7</v>
      </c>
      <c r="AD85" s="233">
        <f>IFERROR(_xlfn.XLOOKUP($D85,'Modelling New'!$D:$D,'Modelling New'!T:T)*1000,"")</f>
        <v>346138.02873548196</v>
      </c>
      <c r="AE85" s="243">
        <f>IFERROR(_xlfn.XLOOKUP($D85,'Modelling New'!$D:$D,'Modelling New'!$O:$O),"")</f>
        <v>0.83879714228537272</v>
      </c>
      <c r="AF85" s="243">
        <f>IFERROR(_xlfn.XLOOKUP($D85,'Modelling New'!$D:$D,'Modelling New'!$W:$W),"")</f>
        <v>0.16426444036421886</v>
      </c>
      <c r="AG85" s="243">
        <f>IFERROR(_xlfn.XLOOKUP($D85,'Modelling New'!$D:$D,'Modelling New'!$AE:$AE),"")</f>
        <v>0.995</v>
      </c>
      <c r="AH85" s="243">
        <f>IFERROR(_xlfn.XLOOKUP($D85,'Modelling New'!$D:$D,'Modelling New'!$AF:$AF),"")</f>
        <v>0.995</v>
      </c>
      <c r="AI85" s="234"/>
      <c r="AJ85" s="234"/>
      <c r="AK85" s="234"/>
      <c r="AL85" s="234"/>
      <c r="AM85" s="234"/>
      <c r="AN85" s="244"/>
      <c r="AO85" s="241"/>
      <c r="AP85" s="241"/>
      <c r="AQ85" s="241"/>
      <c r="AR85" s="233">
        <f>_xlfn.XLOOKUP($D85,'Modelling New'!$D:$D,'Modelling New'!$N:$N)</f>
        <v>87.8</v>
      </c>
      <c r="AS85" s="233">
        <f t="shared" si="13"/>
        <v>0</v>
      </c>
    </row>
    <row r="86" spans="1:45">
      <c r="A86" s="232">
        <f t="shared" si="14"/>
        <v>45923</v>
      </c>
      <c r="B86" s="233">
        <f>YEAR(Daily_KPI[[#This Row],[Date]])+IF(MONTH(Daily_KPI[[#This Row],[Date]])&gt;=4,1,0)</f>
        <v>2026</v>
      </c>
      <c r="C86" s="234">
        <f>YEAR(Daily_KPI[[#This Row],[Date]])</f>
        <v>2025</v>
      </c>
      <c r="D86" s="235">
        <f>Daily_KPI[[#This Row],[Date]]-DAY(Daily_KPI[[#This Row],[Date]])+1</f>
        <v>45901</v>
      </c>
      <c r="E86" s="234">
        <f t="shared" si="10"/>
        <v>30</v>
      </c>
      <c r="F86" s="236">
        <f>IFERROR(_xlfn.XLOOKUP($A86,Input_Raw!$A:$A,Input_Raw!$BM:$BM),"")</f>
        <v>0</v>
      </c>
      <c r="G86" s="237">
        <f>IFERROR(_xlfn.XLOOKUP($A86,Input_Raw!$A:$A,Input_Raw!$AN:$AN),"")</f>
        <v>0</v>
      </c>
      <c r="H86" s="237"/>
      <c r="I86" s="237">
        <f>IFERROR(_xlfn.XLOOKUP($A86,Input_Raw!$A:$A,Input_Raw!$AM:$AM),"")</f>
        <v>0</v>
      </c>
      <c r="J86" s="237"/>
      <c r="K86" s="237">
        <f>IFERROR(_xlfn.XLOOKUP($A86,Input_Raw!$A:$A,Input_Raw!AO:AO),"")</f>
        <v>0</v>
      </c>
      <c r="L86" s="237">
        <f>IFERROR(_xlfn.XLOOKUP($A86,Input_Raw!$A:$A,Input_Raw!AP:AP),"")</f>
        <v>0</v>
      </c>
      <c r="M86" s="237">
        <f>IFERROR(_xlfn.XLOOKUP($A86,Input_Raw!$A:$A,Input_Raw!AS:AS),"")</f>
        <v>0</v>
      </c>
      <c r="N86" s="237">
        <f>IFERROR(_xlfn.XLOOKUP($A86,Input_Raw!$A:$A,Input_Raw!AT:AT),"")</f>
        <v>0</v>
      </c>
      <c r="O86" s="238" t="str">
        <f>IFERROR(1-(SUMIF(Plant_BD!$B:$B,$A86,Plant_BD!$AL:$AL)/($AA86+SUMIF(Plant_BD!$B:$B,$A86,Plant_BD!$AL:$AL))),"")</f>
        <v/>
      </c>
      <c r="P86" s="238"/>
      <c r="Q86" s="239"/>
      <c r="R86" s="238" t="str">
        <f>IFERROR(1-(SUMIF(Grid_BD!$B:$B,$A86,Grid_BD!$V:$V)/($AA86+SUMIF(Grid_BD!$B:$B,$A86,Grid_BD!$V:$V))),"")</f>
        <v/>
      </c>
      <c r="S86" s="234"/>
      <c r="T86" s="239"/>
      <c r="U86" s="240" t="str">
        <f t="shared" si="11"/>
        <v/>
      </c>
      <c r="V86" s="240" t="str">
        <f>IFERROR(_xlfn.XLOOKUP($A86,Input_Raw!$A:$A,Input_Raw!$BS:$BS),"")</f>
        <v/>
      </c>
      <c r="W86" s="241">
        <f t="shared" si="12"/>
        <v>0</v>
      </c>
      <c r="X86" s="233">
        <f>IFERROR(_xlfn.XLOOKUP($A86,Input_Raw!$A:$A,Input_Raw!$AW:$AW),"")</f>
        <v>0</v>
      </c>
      <c r="Y86" s="233">
        <f>IFERROR(_xlfn.XLOOKUP($A86,Input_Raw!$A:$A,Input_Raw!$BN:$BN),"")</f>
        <v>0</v>
      </c>
      <c r="Z86" s="233"/>
      <c r="AA86" s="233">
        <f>IFERROR(_xlfn.XLOOKUP($A86,Input_Raw!$A:$A,Input_Raw!$BO:$BO),"")</f>
        <v>0</v>
      </c>
      <c r="AB86" s="233">
        <f>IFERROR(_xlfn.XLOOKUP($A86,Input_Raw!$A:$A,Input_Raw!$BP:$BP),"")</f>
        <v>0</v>
      </c>
      <c r="AC86" s="242">
        <f>IFERROR(_xlfn.XLOOKUP($D86,'Modelling New'!$D:$D,'Modelling New'!P:P),"")</f>
        <v>4.7</v>
      </c>
      <c r="AD86" s="233">
        <f>IFERROR(_xlfn.XLOOKUP($D86,'Modelling New'!$D:$D,'Modelling New'!T:T)*1000,"")</f>
        <v>346138.02873548196</v>
      </c>
      <c r="AE86" s="243">
        <f>IFERROR(_xlfn.XLOOKUP($D86,'Modelling New'!$D:$D,'Modelling New'!$O:$O),"")</f>
        <v>0.83879714228537272</v>
      </c>
      <c r="AF86" s="243">
        <f>IFERROR(_xlfn.XLOOKUP($D86,'Modelling New'!$D:$D,'Modelling New'!$W:$W),"")</f>
        <v>0.16426444036421886</v>
      </c>
      <c r="AG86" s="243">
        <f>IFERROR(_xlfn.XLOOKUP($D86,'Modelling New'!$D:$D,'Modelling New'!$AE:$AE),"")</f>
        <v>0.995</v>
      </c>
      <c r="AH86" s="243">
        <f>IFERROR(_xlfn.XLOOKUP($D86,'Modelling New'!$D:$D,'Modelling New'!$AF:$AF),"")</f>
        <v>0.995</v>
      </c>
      <c r="AI86" s="234"/>
      <c r="AJ86" s="234"/>
      <c r="AK86" s="234"/>
      <c r="AL86" s="234"/>
      <c r="AM86" s="234"/>
      <c r="AN86" s="244"/>
      <c r="AO86" s="241"/>
      <c r="AP86" s="241"/>
      <c r="AQ86" s="241"/>
      <c r="AR86" s="233">
        <f>_xlfn.XLOOKUP($D86,'Modelling New'!$D:$D,'Modelling New'!$N:$N)</f>
        <v>87.8</v>
      </c>
      <c r="AS86" s="233">
        <f t="shared" si="13"/>
        <v>0</v>
      </c>
    </row>
    <row r="87" spans="1:45">
      <c r="A87" s="232">
        <f t="shared" si="14"/>
        <v>45924</v>
      </c>
      <c r="B87" s="233">
        <f>YEAR(Daily_KPI[[#This Row],[Date]])+IF(MONTH(Daily_KPI[[#This Row],[Date]])&gt;=4,1,0)</f>
        <v>2026</v>
      </c>
      <c r="C87" s="234">
        <f>YEAR(Daily_KPI[[#This Row],[Date]])</f>
        <v>2025</v>
      </c>
      <c r="D87" s="235">
        <f>Daily_KPI[[#This Row],[Date]]-DAY(Daily_KPI[[#This Row],[Date]])+1</f>
        <v>45901</v>
      </c>
      <c r="E87" s="234">
        <f t="shared" si="10"/>
        <v>30</v>
      </c>
      <c r="F87" s="236">
        <f>IFERROR(_xlfn.XLOOKUP($A87,Input_Raw!$A:$A,Input_Raw!$BM:$BM),"")</f>
        <v>0</v>
      </c>
      <c r="G87" s="237">
        <f>IFERROR(_xlfn.XLOOKUP($A87,Input_Raw!$A:$A,Input_Raw!$AN:$AN),"")</f>
        <v>0</v>
      </c>
      <c r="H87" s="237"/>
      <c r="I87" s="237">
        <f>IFERROR(_xlfn.XLOOKUP($A87,Input_Raw!$A:$A,Input_Raw!$AM:$AM),"")</f>
        <v>0</v>
      </c>
      <c r="J87" s="237"/>
      <c r="K87" s="237">
        <f>IFERROR(_xlfn.XLOOKUP($A87,Input_Raw!$A:$A,Input_Raw!AO:AO),"")</f>
        <v>0</v>
      </c>
      <c r="L87" s="237">
        <f>IFERROR(_xlfn.XLOOKUP($A87,Input_Raw!$A:$A,Input_Raw!AP:AP),"")</f>
        <v>0</v>
      </c>
      <c r="M87" s="237">
        <f>IFERROR(_xlfn.XLOOKUP($A87,Input_Raw!$A:$A,Input_Raw!AS:AS),"")</f>
        <v>0</v>
      </c>
      <c r="N87" s="237">
        <f>IFERROR(_xlfn.XLOOKUP($A87,Input_Raw!$A:$A,Input_Raw!AT:AT),"")</f>
        <v>0</v>
      </c>
      <c r="O87" s="238" t="str">
        <f>IFERROR(1-(SUMIF(Plant_BD!$B:$B,$A87,Plant_BD!$AL:$AL)/($AA87+SUMIF(Plant_BD!$B:$B,$A87,Plant_BD!$AL:$AL))),"")</f>
        <v/>
      </c>
      <c r="P87" s="238"/>
      <c r="Q87" s="239"/>
      <c r="R87" s="238" t="str">
        <f>IFERROR(1-(SUMIF(Grid_BD!$B:$B,$A87,Grid_BD!$V:$V)/($AA87+SUMIF(Grid_BD!$B:$B,$A87,Grid_BD!$V:$V))),"")</f>
        <v/>
      </c>
      <c r="S87" s="234"/>
      <c r="T87" s="239"/>
      <c r="U87" s="240" t="str">
        <f t="shared" si="11"/>
        <v/>
      </c>
      <c r="V87" s="240" t="str">
        <f>IFERROR(_xlfn.XLOOKUP($A87,Input_Raw!$A:$A,Input_Raw!$BS:$BS),"")</f>
        <v/>
      </c>
      <c r="W87" s="241">
        <f t="shared" si="12"/>
        <v>0</v>
      </c>
      <c r="X87" s="233">
        <f>IFERROR(_xlfn.XLOOKUP($A87,Input_Raw!$A:$A,Input_Raw!$AW:$AW),"")</f>
        <v>0</v>
      </c>
      <c r="Y87" s="233">
        <f>IFERROR(_xlfn.XLOOKUP($A87,Input_Raw!$A:$A,Input_Raw!$BN:$BN),"")</f>
        <v>0</v>
      </c>
      <c r="Z87" s="233"/>
      <c r="AA87" s="233">
        <f>IFERROR(_xlfn.XLOOKUP($A87,Input_Raw!$A:$A,Input_Raw!$BO:$BO),"")</f>
        <v>0</v>
      </c>
      <c r="AB87" s="233">
        <f>IFERROR(_xlfn.XLOOKUP($A87,Input_Raw!$A:$A,Input_Raw!$BP:$BP),"")</f>
        <v>0</v>
      </c>
      <c r="AC87" s="242">
        <f>IFERROR(_xlfn.XLOOKUP($D87,'Modelling New'!$D:$D,'Modelling New'!P:P),"")</f>
        <v>4.7</v>
      </c>
      <c r="AD87" s="233">
        <f>IFERROR(_xlfn.XLOOKUP($D87,'Modelling New'!$D:$D,'Modelling New'!T:T)*1000,"")</f>
        <v>346138.02873548196</v>
      </c>
      <c r="AE87" s="243">
        <f>IFERROR(_xlfn.XLOOKUP($D87,'Modelling New'!$D:$D,'Modelling New'!$O:$O),"")</f>
        <v>0.83879714228537272</v>
      </c>
      <c r="AF87" s="243">
        <f>IFERROR(_xlfn.XLOOKUP($D87,'Modelling New'!$D:$D,'Modelling New'!$W:$W),"")</f>
        <v>0.16426444036421886</v>
      </c>
      <c r="AG87" s="243">
        <f>IFERROR(_xlfn.XLOOKUP($D87,'Modelling New'!$D:$D,'Modelling New'!$AE:$AE),"")</f>
        <v>0.995</v>
      </c>
      <c r="AH87" s="243">
        <f>IFERROR(_xlfn.XLOOKUP($D87,'Modelling New'!$D:$D,'Modelling New'!$AF:$AF),"")</f>
        <v>0.995</v>
      </c>
      <c r="AI87" s="234"/>
      <c r="AJ87" s="234"/>
      <c r="AK87" s="234"/>
      <c r="AL87" s="234"/>
      <c r="AM87" s="234"/>
      <c r="AN87" s="244"/>
      <c r="AO87" s="241"/>
      <c r="AP87" s="241"/>
      <c r="AQ87" s="241"/>
      <c r="AR87" s="233">
        <f>_xlfn.XLOOKUP($D87,'Modelling New'!$D:$D,'Modelling New'!$N:$N)</f>
        <v>87.8</v>
      </c>
      <c r="AS87" s="233">
        <f t="shared" si="13"/>
        <v>0</v>
      </c>
    </row>
    <row r="88" spans="1:45">
      <c r="A88" s="232">
        <f t="shared" si="14"/>
        <v>45925</v>
      </c>
      <c r="B88" s="233">
        <f>YEAR(Daily_KPI[[#This Row],[Date]])+IF(MONTH(Daily_KPI[[#This Row],[Date]])&gt;=4,1,0)</f>
        <v>2026</v>
      </c>
      <c r="C88" s="234">
        <f>YEAR(Daily_KPI[[#This Row],[Date]])</f>
        <v>2025</v>
      </c>
      <c r="D88" s="235">
        <f>Daily_KPI[[#This Row],[Date]]-DAY(Daily_KPI[[#This Row],[Date]])+1</f>
        <v>45901</v>
      </c>
      <c r="E88" s="234">
        <f t="shared" si="10"/>
        <v>30</v>
      </c>
      <c r="F88" s="236">
        <f>IFERROR(_xlfn.XLOOKUP($A88,Input_Raw!$A:$A,Input_Raw!$BM:$BM),"")</f>
        <v>0</v>
      </c>
      <c r="G88" s="237">
        <f>IFERROR(_xlfn.XLOOKUP($A88,Input_Raw!$A:$A,Input_Raw!$AN:$AN),"")</f>
        <v>0</v>
      </c>
      <c r="H88" s="237"/>
      <c r="I88" s="237">
        <f>IFERROR(_xlfn.XLOOKUP($A88,Input_Raw!$A:$A,Input_Raw!$AM:$AM),"")</f>
        <v>0</v>
      </c>
      <c r="J88" s="237"/>
      <c r="K88" s="237">
        <f>IFERROR(_xlfn.XLOOKUP($A88,Input_Raw!$A:$A,Input_Raw!AO:AO),"")</f>
        <v>0</v>
      </c>
      <c r="L88" s="237">
        <f>IFERROR(_xlfn.XLOOKUP($A88,Input_Raw!$A:$A,Input_Raw!AP:AP),"")</f>
        <v>0</v>
      </c>
      <c r="M88" s="237">
        <f>IFERROR(_xlfn.XLOOKUP($A88,Input_Raw!$A:$A,Input_Raw!AS:AS),"")</f>
        <v>0</v>
      </c>
      <c r="N88" s="237">
        <f>IFERROR(_xlfn.XLOOKUP($A88,Input_Raw!$A:$A,Input_Raw!AT:AT),"")</f>
        <v>0</v>
      </c>
      <c r="O88" s="238" t="str">
        <f>IFERROR(1-(SUMIF(Plant_BD!$B:$B,$A88,Plant_BD!$AL:$AL)/($AA88+SUMIF(Plant_BD!$B:$B,$A88,Plant_BD!$AL:$AL))),"")</f>
        <v/>
      </c>
      <c r="P88" s="238"/>
      <c r="Q88" s="239"/>
      <c r="R88" s="238" t="str">
        <f>IFERROR(1-(SUMIF(Grid_BD!$B:$B,$A88,Grid_BD!$V:$V)/($AA88+SUMIF(Grid_BD!$B:$B,$A88,Grid_BD!$V:$V))),"")</f>
        <v/>
      </c>
      <c r="S88" s="234"/>
      <c r="T88" s="239"/>
      <c r="U88" s="240" t="str">
        <f t="shared" si="11"/>
        <v/>
      </c>
      <c r="V88" s="240" t="str">
        <f>IFERROR(_xlfn.XLOOKUP($A88,Input_Raw!$A:$A,Input_Raw!$BS:$BS),"")</f>
        <v/>
      </c>
      <c r="W88" s="241">
        <f t="shared" si="12"/>
        <v>0</v>
      </c>
      <c r="X88" s="233">
        <f>IFERROR(_xlfn.XLOOKUP($A88,Input_Raw!$A:$A,Input_Raw!$AW:$AW),"")</f>
        <v>0</v>
      </c>
      <c r="Y88" s="233">
        <f>IFERROR(_xlfn.XLOOKUP($A88,Input_Raw!$A:$A,Input_Raw!$BN:$BN),"")</f>
        <v>0</v>
      </c>
      <c r="Z88" s="233"/>
      <c r="AA88" s="233">
        <f>IFERROR(_xlfn.XLOOKUP($A88,Input_Raw!$A:$A,Input_Raw!$BO:$BO),"")</f>
        <v>0</v>
      </c>
      <c r="AB88" s="233">
        <f>IFERROR(_xlfn.XLOOKUP($A88,Input_Raw!$A:$A,Input_Raw!$BP:$BP),"")</f>
        <v>0</v>
      </c>
      <c r="AC88" s="242">
        <f>IFERROR(_xlfn.XLOOKUP($D88,'Modelling New'!$D:$D,'Modelling New'!P:P),"")</f>
        <v>4.7</v>
      </c>
      <c r="AD88" s="233">
        <f>IFERROR(_xlfn.XLOOKUP($D88,'Modelling New'!$D:$D,'Modelling New'!T:T)*1000,"")</f>
        <v>346138.02873548196</v>
      </c>
      <c r="AE88" s="243">
        <f>IFERROR(_xlfn.XLOOKUP($D88,'Modelling New'!$D:$D,'Modelling New'!$O:$O),"")</f>
        <v>0.83879714228537272</v>
      </c>
      <c r="AF88" s="243">
        <f>IFERROR(_xlfn.XLOOKUP($D88,'Modelling New'!$D:$D,'Modelling New'!$W:$W),"")</f>
        <v>0.16426444036421886</v>
      </c>
      <c r="AG88" s="243">
        <f>IFERROR(_xlfn.XLOOKUP($D88,'Modelling New'!$D:$D,'Modelling New'!$AE:$AE),"")</f>
        <v>0.995</v>
      </c>
      <c r="AH88" s="243">
        <f>IFERROR(_xlfn.XLOOKUP($D88,'Modelling New'!$D:$D,'Modelling New'!$AF:$AF),"")</f>
        <v>0.995</v>
      </c>
      <c r="AI88" s="234"/>
      <c r="AJ88" s="234"/>
      <c r="AK88" s="234"/>
      <c r="AL88" s="234"/>
      <c r="AM88" s="234"/>
      <c r="AN88" s="244"/>
      <c r="AO88" s="241"/>
      <c r="AP88" s="241"/>
      <c r="AQ88" s="241"/>
      <c r="AR88" s="233">
        <f>_xlfn.XLOOKUP($D88,'Modelling New'!$D:$D,'Modelling New'!$N:$N)</f>
        <v>87.8</v>
      </c>
      <c r="AS88" s="233">
        <f t="shared" si="13"/>
        <v>0</v>
      </c>
    </row>
    <row r="89" spans="1:45">
      <c r="A89" s="232">
        <f t="shared" si="14"/>
        <v>45926</v>
      </c>
      <c r="B89" s="233">
        <f>YEAR(Daily_KPI[[#This Row],[Date]])+IF(MONTH(Daily_KPI[[#This Row],[Date]])&gt;=4,1,0)</f>
        <v>2026</v>
      </c>
      <c r="C89" s="234">
        <f>YEAR(Daily_KPI[[#This Row],[Date]])</f>
        <v>2025</v>
      </c>
      <c r="D89" s="235">
        <f>Daily_KPI[[#This Row],[Date]]-DAY(Daily_KPI[[#This Row],[Date]])+1</f>
        <v>45901</v>
      </c>
      <c r="E89" s="234">
        <f t="shared" si="10"/>
        <v>30</v>
      </c>
      <c r="F89" s="236">
        <f>IFERROR(_xlfn.XLOOKUP($A89,Input_Raw!$A:$A,Input_Raw!$BM:$BM),"")</f>
        <v>0</v>
      </c>
      <c r="G89" s="237">
        <f>IFERROR(_xlfn.XLOOKUP($A89,Input_Raw!$A:$A,Input_Raw!$AN:$AN),"")</f>
        <v>0</v>
      </c>
      <c r="H89" s="237"/>
      <c r="I89" s="237">
        <f>IFERROR(_xlfn.XLOOKUP($A89,Input_Raw!$A:$A,Input_Raw!$AM:$AM),"")</f>
        <v>0</v>
      </c>
      <c r="J89" s="237"/>
      <c r="K89" s="237">
        <f>IFERROR(_xlfn.XLOOKUP($A89,Input_Raw!$A:$A,Input_Raw!AO:AO),"")</f>
        <v>0</v>
      </c>
      <c r="L89" s="237">
        <f>IFERROR(_xlfn.XLOOKUP($A89,Input_Raw!$A:$A,Input_Raw!AP:AP),"")</f>
        <v>0</v>
      </c>
      <c r="M89" s="237">
        <f>IFERROR(_xlfn.XLOOKUP($A89,Input_Raw!$A:$A,Input_Raw!AS:AS),"")</f>
        <v>0</v>
      </c>
      <c r="N89" s="237">
        <f>IFERROR(_xlfn.XLOOKUP($A89,Input_Raw!$A:$A,Input_Raw!AT:AT),"")</f>
        <v>0</v>
      </c>
      <c r="O89" s="238" t="str">
        <f>IFERROR(1-(SUMIF(Plant_BD!$B:$B,$A89,Plant_BD!$AL:$AL)/($AA89+SUMIF(Plant_BD!$B:$B,$A89,Plant_BD!$AL:$AL))),"")</f>
        <v/>
      </c>
      <c r="P89" s="238"/>
      <c r="Q89" s="239"/>
      <c r="R89" s="238" t="str">
        <f>IFERROR(1-(SUMIF(Grid_BD!$B:$B,$A89,Grid_BD!$V:$V)/($AA89+SUMIF(Grid_BD!$B:$B,$A89,Grid_BD!$V:$V))),"")</f>
        <v/>
      </c>
      <c r="S89" s="234"/>
      <c r="T89" s="239"/>
      <c r="U89" s="240" t="str">
        <f t="shared" si="11"/>
        <v/>
      </c>
      <c r="V89" s="240" t="str">
        <f>IFERROR(_xlfn.XLOOKUP($A89,Input_Raw!$A:$A,Input_Raw!$BS:$BS),"")</f>
        <v/>
      </c>
      <c r="W89" s="241">
        <f t="shared" si="12"/>
        <v>0</v>
      </c>
      <c r="X89" s="233">
        <f>IFERROR(_xlfn.XLOOKUP($A89,Input_Raw!$A:$A,Input_Raw!$AW:$AW),"")</f>
        <v>0</v>
      </c>
      <c r="Y89" s="233">
        <f>IFERROR(_xlfn.XLOOKUP($A89,Input_Raw!$A:$A,Input_Raw!$BN:$BN),"")</f>
        <v>0</v>
      </c>
      <c r="Z89" s="233"/>
      <c r="AA89" s="233">
        <f>IFERROR(_xlfn.XLOOKUP($A89,Input_Raw!$A:$A,Input_Raw!$BO:$BO),"")</f>
        <v>0</v>
      </c>
      <c r="AB89" s="233">
        <f>IFERROR(_xlfn.XLOOKUP($A89,Input_Raw!$A:$A,Input_Raw!$BP:$BP),"")</f>
        <v>0</v>
      </c>
      <c r="AC89" s="242">
        <f>IFERROR(_xlfn.XLOOKUP($D89,'Modelling New'!$D:$D,'Modelling New'!P:P),"")</f>
        <v>4.7</v>
      </c>
      <c r="AD89" s="233">
        <f>IFERROR(_xlfn.XLOOKUP($D89,'Modelling New'!$D:$D,'Modelling New'!T:T)*1000,"")</f>
        <v>346138.02873548196</v>
      </c>
      <c r="AE89" s="243">
        <f>IFERROR(_xlfn.XLOOKUP($D89,'Modelling New'!$D:$D,'Modelling New'!$O:$O),"")</f>
        <v>0.83879714228537272</v>
      </c>
      <c r="AF89" s="243">
        <f>IFERROR(_xlfn.XLOOKUP($D89,'Modelling New'!$D:$D,'Modelling New'!$W:$W),"")</f>
        <v>0.16426444036421886</v>
      </c>
      <c r="AG89" s="243">
        <f>IFERROR(_xlfn.XLOOKUP($D89,'Modelling New'!$D:$D,'Modelling New'!$AE:$AE),"")</f>
        <v>0.995</v>
      </c>
      <c r="AH89" s="243">
        <f>IFERROR(_xlfn.XLOOKUP($D89,'Modelling New'!$D:$D,'Modelling New'!$AF:$AF),"")</f>
        <v>0.995</v>
      </c>
      <c r="AI89" s="234"/>
      <c r="AJ89" s="234"/>
      <c r="AK89" s="234"/>
      <c r="AL89" s="234"/>
      <c r="AM89" s="234"/>
      <c r="AN89" s="244"/>
      <c r="AO89" s="241"/>
      <c r="AP89" s="241"/>
      <c r="AQ89" s="241"/>
      <c r="AR89" s="233">
        <f>_xlfn.XLOOKUP($D89,'Modelling New'!$D:$D,'Modelling New'!$N:$N)</f>
        <v>87.8</v>
      </c>
      <c r="AS89" s="233">
        <f t="shared" si="13"/>
        <v>0</v>
      </c>
    </row>
    <row r="90" spans="1:45">
      <c r="A90" s="232">
        <f t="shared" si="14"/>
        <v>45927</v>
      </c>
      <c r="B90" s="233">
        <f>YEAR(Daily_KPI[[#This Row],[Date]])+IF(MONTH(Daily_KPI[[#This Row],[Date]])&gt;=4,1,0)</f>
        <v>2026</v>
      </c>
      <c r="C90" s="234">
        <f>YEAR(Daily_KPI[[#This Row],[Date]])</f>
        <v>2025</v>
      </c>
      <c r="D90" s="235">
        <f>Daily_KPI[[#This Row],[Date]]-DAY(Daily_KPI[[#This Row],[Date]])+1</f>
        <v>45901</v>
      </c>
      <c r="E90" s="234">
        <f t="shared" si="10"/>
        <v>30</v>
      </c>
      <c r="F90" s="236">
        <f>IFERROR(_xlfn.XLOOKUP($A90,Input_Raw!$A:$A,Input_Raw!$BM:$BM),"")</f>
        <v>0</v>
      </c>
      <c r="G90" s="237">
        <f>IFERROR(_xlfn.XLOOKUP($A90,Input_Raw!$A:$A,Input_Raw!$AN:$AN),"")</f>
        <v>0</v>
      </c>
      <c r="H90" s="237"/>
      <c r="I90" s="237">
        <f>IFERROR(_xlfn.XLOOKUP($A90,Input_Raw!$A:$A,Input_Raw!$AM:$AM),"")</f>
        <v>0</v>
      </c>
      <c r="J90" s="237"/>
      <c r="K90" s="237">
        <f>IFERROR(_xlfn.XLOOKUP($A90,Input_Raw!$A:$A,Input_Raw!AO:AO),"")</f>
        <v>0</v>
      </c>
      <c r="L90" s="237">
        <f>IFERROR(_xlfn.XLOOKUP($A90,Input_Raw!$A:$A,Input_Raw!AP:AP),"")</f>
        <v>0</v>
      </c>
      <c r="M90" s="237">
        <f>IFERROR(_xlfn.XLOOKUP($A90,Input_Raw!$A:$A,Input_Raw!AS:AS),"")</f>
        <v>0</v>
      </c>
      <c r="N90" s="237">
        <f>IFERROR(_xlfn.XLOOKUP($A90,Input_Raw!$A:$A,Input_Raw!AT:AT),"")</f>
        <v>0</v>
      </c>
      <c r="O90" s="238" t="str">
        <f>IFERROR(1-(SUMIF(Plant_BD!$B:$B,$A90,Plant_BD!$AL:$AL)/($AA90+SUMIF(Plant_BD!$B:$B,$A90,Plant_BD!$AL:$AL))),"")</f>
        <v/>
      </c>
      <c r="P90" s="238"/>
      <c r="Q90" s="239"/>
      <c r="R90" s="238" t="str">
        <f>IFERROR(1-(SUMIF(Grid_BD!$B:$B,$A90,Grid_BD!$V:$V)/($AA90+SUMIF(Grid_BD!$B:$B,$A90,Grid_BD!$V:$V))),"")</f>
        <v/>
      </c>
      <c r="S90" s="234"/>
      <c r="T90" s="239"/>
      <c r="U90" s="240" t="str">
        <f t="shared" si="11"/>
        <v/>
      </c>
      <c r="V90" s="240" t="str">
        <f>IFERROR(_xlfn.XLOOKUP($A90,Input_Raw!$A:$A,Input_Raw!$BS:$BS),"")</f>
        <v/>
      </c>
      <c r="W90" s="241">
        <f t="shared" si="12"/>
        <v>0</v>
      </c>
      <c r="X90" s="233">
        <f>IFERROR(_xlfn.XLOOKUP($A90,Input_Raw!$A:$A,Input_Raw!$AW:$AW),"")</f>
        <v>0</v>
      </c>
      <c r="Y90" s="233">
        <f>IFERROR(_xlfn.XLOOKUP($A90,Input_Raw!$A:$A,Input_Raw!$BN:$BN),"")</f>
        <v>0</v>
      </c>
      <c r="Z90" s="233"/>
      <c r="AA90" s="233">
        <f>IFERROR(_xlfn.XLOOKUP($A90,Input_Raw!$A:$A,Input_Raw!$BO:$BO),"")</f>
        <v>0</v>
      </c>
      <c r="AB90" s="233">
        <f>IFERROR(_xlfn.XLOOKUP($A90,Input_Raw!$A:$A,Input_Raw!$BP:$BP),"")</f>
        <v>0</v>
      </c>
      <c r="AC90" s="242">
        <f>IFERROR(_xlfn.XLOOKUP($D90,'Modelling New'!$D:$D,'Modelling New'!P:P),"")</f>
        <v>4.7</v>
      </c>
      <c r="AD90" s="233">
        <f>IFERROR(_xlfn.XLOOKUP($D90,'Modelling New'!$D:$D,'Modelling New'!T:T)*1000,"")</f>
        <v>346138.02873548196</v>
      </c>
      <c r="AE90" s="243">
        <f>IFERROR(_xlfn.XLOOKUP($D90,'Modelling New'!$D:$D,'Modelling New'!$O:$O),"")</f>
        <v>0.83879714228537272</v>
      </c>
      <c r="AF90" s="243">
        <f>IFERROR(_xlfn.XLOOKUP($D90,'Modelling New'!$D:$D,'Modelling New'!$W:$W),"")</f>
        <v>0.16426444036421886</v>
      </c>
      <c r="AG90" s="243">
        <f>IFERROR(_xlfn.XLOOKUP($D90,'Modelling New'!$D:$D,'Modelling New'!$AE:$AE),"")</f>
        <v>0.995</v>
      </c>
      <c r="AH90" s="243">
        <f>IFERROR(_xlfn.XLOOKUP($D90,'Modelling New'!$D:$D,'Modelling New'!$AF:$AF),"")</f>
        <v>0.995</v>
      </c>
      <c r="AI90" s="234"/>
      <c r="AJ90" s="234"/>
      <c r="AK90" s="234"/>
      <c r="AL90" s="234"/>
      <c r="AM90" s="234"/>
      <c r="AN90" s="244"/>
      <c r="AO90" s="241"/>
      <c r="AP90" s="241"/>
      <c r="AQ90" s="241"/>
      <c r="AR90" s="233">
        <f>_xlfn.XLOOKUP($D90,'Modelling New'!$D:$D,'Modelling New'!$N:$N)</f>
        <v>87.8</v>
      </c>
      <c r="AS90" s="233">
        <f t="shared" si="13"/>
        <v>0</v>
      </c>
    </row>
    <row r="91" spans="1:45">
      <c r="A91" s="232">
        <f t="shared" si="14"/>
        <v>45928</v>
      </c>
      <c r="B91" s="233">
        <f>YEAR(Daily_KPI[[#This Row],[Date]])+IF(MONTH(Daily_KPI[[#This Row],[Date]])&gt;=4,1,0)</f>
        <v>2026</v>
      </c>
      <c r="C91" s="234">
        <f>YEAR(Daily_KPI[[#This Row],[Date]])</f>
        <v>2025</v>
      </c>
      <c r="D91" s="235">
        <f>Daily_KPI[[#This Row],[Date]]-DAY(Daily_KPI[[#This Row],[Date]])+1</f>
        <v>45901</v>
      </c>
      <c r="E91" s="234">
        <f t="shared" si="10"/>
        <v>30</v>
      </c>
      <c r="F91" s="236">
        <f>IFERROR(_xlfn.XLOOKUP($A91,Input_Raw!$A:$A,Input_Raw!$BM:$BM),"")</f>
        <v>0</v>
      </c>
      <c r="G91" s="237">
        <f>IFERROR(_xlfn.XLOOKUP($A91,Input_Raw!$A:$A,Input_Raw!$AN:$AN),"")</f>
        <v>0</v>
      </c>
      <c r="H91" s="237"/>
      <c r="I91" s="237">
        <f>IFERROR(_xlfn.XLOOKUP($A91,Input_Raw!$A:$A,Input_Raw!$AM:$AM),"")</f>
        <v>0</v>
      </c>
      <c r="J91" s="237"/>
      <c r="K91" s="237">
        <f>IFERROR(_xlfn.XLOOKUP($A91,Input_Raw!$A:$A,Input_Raw!AO:AO),"")</f>
        <v>0</v>
      </c>
      <c r="L91" s="237">
        <f>IFERROR(_xlfn.XLOOKUP($A91,Input_Raw!$A:$A,Input_Raw!AP:AP),"")</f>
        <v>0</v>
      </c>
      <c r="M91" s="237">
        <f>IFERROR(_xlfn.XLOOKUP($A91,Input_Raw!$A:$A,Input_Raw!AS:AS),"")</f>
        <v>0</v>
      </c>
      <c r="N91" s="237">
        <f>IFERROR(_xlfn.XLOOKUP($A91,Input_Raw!$A:$A,Input_Raw!AT:AT),"")</f>
        <v>0</v>
      </c>
      <c r="O91" s="238" t="str">
        <f>IFERROR(1-(SUMIF(Plant_BD!$B:$B,$A91,Plant_BD!$AL:$AL)/($AA91+SUMIF(Plant_BD!$B:$B,$A91,Plant_BD!$AL:$AL))),"")</f>
        <v/>
      </c>
      <c r="P91" s="238"/>
      <c r="Q91" s="239"/>
      <c r="R91" s="238" t="str">
        <f>IFERROR(1-(SUMIF(Grid_BD!$B:$B,$A91,Grid_BD!$V:$V)/($AA91+SUMIF(Grid_BD!$B:$B,$A91,Grid_BD!$V:$V))),"")</f>
        <v/>
      </c>
      <c r="S91" s="234"/>
      <c r="T91" s="239"/>
      <c r="U91" s="240" t="str">
        <f t="shared" si="11"/>
        <v/>
      </c>
      <c r="V91" s="240" t="str">
        <f>IFERROR(_xlfn.XLOOKUP($A91,Input_Raw!$A:$A,Input_Raw!$BS:$BS),"")</f>
        <v/>
      </c>
      <c r="W91" s="241">
        <f t="shared" si="12"/>
        <v>0</v>
      </c>
      <c r="X91" s="233">
        <f>IFERROR(_xlfn.XLOOKUP($A91,Input_Raw!$A:$A,Input_Raw!$AW:$AW),"")</f>
        <v>0</v>
      </c>
      <c r="Y91" s="233">
        <f>IFERROR(_xlfn.XLOOKUP($A91,Input_Raw!$A:$A,Input_Raw!$BN:$BN),"")</f>
        <v>0</v>
      </c>
      <c r="Z91" s="233"/>
      <c r="AA91" s="233">
        <f>IFERROR(_xlfn.XLOOKUP($A91,Input_Raw!$A:$A,Input_Raw!$BO:$BO),"")</f>
        <v>0</v>
      </c>
      <c r="AB91" s="233">
        <f>IFERROR(_xlfn.XLOOKUP($A91,Input_Raw!$A:$A,Input_Raw!$BP:$BP),"")</f>
        <v>0</v>
      </c>
      <c r="AC91" s="242">
        <f>IFERROR(_xlfn.XLOOKUP($D91,'Modelling New'!$D:$D,'Modelling New'!P:P),"")</f>
        <v>4.7</v>
      </c>
      <c r="AD91" s="233">
        <f>IFERROR(_xlfn.XLOOKUP($D91,'Modelling New'!$D:$D,'Modelling New'!T:T)*1000,"")</f>
        <v>346138.02873548196</v>
      </c>
      <c r="AE91" s="243">
        <f>IFERROR(_xlfn.XLOOKUP($D91,'Modelling New'!$D:$D,'Modelling New'!$O:$O),"")</f>
        <v>0.83879714228537272</v>
      </c>
      <c r="AF91" s="243">
        <f>IFERROR(_xlfn.XLOOKUP($D91,'Modelling New'!$D:$D,'Modelling New'!$W:$W),"")</f>
        <v>0.16426444036421886</v>
      </c>
      <c r="AG91" s="243">
        <f>IFERROR(_xlfn.XLOOKUP($D91,'Modelling New'!$D:$D,'Modelling New'!$AE:$AE),"")</f>
        <v>0.995</v>
      </c>
      <c r="AH91" s="243">
        <f>IFERROR(_xlfn.XLOOKUP($D91,'Modelling New'!$D:$D,'Modelling New'!$AF:$AF),"")</f>
        <v>0.995</v>
      </c>
      <c r="AI91" s="234"/>
      <c r="AJ91" s="234"/>
      <c r="AK91" s="234"/>
      <c r="AL91" s="234"/>
      <c r="AM91" s="234"/>
      <c r="AN91" s="244"/>
      <c r="AO91" s="241"/>
      <c r="AP91" s="241"/>
      <c r="AQ91" s="241"/>
      <c r="AR91" s="233">
        <f>_xlfn.XLOOKUP($D91,'Modelling New'!$D:$D,'Modelling New'!$N:$N)</f>
        <v>87.8</v>
      </c>
      <c r="AS91" s="233">
        <f t="shared" si="13"/>
        <v>0</v>
      </c>
    </row>
    <row r="92" spans="1:45">
      <c r="A92" s="232">
        <f t="shared" si="14"/>
        <v>45929</v>
      </c>
      <c r="B92" s="233">
        <f>YEAR(Daily_KPI[[#This Row],[Date]])+IF(MONTH(Daily_KPI[[#This Row],[Date]])&gt;=4,1,0)</f>
        <v>2026</v>
      </c>
      <c r="C92" s="234">
        <f>YEAR(Daily_KPI[[#This Row],[Date]])</f>
        <v>2025</v>
      </c>
      <c r="D92" s="235">
        <f>Daily_KPI[[#This Row],[Date]]-DAY(Daily_KPI[[#This Row],[Date]])+1</f>
        <v>45901</v>
      </c>
      <c r="E92" s="234">
        <f t="shared" si="10"/>
        <v>30</v>
      </c>
      <c r="F92" s="236">
        <f>IFERROR(_xlfn.XLOOKUP($A92,Input_Raw!$A:$A,Input_Raw!$BM:$BM),"")</f>
        <v>0</v>
      </c>
      <c r="G92" s="237">
        <f>IFERROR(_xlfn.XLOOKUP($A92,Input_Raw!$A:$A,Input_Raw!$AN:$AN),"")</f>
        <v>0</v>
      </c>
      <c r="H92" s="237"/>
      <c r="I92" s="237">
        <f>IFERROR(_xlfn.XLOOKUP($A92,Input_Raw!$A:$A,Input_Raw!$AM:$AM),"")</f>
        <v>0</v>
      </c>
      <c r="J92" s="237"/>
      <c r="K92" s="237">
        <f>IFERROR(_xlfn.XLOOKUP($A92,Input_Raw!$A:$A,Input_Raw!AO:AO),"")</f>
        <v>0</v>
      </c>
      <c r="L92" s="237">
        <f>IFERROR(_xlfn.XLOOKUP($A92,Input_Raw!$A:$A,Input_Raw!AP:AP),"")</f>
        <v>0</v>
      </c>
      <c r="M92" s="237">
        <f>IFERROR(_xlfn.XLOOKUP($A92,Input_Raw!$A:$A,Input_Raw!AS:AS),"")</f>
        <v>0</v>
      </c>
      <c r="N92" s="237">
        <f>IFERROR(_xlfn.XLOOKUP($A92,Input_Raw!$A:$A,Input_Raw!AT:AT),"")</f>
        <v>0</v>
      </c>
      <c r="O92" s="238" t="str">
        <f>IFERROR(1-(SUMIF(Plant_BD!$B:$B,$A92,Plant_BD!$AL:$AL)/($AA92+SUMIF(Plant_BD!$B:$B,$A92,Plant_BD!$AL:$AL))),"")</f>
        <v/>
      </c>
      <c r="P92" s="238"/>
      <c r="Q92" s="239"/>
      <c r="R92" s="238" t="str">
        <f>IFERROR(1-(SUMIF(Grid_BD!$B:$B,$A92,Grid_BD!$V:$V)/($AA92+SUMIF(Grid_BD!$B:$B,$A92,Grid_BD!$V:$V))),"")</f>
        <v/>
      </c>
      <c r="S92" s="234"/>
      <c r="T92" s="239"/>
      <c r="U92" s="240" t="str">
        <f t="shared" si="11"/>
        <v/>
      </c>
      <c r="V92" s="240" t="str">
        <f>IFERROR(_xlfn.XLOOKUP($A92,Input_Raw!$A:$A,Input_Raw!$BS:$BS),"")</f>
        <v/>
      </c>
      <c r="W92" s="241">
        <f t="shared" si="12"/>
        <v>0</v>
      </c>
      <c r="X92" s="233">
        <f>IFERROR(_xlfn.XLOOKUP($A92,Input_Raw!$A:$A,Input_Raw!$AW:$AW),"")</f>
        <v>0</v>
      </c>
      <c r="Y92" s="233">
        <f>IFERROR(_xlfn.XLOOKUP($A92,Input_Raw!$A:$A,Input_Raw!$BN:$BN),"")</f>
        <v>0</v>
      </c>
      <c r="Z92" s="233"/>
      <c r="AA92" s="233">
        <f>IFERROR(_xlfn.XLOOKUP($A92,Input_Raw!$A:$A,Input_Raw!$BO:$BO),"")</f>
        <v>0</v>
      </c>
      <c r="AB92" s="233">
        <f>IFERROR(_xlfn.XLOOKUP($A92,Input_Raw!$A:$A,Input_Raw!$BP:$BP),"")</f>
        <v>0</v>
      </c>
      <c r="AC92" s="242">
        <f>IFERROR(_xlfn.XLOOKUP($D92,'Modelling New'!$D:$D,'Modelling New'!P:P),"")</f>
        <v>4.7</v>
      </c>
      <c r="AD92" s="233">
        <f>IFERROR(_xlfn.XLOOKUP($D92,'Modelling New'!$D:$D,'Modelling New'!T:T)*1000,"")</f>
        <v>346138.02873548196</v>
      </c>
      <c r="AE92" s="243">
        <f>IFERROR(_xlfn.XLOOKUP($D92,'Modelling New'!$D:$D,'Modelling New'!$O:$O),"")</f>
        <v>0.83879714228537272</v>
      </c>
      <c r="AF92" s="243">
        <f>IFERROR(_xlfn.XLOOKUP($D92,'Modelling New'!$D:$D,'Modelling New'!$W:$W),"")</f>
        <v>0.16426444036421886</v>
      </c>
      <c r="AG92" s="243">
        <f>IFERROR(_xlfn.XLOOKUP($D92,'Modelling New'!$D:$D,'Modelling New'!$AE:$AE),"")</f>
        <v>0.995</v>
      </c>
      <c r="AH92" s="243">
        <f>IFERROR(_xlfn.XLOOKUP($D92,'Modelling New'!$D:$D,'Modelling New'!$AF:$AF),"")</f>
        <v>0.995</v>
      </c>
      <c r="AI92" s="234"/>
      <c r="AJ92" s="234"/>
      <c r="AK92" s="234"/>
      <c r="AL92" s="234"/>
      <c r="AM92" s="234"/>
      <c r="AN92" s="244"/>
      <c r="AO92" s="241"/>
      <c r="AP92" s="241"/>
      <c r="AQ92" s="241"/>
      <c r="AR92" s="233">
        <f>_xlfn.XLOOKUP($D92,'Modelling New'!$D:$D,'Modelling New'!$N:$N)</f>
        <v>87.8</v>
      </c>
      <c r="AS92" s="233">
        <f t="shared" si="13"/>
        <v>0</v>
      </c>
    </row>
    <row r="93" spans="1:45">
      <c r="A93" s="232">
        <f t="shared" si="14"/>
        <v>45930</v>
      </c>
      <c r="B93" s="233">
        <f>YEAR(Daily_KPI[[#This Row],[Date]])+IF(MONTH(Daily_KPI[[#This Row],[Date]])&gt;=4,1,0)</f>
        <v>2026</v>
      </c>
      <c r="C93" s="234">
        <f>YEAR(Daily_KPI[[#This Row],[Date]])</f>
        <v>2025</v>
      </c>
      <c r="D93" s="235">
        <f>Daily_KPI[[#This Row],[Date]]-DAY(Daily_KPI[[#This Row],[Date]])+1</f>
        <v>45901</v>
      </c>
      <c r="E93" s="234">
        <f t="shared" si="10"/>
        <v>30</v>
      </c>
      <c r="F93" s="236">
        <f>IFERROR(_xlfn.XLOOKUP($A93,Input_Raw!$A:$A,Input_Raw!$BM:$BM),"")</f>
        <v>0</v>
      </c>
      <c r="G93" s="237">
        <f>IFERROR(_xlfn.XLOOKUP($A93,Input_Raw!$A:$A,Input_Raw!$AN:$AN),"")</f>
        <v>0</v>
      </c>
      <c r="H93" s="237"/>
      <c r="I93" s="237">
        <f>IFERROR(_xlfn.XLOOKUP($A93,Input_Raw!$A:$A,Input_Raw!$AM:$AM),"")</f>
        <v>0</v>
      </c>
      <c r="J93" s="237"/>
      <c r="K93" s="237">
        <f>IFERROR(_xlfn.XLOOKUP($A93,Input_Raw!$A:$A,Input_Raw!AO:AO),"")</f>
        <v>0</v>
      </c>
      <c r="L93" s="237">
        <f>IFERROR(_xlfn.XLOOKUP($A93,Input_Raw!$A:$A,Input_Raw!AP:AP),"")</f>
        <v>0</v>
      </c>
      <c r="M93" s="237">
        <f>IFERROR(_xlfn.XLOOKUP($A93,Input_Raw!$A:$A,Input_Raw!AS:AS),"")</f>
        <v>0</v>
      </c>
      <c r="N93" s="237">
        <f>IFERROR(_xlfn.XLOOKUP($A93,Input_Raw!$A:$A,Input_Raw!AT:AT),"")</f>
        <v>0</v>
      </c>
      <c r="O93" s="238" t="str">
        <f>IFERROR(1-(SUMIF(Plant_BD!$B:$B,$A93,Plant_BD!$AL:$AL)/($AA93+SUMIF(Plant_BD!$B:$B,$A93,Plant_BD!$AL:$AL))),"")</f>
        <v/>
      </c>
      <c r="P93" s="238"/>
      <c r="Q93" s="239"/>
      <c r="R93" s="238" t="str">
        <f>IFERROR(1-(SUMIF(Grid_BD!$B:$B,$A93,Grid_BD!$V:$V)/($AA93+SUMIF(Grid_BD!$B:$B,$A93,Grid_BD!$V:$V))),"")</f>
        <v/>
      </c>
      <c r="S93" s="234"/>
      <c r="T93" s="239"/>
      <c r="U93" s="240" t="str">
        <f t="shared" si="11"/>
        <v/>
      </c>
      <c r="V93" s="240" t="str">
        <f>IFERROR(_xlfn.XLOOKUP($A93,Input_Raw!$A:$A,Input_Raw!$BS:$BS),"")</f>
        <v/>
      </c>
      <c r="W93" s="241">
        <f t="shared" si="12"/>
        <v>0</v>
      </c>
      <c r="X93" s="233">
        <f>IFERROR(_xlfn.XLOOKUP($A93,Input_Raw!$A:$A,Input_Raw!$AW:$AW),"")</f>
        <v>0</v>
      </c>
      <c r="Y93" s="233">
        <f>IFERROR(_xlfn.XLOOKUP($A93,Input_Raw!$A:$A,Input_Raw!$BN:$BN),"")</f>
        <v>0</v>
      </c>
      <c r="Z93" s="233"/>
      <c r="AA93" s="233">
        <f>IFERROR(_xlfn.XLOOKUP($A93,Input_Raw!$A:$A,Input_Raw!$BO:$BO),"")</f>
        <v>0</v>
      </c>
      <c r="AB93" s="233">
        <f>IFERROR(_xlfn.XLOOKUP($A93,Input_Raw!$A:$A,Input_Raw!$BP:$BP),"")</f>
        <v>0</v>
      </c>
      <c r="AC93" s="242">
        <f>IFERROR(_xlfn.XLOOKUP($D93,'Modelling New'!$D:$D,'Modelling New'!P:P),"")</f>
        <v>4.7</v>
      </c>
      <c r="AD93" s="233">
        <f>IFERROR(_xlfn.XLOOKUP($D93,'Modelling New'!$D:$D,'Modelling New'!T:T)*1000,"")</f>
        <v>346138.02873548196</v>
      </c>
      <c r="AE93" s="243">
        <f>IFERROR(_xlfn.XLOOKUP($D93,'Modelling New'!$D:$D,'Modelling New'!$O:$O),"")</f>
        <v>0.83879714228537272</v>
      </c>
      <c r="AF93" s="243">
        <f>IFERROR(_xlfn.XLOOKUP($D93,'Modelling New'!$D:$D,'Modelling New'!$W:$W),"")</f>
        <v>0.16426444036421886</v>
      </c>
      <c r="AG93" s="243">
        <f>IFERROR(_xlfn.XLOOKUP($D93,'Modelling New'!$D:$D,'Modelling New'!$AE:$AE),"")</f>
        <v>0.995</v>
      </c>
      <c r="AH93" s="243">
        <f>IFERROR(_xlfn.XLOOKUP($D93,'Modelling New'!$D:$D,'Modelling New'!$AF:$AF),"")</f>
        <v>0.995</v>
      </c>
      <c r="AI93" s="234"/>
      <c r="AJ93" s="234"/>
      <c r="AK93" s="234"/>
      <c r="AL93" s="234"/>
      <c r="AM93" s="234"/>
      <c r="AN93" s="244"/>
      <c r="AO93" s="241"/>
      <c r="AP93" s="241"/>
      <c r="AQ93" s="241"/>
      <c r="AR93" s="233">
        <f>_xlfn.XLOOKUP($D93,'Modelling New'!$D:$D,'Modelling New'!$N:$N)</f>
        <v>87.8</v>
      </c>
      <c r="AS93" s="233">
        <f t="shared" si="13"/>
        <v>0</v>
      </c>
    </row>
    <row r="94" spans="1:45">
      <c r="A94" s="232">
        <f t="shared" si="14"/>
        <v>45931</v>
      </c>
      <c r="B94" s="233">
        <f>YEAR(Daily_KPI[[#This Row],[Date]])+IF(MONTH(Daily_KPI[[#This Row],[Date]])&gt;=4,1,0)</f>
        <v>2026</v>
      </c>
      <c r="C94" s="234">
        <f>YEAR(Daily_KPI[[#This Row],[Date]])</f>
        <v>2025</v>
      </c>
      <c r="D94" s="235">
        <f>Daily_KPI[[#This Row],[Date]]-DAY(Daily_KPI[[#This Row],[Date]])+1</f>
        <v>45931</v>
      </c>
      <c r="E94" s="234">
        <f t="shared" si="10"/>
        <v>31</v>
      </c>
      <c r="F94" s="236">
        <f>IFERROR(_xlfn.XLOOKUP($A94,Input_Raw!$A:$A,Input_Raw!$BM:$BM),"")</f>
        <v>0</v>
      </c>
      <c r="G94" s="237">
        <f>IFERROR(_xlfn.XLOOKUP($A94,Input_Raw!$A:$A,Input_Raw!$AN:$AN),"")</f>
        <v>0</v>
      </c>
      <c r="H94" s="237"/>
      <c r="I94" s="237">
        <f>IFERROR(_xlfn.XLOOKUP($A94,Input_Raw!$A:$A,Input_Raw!$AM:$AM),"")</f>
        <v>0</v>
      </c>
      <c r="J94" s="237"/>
      <c r="K94" s="237">
        <f>IFERROR(_xlfn.XLOOKUP($A94,Input_Raw!$A:$A,Input_Raw!AO:AO),"")</f>
        <v>0</v>
      </c>
      <c r="L94" s="237">
        <f>IFERROR(_xlfn.XLOOKUP($A94,Input_Raw!$A:$A,Input_Raw!AP:AP),"")</f>
        <v>0</v>
      </c>
      <c r="M94" s="237">
        <f>IFERROR(_xlfn.XLOOKUP($A94,Input_Raw!$A:$A,Input_Raw!AS:AS),"")</f>
        <v>0</v>
      </c>
      <c r="N94" s="237">
        <f>IFERROR(_xlfn.XLOOKUP($A94,Input_Raw!$A:$A,Input_Raw!AT:AT),"")</f>
        <v>0</v>
      </c>
      <c r="O94" s="238" t="str">
        <f>IFERROR(1-(SUMIF(Plant_BD!$B:$B,$A94,Plant_BD!$AL:$AL)/($AA94+SUMIF(Plant_BD!$B:$B,$A94,Plant_BD!$AL:$AL))),"")</f>
        <v/>
      </c>
      <c r="P94" s="238"/>
      <c r="Q94" s="239"/>
      <c r="R94" s="238" t="str">
        <f>IFERROR(1-(SUMIF(Grid_BD!$B:$B,$A94,Grid_BD!$V:$V)/($AA94+SUMIF(Grid_BD!$B:$B,$A94,Grid_BD!$V:$V))),"")</f>
        <v/>
      </c>
      <c r="S94" s="234"/>
      <c r="T94" s="239"/>
      <c r="U94" s="240" t="str">
        <f t="shared" si="11"/>
        <v/>
      </c>
      <c r="V94" s="240" t="str">
        <f>IFERROR(_xlfn.XLOOKUP($A94,Input_Raw!$A:$A,Input_Raw!$BS:$BS),"")</f>
        <v/>
      </c>
      <c r="W94" s="241">
        <f t="shared" si="12"/>
        <v>0</v>
      </c>
      <c r="X94" s="233">
        <f>IFERROR(_xlfn.XLOOKUP($A94,Input_Raw!$A:$A,Input_Raw!$AW:$AW),"")</f>
        <v>0</v>
      </c>
      <c r="Y94" s="233">
        <f>IFERROR(_xlfn.XLOOKUP($A94,Input_Raw!$A:$A,Input_Raw!$BN:$BN),"")</f>
        <v>0</v>
      </c>
      <c r="Z94" s="233"/>
      <c r="AA94" s="233">
        <f>IFERROR(_xlfn.XLOOKUP($A94,Input_Raw!$A:$A,Input_Raw!$BO:$BO),"")</f>
        <v>0</v>
      </c>
      <c r="AB94" s="233">
        <f>IFERROR(_xlfn.XLOOKUP($A94,Input_Raw!$A:$A,Input_Raw!$BP:$BP),"")</f>
        <v>0</v>
      </c>
      <c r="AC94" s="242">
        <f>IFERROR(_xlfn.XLOOKUP($D94,'Modelling New'!$D:$D,'Modelling New'!P:P),"")</f>
        <v>5.4903225806451612</v>
      </c>
      <c r="AD94" s="233">
        <f>IFERROR(_xlfn.XLOOKUP($D94,'Modelling New'!$D:$D,'Modelling New'!T:T)*1000,"")</f>
        <v>410306.41807343106</v>
      </c>
      <c r="AE94" s="243">
        <f>IFERROR(_xlfn.XLOOKUP($D94,'Modelling New'!$D:$D,'Modelling New'!$O:$O),"")</f>
        <v>0.85116926356747413</v>
      </c>
      <c r="AF94" s="243">
        <f>IFERROR(_xlfn.XLOOKUP($D94,'Modelling New'!$D:$D,'Modelling New'!$W:$W),"")</f>
        <v>0.19471640948815067</v>
      </c>
      <c r="AG94" s="243">
        <f>IFERROR(_xlfn.XLOOKUP($D94,'Modelling New'!$D:$D,'Modelling New'!$AE:$AE),"")</f>
        <v>0.995</v>
      </c>
      <c r="AH94" s="243">
        <f>IFERROR(_xlfn.XLOOKUP($D94,'Modelling New'!$D:$D,'Modelling New'!$AF:$AF),"")</f>
        <v>0.995</v>
      </c>
      <c r="AI94" s="234"/>
      <c r="AJ94" s="234"/>
      <c r="AK94" s="234"/>
      <c r="AL94" s="234"/>
      <c r="AM94" s="234"/>
      <c r="AN94" s="244"/>
      <c r="AO94" s="241"/>
      <c r="AP94" s="241"/>
      <c r="AQ94" s="241"/>
      <c r="AR94" s="233">
        <f>_xlfn.XLOOKUP($D94,'Modelling New'!$D:$D,'Modelling New'!$N:$N)</f>
        <v>87.8</v>
      </c>
      <c r="AS94" s="233">
        <f t="shared" si="13"/>
        <v>0</v>
      </c>
    </row>
    <row r="95" spans="1:45">
      <c r="A95" s="232">
        <f t="shared" si="14"/>
        <v>45932</v>
      </c>
      <c r="B95" s="233">
        <f>YEAR(Daily_KPI[[#This Row],[Date]])+IF(MONTH(Daily_KPI[[#This Row],[Date]])&gt;=4,1,0)</f>
        <v>2026</v>
      </c>
      <c r="C95" s="234">
        <f>YEAR(Daily_KPI[[#This Row],[Date]])</f>
        <v>2025</v>
      </c>
      <c r="D95" s="235">
        <f>Daily_KPI[[#This Row],[Date]]-DAY(Daily_KPI[[#This Row],[Date]])+1</f>
        <v>45931</v>
      </c>
      <c r="E95" s="234">
        <f t="shared" si="10"/>
        <v>31</v>
      </c>
      <c r="F95" s="236">
        <f>IFERROR(_xlfn.XLOOKUP($A95,Input_Raw!$A:$A,Input_Raw!$BM:$BM),"")</f>
        <v>0</v>
      </c>
      <c r="G95" s="237">
        <f>IFERROR(_xlfn.XLOOKUP($A95,Input_Raw!$A:$A,Input_Raw!$AN:$AN),"")</f>
        <v>0</v>
      </c>
      <c r="H95" s="237"/>
      <c r="I95" s="237">
        <f>IFERROR(_xlfn.XLOOKUP($A95,Input_Raw!$A:$A,Input_Raw!$AM:$AM),"")</f>
        <v>0</v>
      </c>
      <c r="J95" s="237"/>
      <c r="K95" s="237">
        <f>IFERROR(_xlfn.XLOOKUP($A95,Input_Raw!$A:$A,Input_Raw!AO:AO),"")</f>
        <v>0</v>
      </c>
      <c r="L95" s="237">
        <f>IFERROR(_xlfn.XLOOKUP($A95,Input_Raw!$A:$A,Input_Raw!AP:AP),"")</f>
        <v>0</v>
      </c>
      <c r="M95" s="237">
        <f>IFERROR(_xlfn.XLOOKUP($A95,Input_Raw!$A:$A,Input_Raw!AS:AS),"")</f>
        <v>0</v>
      </c>
      <c r="N95" s="237">
        <f>IFERROR(_xlfn.XLOOKUP($A95,Input_Raw!$A:$A,Input_Raw!AT:AT),"")</f>
        <v>0</v>
      </c>
      <c r="O95" s="238" t="str">
        <f>IFERROR(1-(SUMIF(Plant_BD!$B:$B,$A95,Plant_BD!$AL:$AL)/($AA95+SUMIF(Plant_BD!$B:$B,$A95,Plant_BD!$AL:$AL))),"")</f>
        <v/>
      </c>
      <c r="P95" s="238"/>
      <c r="Q95" s="239"/>
      <c r="R95" s="238" t="str">
        <f>IFERROR(1-(SUMIF(Grid_BD!$B:$B,$A95,Grid_BD!$V:$V)/($AA95+SUMIF(Grid_BD!$B:$B,$A95,Grid_BD!$V:$V))),"")</f>
        <v/>
      </c>
      <c r="S95" s="234"/>
      <c r="T95" s="239"/>
      <c r="U95" s="240" t="str">
        <f t="shared" si="11"/>
        <v/>
      </c>
      <c r="V95" s="240" t="str">
        <f>IFERROR(_xlfn.XLOOKUP($A95,Input_Raw!$A:$A,Input_Raw!$BS:$BS),"")</f>
        <v/>
      </c>
      <c r="W95" s="241">
        <f t="shared" si="12"/>
        <v>0</v>
      </c>
      <c r="X95" s="233">
        <f>IFERROR(_xlfn.XLOOKUP($A95,Input_Raw!$A:$A,Input_Raw!$AW:$AW),"")</f>
        <v>0</v>
      </c>
      <c r="Y95" s="233">
        <f>IFERROR(_xlfn.XLOOKUP($A95,Input_Raw!$A:$A,Input_Raw!$BN:$BN),"")</f>
        <v>0</v>
      </c>
      <c r="Z95" s="233"/>
      <c r="AA95" s="233">
        <f>IFERROR(_xlfn.XLOOKUP($A95,Input_Raw!$A:$A,Input_Raw!$BO:$BO),"")</f>
        <v>0</v>
      </c>
      <c r="AB95" s="233">
        <f>IFERROR(_xlfn.XLOOKUP($A95,Input_Raw!$A:$A,Input_Raw!$BP:$BP),"")</f>
        <v>0</v>
      </c>
      <c r="AC95" s="242">
        <f>IFERROR(_xlfn.XLOOKUP($D95,'Modelling New'!$D:$D,'Modelling New'!P:P),"")</f>
        <v>5.4903225806451612</v>
      </c>
      <c r="AD95" s="233">
        <f>IFERROR(_xlfn.XLOOKUP($D95,'Modelling New'!$D:$D,'Modelling New'!T:T)*1000,"")</f>
        <v>410306.41807343106</v>
      </c>
      <c r="AE95" s="243">
        <f>IFERROR(_xlfn.XLOOKUP($D95,'Modelling New'!$D:$D,'Modelling New'!$O:$O),"")</f>
        <v>0.85116926356747413</v>
      </c>
      <c r="AF95" s="243">
        <f>IFERROR(_xlfn.XLOOKUP($D95,'Modelling New'!$D:$D,'Modelling New'!$W:$W),"")</f>
        <v>0.19471640948815067</v>
      </c>
      <c r="AG95" s="243">
        <f>IFERROR(_xlfn.XLOOKUP($D95,'Modelling New'!$D:$D,'Modelling New'!$AE:$AE),"")</f>
        <v>0.995</v>
      </c>
      <c r="AH95" s="243">
        <f>IFERROR(_xlfn.XLOOKUP($D95,'Modelling New'!$D:$D,'Modelling New'!$AF:$AF),"")</f>
        <v>0.995</v>
      </c>
      <c r="AI95" s="234"/>
      <c r="AJ95" s="234"/>
      <c r="AK95" s="234"/>
      <c r="AL95" s="234"/>
      <c r="AM95" s="234"/>
      <c r="AN95" s="244"/>
      <c r="AO95" s="241"/>
      <c r="AP95" s="241"/>
      <c r="AQ95" s="241"/>
      <c r="AR95" s="233">
        <f>_xlfn.XLOOKUP($D95,'Modelling New'!$D:$D,'Modelling New'!$N:$N)</f>
        <v>87.8</v>
      </c>
      <c r="AS95" s="233">
        <f t="shared" si="13"/>
        <v>0</v>
      </c>
    </row>
    <row r="96" spans="1:45">
      <c r="A96" s="232">
        <f t="shared" si="14"/>
        <v>45933</v>
      </c>
      <c r="B96" s="233">
        <f>YEAR(Daily_KPI[[#This Row],[Date]])+IF(MONTH(Daily_KPI[[#This Row],[Date]])&gt;=4,1,0)</f>
        <v>2026</v>
      </c>
      <c r="C96" s="234">
        <f>YEAR(Daily_KPI[[#This Row],[Date]])</f>
        <v>2025</v>
      </c>
      <c r="D96" s="235">
        <f>Daily_KPI[[#This Row],[Date]]-DAY(Daily_KPI[[#This Row],[Date]])+1</f>
        <v>45931</v>
      </c>
      <c r="E96" s="234">
        <f t="shared" si="10"/>
        <v>31</v>
      </c>
      <c r="F96" s="236">
        <f>IFERROR(_xlfn.XLOOKUP($A96,Input_Raw!$A:$A,Input_Raw!$BM:$BM),"")</f>
        <v>0</v>
      </c>
      <c r="G96" s="237">
        <f>IFERROR(_xlfn.XLOOKUP($A96,Input_Raw!$A:$A,Input_Raw!$AN:$AN),"")</f>
        <v>0</v>
      </c>
      <c r="H96" s="237"/>
      <c r="I96" s="237">
        <f>IFERROR(_xlfn.XLOOKUP($A96,Input_Raw!$A:$A,Input_Raw!$AM:$AM),"")</f>
        <v>0</v>
      </c>
      <c r="J96" s="237"/>
      <c r="K96" s="237">
        <f>IFERROR(_xlfn.XLOOKUP($A96,Input_Raw!$A:$A,Input_Raw!AO:AO),"")</f>
        <v>0</v>
      </c>
      <c r="L96" s="237">
        <f>IFERROR(_xlfn.XLOOKUP($A96,Input_Raw!$A:$A,Input_Raw!AP:AP),"")</f>
        <v>0</v>
      </c>
      <c r="M96" s="237">
        <f>IFERROR(_xlfn.XLOOKUP($A96,Input_Raw!$A:$A,Input_Raw!AS:AS),"")</f>
        <v>0</v>
      </c>
      <c r="N96" s="237">
        <f>IFERROR(_xlfn.XLOOKUP($A96,Input_Raw!$A:$A,Input_Raw!AT:AT),"")</f>
        <v>0</v>
      </c>
      <c r="O96" s="238" t="str">
        <f>IFERROR(1-(SUMIF(Plant_BD!$B:$B,$A96,Plant_BD!$AL:$AL)/($AA96+SUMIF(Plant_BD!$B:$B,$A96,Plant_BD!$AL:$AL))),"")</f>
        <v/>
      </c>
      <c r="P96" s="238"/>
      <c r="Q96" s="239"/>
      <c r="R96" s="238" t="str">
        <f>IFERROR(1-(SUMIF(Grid_BD!$B:$B,$A96,Grid_BD!$V:$V)/($AA96+SUMIF(Grid_BD!$B:$B,$A96,Grid_BD!$V:$V))),"")</f>
        <v/>
      </c>
      <c r="S96" s="234"/>
      <c r="T96" s="239"/>
      <c r="U96" s="240" t="str">
        <f t="shared" si="11"/>
        <v/>
      </c>
      <c r="V96" s="240" t="str">
        <f>IFERROR(_xlfn.XLOOKUP($A96,Input_Raw!$A:$A,Input_Raw!$BS:$BS),"")</f>
        <v/>
      </c>
      <c r="W96" s="241">
        <f t="shared" si="12"/>
        <v>0</v>
      </c>
      <c r="X96" s="233">
        <f>IFERROR(_xlfn.XLOOKUP($A96,Input_Raw!$A:$A,Input_Raw!$AW:$AW),"")</f>
        <v>0</v>
      </c>
      <c r="Y96" s="233">
        <f>IFERROR(_xlfn.XLOOKUP($A96,Input_Raw!$A:$A,Input_Raw!$BN:$BN),"")</f>
        <v>0</v>
      </c>
      <c r="Z96" s="233"/>
      <c r="AA96" s="233">
        <f>IFERROR(_xlfn.XLOOKUP($A96,Input_Raw!$A:$A,Input_Raw!$BO:$BO),"")</f>
        <v>0</v>
      </c>
      <c r="AB96" s="233">
        <f>IFERROR(_xlfn.XLOOKUP($A96,Input_Raw!$A:$A,Input_Raw!$BP:$BP),"")</f>
        <v>0</v>
      </c>
      <c r="AC96" s="242">
        <f>IFERROR(_xlfn.XLOOKUP($D96,'Modelling New'!$D:$D,'Modelling New'!P:P),"")</f>
        <v>5.4903225806451612</v>
      </c>
      <c r="AD96" s="233">
        <f>IFERROR(_xlfn.XLOOKUP($D96,'Modelling New'!$D:$D,'Modelling New'!T:T)*1000,"")</f>
        <v>410306.41807343106</v>
      </c>
      <c r="AE96" s="243">
        <f>IFERROR(_xlfn.XLOOKUP($D96,'Modelling New'!$D:$D,'Modelling New'!$O:$O),"")</f>
        <v>0.85116926356747413</v>
      </c>
      <c r="AF96" s="243">
        <f>IFERROR(_xlfn.XLOOKUP($D96,'Modelling New'!$D:$D,'Modelling New'!$W:$W),"")</f>
        <v>0.19471640948815067</v>
      </c>
      <c r="AG96" s="243">
        <f>IFERROR(_xlfn.XLOOKUP($D96,'Modelling New'!$D:$D,'Modelling New'!$AE:$AE),"")</f>
        <v>0.995</v>
      </c>
      <c r="AH96" s="243">
        <f>IFERROR(_xlfn.XLOOKUP($D96,'Modelling New'!$D:$D,'Modelling New'!$AF:$AF),"")</f>
        <v>0.995</v>
      </c>
      <c r="AI96" s="234"/>
      <c r="AJ96" s="234"/>
      <c r="AK96" s="234"/>
      <c r="AL96" s="234"/>
      <c r="AM96" s="234"/>
      <c r="AN96" s="244"/>
      <c r="AO96" s="241"/>
      <c r="AP96" s="241"/>
      <c r="AQ96" s="241"/>
      <c r="AR96" s="233">
        <f>_xlfn.XLOOKUP($D96,'Modelling New'!$D:$D,'Modelling New'!$N:$N)</f>
        <v>87.8</v>
      </c>
      <c r="AS96" s="233">
        <f t="shared" si="13"/>
        <v>0</v>
      </c>
    </row>
    <row r="97" spans="1:45">
      <c r="A97" s="232">
        <f t="shared" si="14"/>
        <v>45934</v>
      </c>
      <c r="B97" s="233">
        <f>YEAR(Daily_KPI[[#This Row],[Date]])+IF(MONTH(Daily_KPI[[#This Row],[Date]])&gt;=4,1,0)</f>
        <v>2026</v>
      </c>
      <c r="C97" s="234">
        <f>YEAR(Daily_KPI[[#This Row],[Date]])</f>
        <v>2025</v>
      </c>
      <c r="D97" s="235">
        <f>Daily_KPI[[#This Row],[Date]]-DAY(Daily_KPI[[#This Row],[Date]])+1</f>
        <v>45931</v>
      </c>
      <c r="E97" s="234">
        <f t="shared" si="10"/>
        <v>31</v>
      </c>
      <c r="F97" s="236">
        <f>IFERROR(_xlfn.XLOOKUP($A97,Input_Raw!$A:$A,Input_Raw!$BM:$BM),"")</f>
        <v>0</v>
      </c>
      <c r="G97" s="237">
        <f>IFERROR(_xlfn.XLOOKUP($A97,Input_Raw!$A:$A,Input_Raw!$AN:$AN),"")</f>
        <v>0</v>
      </c>
      <c r="H97" s="237"/>
      <c r="I97" s="237">
        <f>IFERROR(_xlfn.XLOOKUP($A97,Input_Raw!$A:$A,Input_Raw!$AM:$AM),"")</f>
        <v>0</v>
      </c>
      <c r="J97" s="237"/>
      <c r="K97" s="237">
        <f>IFERROR(_xlfn.XLOOKUP($A97,Input_Raw!$A:$A,Input_Raw!AO:AO),"")</f>
        <v>0</v>
      </c>
      <c r="L97" s="237">
        <f>IFERROR(_xlfn.XLOOKUP($A97,Input_Raw!$A:$A,Input_Raw!AP:AP),"")</f>
        <v>0</v>
      </c>
      <c r="M97" s="237">
        <f>IFERROR(_xlfn.XLOOKUP($A97,Input_Raw!$A:$A,Input_Raw!AS:AS),"")</f>
        <v>0</v>
      </c>
      <c r="N97" s="237">
        <f>IFERROR(_xlfn.XLOOKUP($A97,Input_Raw!$A:$A,Input_Raw!AT:AT),"")</f>
        <v>0</v>
      </c>
      <c r="O97" s="238" t="str">
        <f>IFERROR(1-(SUMIF(Plant_BD!$B:$B,$A97,Plant_BD!$AL:$AL)/($AA97+SUMIF(Plant_BD!$B:$B,$A97,Plant_BD!$AL:$AL))),"")</f>
        <v/>
      </c>
      <c r="P97" s="238"/>
      <c r="Q97" s="239"/>
      <c r="R97" s="238" t="str">
        <f>IFERROR(1-(SUMIF(Grid_BD!$B:$B,$A97,Grid_BD!$V:$V)/($AA97+SUMIF(Grid_BD!$B:$B,$A97,Grid_BD!$V:$V))),"")</f>
        <v/>
      </c>
      <c r="S97" s="234"/>
      <c r="T97" s="239"/>
      <c r="U97" s="240" t="str">
        <f t="shared" si="11"/>
        <v/>
      </c>
      <c r="V97" s="240" t="str">
        <f>IFERROR(_xlfn.XLOOKUP($A97,Input_Raw!$A:$A,Input_Raw!$BS:$BS),"")</f>
        <v/>
      </c>
      <c r="W97" s="241">
        <f t="shared" si="12"/>
        <v>0</v>
      </c>
      <c r="X97" s="233">
        <f>IFERROR(_xlfn.XLOOKUP($A97,Input_Raw!$A:$A,Input_Raw!$AW:$AW),"")</f>
        <v>0</v>
      </c>
      <c r="Y97" s="233">
        <f>IFERROR(_xlfn.XLOOKUP($A97,Input_Raw!$A:$A,Input_Raw!$BN:$BN),"")</f>
        <v>0</v>
      </c>
      <c r="Z97" s="233"/>
      <c r="AA97" s="233">
        <f>IFERROR(_xlfn.XLOOKUP($A97,Input_Raw!$A:$A,Input_Raw!$BO:$BO),"")</f>
        <v>0</v>
      </c>
      <c r="AB97" s="233">
        <f>IFERROR(_xlfn.XLOOKUP($A97,Input_Raw!$A:$A,Input_Raw!$BP:$BP),"")</f>
        <v>0</v>
      </c>
      <c r="AC97" s="242">
        <f>IFERROR(_xlfn.XLOOKUP($D97,'Modelling New'!$D:$D,'Modelling New'!P:P),"")</f>
        <v>5.4903225806451612</v>
      </c>
      <c r="AD97" s="233">
        <f>IFERROR(_xlfn.XLOOKUP($D97,'Modelling New'!$D:$D,'Modelling New'!T:T)*1000,"")</f>
        <v>410306.41807343106</v>
      </c>
      <c r="AE97" s="243">
        <f>IFERROR(_xlfn.XLOOKUP($D97,'Modelling New'!$D:$D,'Modelling New'!$O:$O),"")</f>
        <v>0.85116926356747413</v>
      </c>
      <c r="AF97" s="243">
        <f>IFERROR(_xlfn.XLOOKUP($D97,'Modelling New'!$D:$D,'Modelling New'!$W:$W),"")</f>
        <v>0.19471640948815067</v>
      </c>
      <c r="AG97" s="243">
        <f>IFERROR(_xlfn.XLOOKUP($D97,'Modelling New'!$D:$D,'Modelling New'!$AE:$AE),"")</f>
        <v>0.995</v>
      </c>
      <c r="AH97" s="243">
        <f>IFERROR(_xlfn.XLOOKUP($D97,'Modelling New'!$D:$D,'Modelling New'!$AF:$AF),"")</f>
        <v>0.995</v>
      </c>
      <c r="AI97" s="234"/>
      <c r="AJ97" s="234"/>
      <c r="AK97" s="234"/>
      <c r="AL97" s="234"/>
      <c r="AM97" s="234"/>
      <c r="AN97" s="244"/>
      <c r="AO97" s="241"/>
      <c r="AP97" s="241"/>
      <c r="AQ97" s="241"/>
      <c r="AR97" s="233">
        <f>_xlfn.XLOOKUP($D97,'Modelling New'!$D:$D,'Modelling New'!$N:$N)</f>
        <v>87.8</v>
      </c>
      <c r="AS97" s="233">
        <f t="shared" si="13"/>
        <v>0</v>
      </c>
    </row>
    <row r="98" spans="1:45">
      <c r="A98" s="232">
        <f t="shared" si="14"/>
        <v>45935</v>
      </c>
      <c r="B98" s="233">
        <f>YEAR(Daily_KPI[[#This Row],[Date]])+IF(MONTH(Daily_KPI[[#This Row],[Date]])&gt;=4,1,0)</f>
        <v>2026</v>
      </c>
      <c r="C98" s="234">
        <f>YEAR(Daily_KPI[[#This Row],[Date]])</f>
        <v>2025</v>
      </c>
      <c r="D98" s="235">
        <f>Daily_KPI[[#This Row],[Date]]-DAY(Daily_KPI[[#This Row],[Date]])+1</f>
        <v>45931</v>
      </c>
      <c r="E98" s="234">
        <f t="shared" si="10"/>
        <v>31</v>
      </c>
      <c r="F98" s="236">
        <f>IFERROR(_xlfn.XLOOKUP($A98,Input_Raw!$A:$A,Input_Raw!$BM:$BM),"")</f>
        <v>0</v>
      </c>
      <c r="G98" s="237">
        <f>IFERROR(_xlfn.XLOOKUP($A98,Input_Raw!$A:$A,Input_Raw!$AN:$AN),"")</f>
        <v>0</v>
      </c>
      <c r="H98" s="237"/>
      <c r="I98" s="237">
        <f>IFERROR(_xlfn.XLOOKUP($A98,Input_Raw!$A:$A,Input_Raw!$AM:$AM),"")</f>
        <v>0</v>
      </c>
      <c r="J98" s="237"/>
      <c r="K98" s="237">
        <f>IFERROR(_xlfn.XLOOKUP($A98,Input_Raw!$A:$A,Input_Raw!AO:AO),"")</f>
        <v>0</v>
      </c>
      <c r="L98" s="237">
        <f>IFERROR(_xlfn.XLOOKUP($A98,Input_Raw!$A:$A,Input_Raw!AP:AP),"")</f>
        <v>0</v>
      </c>
      <c r="M98" s="237">
        <f>IFERROR(_xlfn.XLOOKUP($A98,Input_Raw!$A:$A,Input_Raw!AS:AS),"")</f>
        <v>0</v>
      </c>
      <c r="N98" s="237">
        <f>IFERROR(_xlfn.XLOOKUP($A98,Input_Raw!$A:$A,Input_Raw!AT:AT),"")</f>
        <v>0</v>
      </c>
      <c r="O98" s="238" t="str">
        <f>IFERROR(1-(SUMIF(Plant_BD!$B:$B,$A98,Plant_BD!$AL:$AL)/($AA98+SUMIF(Plant_BD!$B:$B,$A98,Plant_BD!$AL:$AL))),"")</f>
        <v/>
      </c>
      <c r="P98" s="238"/>
      <c r="Q98" s="239"/>
      <c r="R98" s="238" t="str">
        <f>IFERROR(1-(SUMIF(Grid_BD!$B:$B,$A98,Grid_BD!$V:$V)/($AA98+SUMIF(Grid_BD!$B:$B,$A98,Grid_BD!$V:$V))),"")</f>
        <v/>
      </c>
      <c r="S98" s="234"/>
      <c r="T98" s="239"/>
      <c r="U98" s="240" t="str">
        <f t="shared" si="11"/>
        <v/>
      </c>
      <c r="V98" s="240" t="str">
        <f>IFERROR(_xlfn.XLOOKUP($A98,Input_Raw!$A:$A,Input_Raw!$BS:$BS),"")</f>
        <v/>
      </c>
      <c r="W98" s="241">
        <f t="shared" si="12"/>
        <v>0</v>
      </c>
      <c r="X98" s="233">
        <f>IFERROR(_xlfn.XLOOKUP($A98,Input_Raw!$A:$A,Input_Raw!$AW:$AW),"")</f>
        <v>0</v>
      </c>
      <c r="Y98" s="233">
        <f>IFERROR(_xlfn.XLOOKUP($A98,Input_Raw!$A:$A,Input_Raw!$BN:$BN),"")</f>
        <v>0</v>
      </c>
      <c r="Z98" s="233"/>
      <c r="AA98" s="233">
        <f>IFERROR(_xlfn.XLOOKUP($A98,Input_Raw!$A:$A,Input_Raw!$BO:$BO),"")</f>
        <v>0</v>
      </c>
      <c r="AB98" s="233">
        <f>IFERROR(_xlfn.XLOOKUP($A98,Input_Raw!$A:$A,Input_Raw!$BP:$BP),"")</f>
        <v>0</v>
      </c>
      <c r="AC98" s="242">
        <f>IFERROR(_xlfn.XLOOKUP($D98,'Modelling New'!$D:$D,'Modelling New'!P:P),"")</f>
        <v>5.4903225806451612</v>
      </c>
      <c r="AD98" s="233">
        <f>IFERROR(_xlfn.XLOOKUP($D98,'Modelling New'!$D:$D,'Modelling New'!T:T)*1000,"")</f>
        <v>410306.41807343106</v>
      </c>
      <c r="AE98" s="243">
        <f>IFERROR(_xlfn.XLOOKUP($D98,'Modelling New'!$D:$D,'Modelling New'!$O:$O),"")</f>
        <v>0.85116926356747413</v>
      </c>
      <c r="AF98" s="243">
        <f>IFERROR(_xlfn.XLOOKUP($D98,'Modelling New'!$D:$D,'Modelling New'!$W:$W),"")</f>
        <v>0.19471640948815067</v>
      </c>
      <c r="AG98" s="243">
        <f>IFERROR(_xlfn.XLOOKUP($D98,'Modelling New'!$D:$D,'Modelling New'!$AE:$AE),"")</f>
        <v>0.995</v>
      </c>
      <c r="AH98" s="243">
        <f>IFERROR(_xlfn.XLOOKUP($D98,'Modelling New'!$D:$D,'Modelling New'!$AF:$AF),"")</f>
        <v>0.995</v>
      </c>
      <c r="AI98" s="234"/>
      <c r="AJ98" s="234"/>
      <c r="AK98" s="234"/>
      <c r="AL98" s="234"/>
      <c r="AM98" s="234"/>
      <c r="AN98" s="244"/>
      <c r="AO98" s="241"/>
      <c r="AP98" s="241"/>
      <c r="AQ98" s="241"/>
      <c r="AR98" s="233">
        <f>_xlfn.XLOOKUP($D98,'Modelling New'!$D:$D,'Modelling New'!$N:$N)</f>
        <v>87.8</v>
      </c>
      <c r="AS98" s="233">
        <f t="shared" si="13"/>
        <v>0</v>
      </c>
    </row>
    <row r="99" spans="1:45">
      <c r="A99" s="232">
        <f t="shared" si="14"/>
        <v>45936</v>
      </c>
      <c r="B99" s="233">
        <f>YEAR(Daily_KPI[[#This Row],[Date]])+IF(MONTH(Daily_KPI[[#This Row],[Date]])&gt;=4,1,0)</f>
        <v>2026</v>
      </c>
      <c r="C99" s="234">
        <f>YEAR(Daily_KPI[[#This Row],[Date]])</f>
        <v>2025</v>
      </c>
      <c r="D99" s="235">
        <f>Daily_KPI[[#This Row],[Date]]-DAY(Daily_KPI[[#This Row],[Date]])+1</f>
        <v>45931</v>
      </c>
      <c r="E99" s="234">
        <f t="shared" si="10"/>
        <v>31</v>
      </c>
      <c r="F99" s="236">
        <f>IFERROR(_xlfn.XLOOKUP($A99,Input_Raw!$A:$A,Input_Raw!$BM:$BM),"")</f>
        <v>0</v>
      </c>
      <c r="G99" s="237">
        <f>IFERROR(_xlfn.XLOOKUP($A99,Input_Raw!$A:$A,Input_Raw!$AN:$AN),"")</f>
        <v>0</v>
      </c>
      <c r="H99" s="237"/>
      <c r="I99" s="237">
        <f>IFERROR(_xlfn.XLOOKUP($A99,Input_Raw!$A:$A,Input_Raw!$AM:$AM),"")</f>
        <v>0</v>
      </c>
      <c r="J99" s="237"/>
      <c r="K99" s="237">
        <f>IFERROR(_xlfn.XLOOKUP($A99,Input_Raw!$A:$A,Input_Raw!AO:AO),"")</f>
        <v>0</v>
      </c>
      <c r="L99" s="237">
        <f>IFERROR(_xlfn.XLOOKUP($A99,Input_Raw!$A:$A,Input_Raw!AP:AP),"")</f>
        <v>0</v>
      </c>
      <c r="M99" s="237">
        <f>IFERROR(_xlfn.XLOOKUP($A99,Input_Raw!$A:$A,Input_Raw!AS:AS),"")</f>
        <v>0</v>
      </c>
      <c r="N99" s="237">
        <f>IFERROR(_xlfn.XLOOKUP($A99,Input_Raw!$A:$A,Input_Raw!AT:AT),"")</f>
        <v>0</v>
      </c>
      <c r="O99" s="238" t="str">
        <f>IFERROR(1-(SUMIF(Plant_BD!$B:$B,$A99,Plant_BD!$AL:$AL)/($AA99+SUMIF(Plant_BD!$B:$B,$A99,Plant_BD!$AL:$AL))),"")</f>
        <v/>
      </c>
      <c r="P99" s="238"/>
      <c r="Q99" s="239"/>
      <c r="R99" s="238" t="str">
        <f>IFERROR(1-(SUMIF(Grid_BD!$B:$B,$A99,Grid_BD!$V:$V)/($AA99+SUMIF(Grid_BD!$B:$B,$A99,Grid_BD!$V:$V))),"")</f>
        <v/>
      </c>
      <c r="S99" s="234"/>
      <c r="T99" s="239"/>
      <c r="U99" s="240" t="str">
        <f t="shared" si="11"/>
        <v/>
      </c>
      <c r="V99" s="240" t="str">
        <f>IFERROR(_xlfn.XLOOKUP($A99,Input_Raw!$A:$A,Input_Raw!$BS:$BS),"")</f>
        <v/>
      </c>
      <c r="W99" s="241">
        <f t="shared" si="12"/>
        <v>0</v>
      </c>
      <c r="X99" s="233">
        <f>IFERROR(_xlfn.XLOOKUP($A99,Input_Raw!$A:$A,Input_Raw!$AW:$AW),"")</f>
        <v>0</v>
      </c>
      <c r="Y99" s="233">
        <f>IFERROR(_xlfn.XLOOKUP($A99,Input_Raw!$A:$A,Input_Raw!$BN:$BN),"")</f>
        <v>0</v>
      </c>
      <c r="Z99" s="233"/>
      <c r="AA99" s="233">
        <f>IFERROR(_xlfn.XLOOKUP($A99,Input_Raw!$A:$A,Input_Raw!$BO:$BO),"")</f>
        <v>0</v>
      </c>
      <c r="AB99" s="233">
        <f>IFERROR(_xlfn.XLOOKUP($A99,Input_Raw!$A:$A,Input_Raw!$BP:$BP),"")</f>
        <v>0</v>
      </c>
      <c r="AC99" s="242">
        <f>IFERROR(_xlfn.XLOOKUP($D99,'Modelling New'!$D:$D,'Modelling New'!P:P),"")</f>
        <v>5.4903225806451612</v>
      </c>
      <c r="AD99" s="233">
        <f>IFERROR(_xlfn.XLOOKUP($D99,'Modelling New'!$D:$D,'Modelling New'!T:T)*1000,"")</f>
        <v>410306.41807343106</v>
      </c>
      <c r="AE99" s="243">
        <f>IFERROR(_xlfn.XLOOKUP($D99,'Modelling New'!$D:$D,'Modelling New'!$O:$O),"")</f>
        <v>0.85116926356747413</v>
      </c>
      <c r="AF99" s="243">
        <f>IFERROR(_xlfn.XLOOKUP($D99,'Modelling New'!$D:$D,'Modelling New'!$W:$W),"")</f>
        <v>0.19471640948815067</v>
      </c>
      <c r="AG99" s="243">
        <f>IFERROR(_xlfn.XLOOKUP($D99,'Modelling New'!$D:$D,'Modelling New'!$AE:$AE),"")</f>
        <v>0.995</v>
      </c>
      <c r="AH99" s="243">
        <f>IFERROR(_xlfn.XLOOKUP($D99,'Modelling New'!$D:$D,'Modelling New'!$AF:$AF),"")</f>
        <v>0.995</v>
      </c>
      <c r="AI99" s="234"/>
      <c r="AJ99" s="234"/>
      <c r="AK99" s="234"/>
      <c r="AL99" s="234"/>
      <c r="AM99" s="234"/>
      <c r="AN99" s="244"/>
      <c r="AO99" s="241"/>
      <c r="AP99" s="241"/>
      <c r="AQ99" s="241"/>
      <c r="AR99" s="233">
        <f>_xlfn.XLOOKUP($D99,'Modelling New'!$D:$D,'Modelling New'!$N:$N)</f>
        <v>87.8</v>
      </c>
      <c r="AS99" s="233">
        <f t="shared" si="13"/>
        <v>0</v>
      </c>
    </row>
    <row r="100" spans="1:45">
      <c r="A100" s="232">
        <f t="shared" si="14"/>
        <v>45937</v>
      </c>
      <c r="B100" s="233">
        <f>YEAR(Daily_KPI[[#This Row],[Date]])+IF(MONTH(Daily_KPI[[#This Row],[Date]])&gt;=4,1,0)</f>
        <v>2026</v>
      </c>
      <c r="C100" s="234">
        <f>YEAR(Daily_KPI[[#This Row],[Date]])</f>
        <v>2025</v>
      </c>
      <c r="D100" s="235">
        <f>Daily_KPI[[#This Row],[Date]]-DAY(Daily_KPI[[#This Row],[Date]])+1</f>
        <v>45931</v>
      </c>
      <c r="E100" s="234">
        <f t="shared" si="10"/>
        <v>31</v>
      </c>
      <c r="F100" s="236">
        <f>IFERROR(_xlfn.XLOOKUP($A100,Input_Raw!$A:$A,Input_Raw!$BM:$BM),"")</f>
        <v>0</v>
      </c>
      <c r="G100" s="237">
        <f>IFERROR(_xlfn.XLOOKUP($A100,Input_Raw!$A:$A,Input_Raw!$AN:$AN),"")</f>
        <v>0</v>
      </c>
      <c r="H100" s="237"/>
      <c r="I100" s="237">
        <f>IFERROR(_xlfn.XLOOKUP($A100,Input_Raw!$A:$A,Input_Raw!$AM:$AM),"")</f>
        <v>0</v>
      </c>
      <c r="J100" s="237"/>
      <c r="K100" s="237">
        <f>IFERROR(_xlfn.XLOOKUP($A100,Input_Raw!$A:$A,Input_Raw!AO:AO),"")</f>
        <v>0</v>
      </c>
      <c r="L100" s="237">
        <f>IFERROR(_xlfn.XLOOKUP($A100,Input_Raw!$A:$A,Input_Raw!AP:AP),"")</f>
        <v>0</v>
      </c>
      <c r="M100" s="237">
        <f>IFERROR(_xlfn.XLOOKUP($A100,Input_Raw!$A:$A,Input_Raw!AS:AS),"")</f>
        <v>0</v>
      </c>
      <c r="N100" s="237">
        <f>IFERROR(_xlfn.XLOOKUP($A100,Input_Raw!$A:$A,Input_Raw!AT:AT),"")</f>
        <v>0</v>
      </c>
      <c r="O100" s="238" t="str">
        <f>IFERROR(1-(SUMIF(Plant_BD!$B:$B,$A100,Plant_BD!$AL:$AL)/($AA100+SUMIF(Plant_BD!$B:$B,$A100,Plant_BD!$AL:$AL))),"")</f>
        <v/>
      </c>
      <c r="P100" s="238"/>
      <c r="Q100" s="239"/>
      <c r="R100" s="238" t="str">
        <f>IFERROR(1-(SUMIF(Grid_BD!$B:$B,$A100,Grid_BD!$V:$V)/($AA100+SUMIF(Grid_BD!$B:$B,$A100,Grid_BD!$V:$V))),"")</f>
        <v/>
      </c>
      <c r="S100" s="234"/>
      <c r="T100" s="239"/>
      <c r="U100" s="240" t="str">
        <f t="shared" si="11"/>
        <v/>
      </c>
      <c r="V100" s="240" t="str">
        <f>IFERROR(_xlfn.XLOOKUP($A100,Input_Raw!$A:$A,Input_Raw!$BS:$BS),"")</f>
        <v/>
      </c>
      <c r="W100" s="241">
        <f t="shared" si="12"/>
        <v>0</v>
      </c>
      <c r="X100" s="233">
        <f>IFERROR(_xlfn.XLOOKUP($A100,Input_Raw!$A:$A,Input_Raw!$AW:$AW),"")</f>
        <v>0</v>
      </c>
      <c r="Y100" s="233">
        <f>IFERROR(_xlfn.XLOOKUP($A100,Input_Raw!$A:$A,Input_Raw!$BN:$BN),"")</f>
        <v>0</v>
      </c>
      <c r="Z100" s="233"/>
      <c r="AA100" s="233">
        <f>IFERROR(_xlfn.XLOOKUP($A100,Input_Raw!$A:$A,Input_Raw!$BO:$BO),"")</f>
        <v>0</v>
      </c>
      <c r="AB100" s="233">
        <f>IFERROR(_xlfn.XLOOKUP($A100,Input_Raw!$A:$A,Input_Raw!$BP:$BP),"")</f>
        <v>0</v>
      </c>
      <c r="AC100" s="242">
        <f>IFERROR(_xlfn.XLOOKUP($D100,'Modelling New'!$D:$D,'Modelling New'!P:P),"")</f>
        <v>5.4903225806451612</v>
      </c>
      <c r="AD100" s="233">
        <f>IFERROR(_xlfn.XLOOKUP($D100,'Modelling New'!$D:$D,'Modelling New'!T:T)*1000,"")</f>
        <v>410306.41807343106</v>
      </c>
      <c r="AE100" s="243">
        <f>IFERROR(_xlfn.XLOOKUP($D100,'Modelling New'!$D:$D,'Modelling New'!$O:$O),"")</f>
        <v>0.85116926356747413</v>
      </c>
      <c r="AF100" s="243">
        <f>IFERROR(_xlfn.XLOOKUP($D100,'Modelling New'!$D:$D,'Modelling New'!$W:$W),"")</f>
        <v>0.19471640948815067</v>
      </c>
      <c r="AG100" s="243">
        <f>IFERROR(_xlfn.XLOOKUP($D100,'Modelling New'!$D:$D,'Modelling New'!$AE:$AE),"")</f>
        <v>0.995</v>
      </c>
      <c r="AH100" s="243">
        <f>IFERROR(_xlfn.XLOOKUP($D100,'Modelling New'!$D:$D,'Modelling New'!$AF:$AF),"")</f>
        <v>0.995</v>
      </c>
      <c r="AI100" s="234"/>
      <c r="AJ100" s="234"/>
      <c r="AK100" s="234"/>
      <c r="AL100" s="234"/>
      <c r="AM100" s="234"/>
      <c r="AN100" s="244"/>
      <c r="AO100" s="241"/>
      <c r="AP100" s="241"/>
      <c r="AQ100" s="241"/>
      <c r="AR100" s="233">
        <f>_xlfn.XLOOKUP($D100,'Modelling New'!$D:$D,'Modelling New'!$N:$N)</f>
        <v>87.8</v>
      </c>
      <c r="AS100" s="233">
        <f t="shared" si="13"/>
        <v>0</v>
      </c>
    </row>
    <row r="101" spans="1:45">
      <c r="A101" s="232">
        <f t="shared" si="14"/>
        <v>45938</v>
      </c>
      <c r="B101" s="233">
        <f>YEAR(Daily_KPI[[#This Row],[Date]])+IF(MONTH(Daily_KPI[[#This Row],[Date]])&gt;=4,1,0)</f>
        <v>2026</v>
      </c>
      <c r="C101" s="234">
        <f>YEAR(Daily_KPI[[#This Row],[Date]])</f>
        <v>2025</v>
      </c>
      <c r="D101" s="235">
        <f>Daily_KPI[[#This Row],[Date]]-DAY(Daily_KPI[[#This Row],[Date]])+1</f>
        <v>45931</v>
      </c>
      <c r="E101" s="234">
        <f t="shared" si="10"/>
        <v>31</v>
      </c>
      <c r="F101" s="236">
        <f>IFERROR(_xlfn.XLOOKUP($A101,Input_Raw!$A:$A,Input_Raw!$BM:$BM),"")</f>
        <v>0</v>
      </c>
      <c r="G101" s="237">
        <f>IFERROR(_xlfn.XLOOKUP($A101,Input_Raw!$A:$A,Input_Raw!$AN:$AN),"")</f>
        <v>0</v>
      </c>
      <c r="H101" s="237"/>
      <c r="I101" s="237">
        <f>IFERROR(_xlfn.XLOOKUP($A101,Input_Raw!$A:$A,Input_Raw!$AM:$AM),"")</f>
        <v>0</v>
      </c>
      <c r="J101" s="237"/>
      <c r="K101" s="237">
        <f>IFERROR(_xlfn.XLOOKUP($A101,Input_Raw!$A:$A,Input_Raw!AO:AO),"")</f>
        <v>0</v>
      </c>
      <c r="L101" s="237">
        <f>IFERROR(_xlfn.XLOOKUP($A101,Input_Raw!$A:$A,Input_Raw!AP:AP),"")</f>
        <v>0</v>
      </c>
      <c r="M101" s="237">
        <f>IFERROR(_xlfn.XLOOKUP($A101,Input_Raw!$A:$A,Input_Raw!AS:AS),"")</f>
        <v>0</v>
      </c>
      <c r="N101" s="237">
        <f>IFERROR(_xlfn.XLOOKUP($A101,Input_Raw!$A:$A,Input_Raw!AT:AT),"")</f>
        <v>0</v>
      </c>
      <c r="O101" s="238" t="str">
        <f>IFERROR(1-(SUMIF(Plant_BD!$B:$B,$A101,Plant_BD!$AL:$AL)/($AA101+SUMIF(Plant_BD!$B:$B,$A101,Plant_BD!$AL:$AL))),"")</f>
        <v/>
      </c>
      <c r="P101" s="238"/>
      <c r="Q101" s="239"/>
      <c r="R101" s="238" t="str">
        <f>IFERROR(1-(SUMIF(Grid_BD!$B:$B,$A101,Grid_BD!$V:$V)/($AA101+SUMIF(Grid_BD!$B:$B,$A101,Grid_BD!$V:$V))),"")</f>
        <v/>
      </c>
      <c r="S101" s="234"/>
      <c r="T101" s="239"/>
      <c r="U101" s="240" t="str">
        <f t="shared" si="11"/>
        <v/>
      </c>
      <c r="V101" s="240" t="str">
        <f>IFERROR(_xlfn.XLOOKUP($A101,Input_Raw!$A:$A,Input_Raw!$BS:$BS),"")</f>
        <v/>
      </c>
      <c r="W101" s="241">
        <f t="shared" si="12"/>
        <v>0</v>
      </c>
      <c r="X101" s="233">
        <f>IFERROR(_xlfn.XLOOKUP($A101,Input_Raw!$A:$A,Input_Raw!$AW:$AW),"")</f>
        <v>0</v>
      </c>
      <c r="Y101" s="233">
        <f>IFERROR(_xlfn.XLOOKUP($A101,Input_Raw!$A:$A,Input_Raw!$BN:$BN),"")</f>
        <v>0</v>
      </c>
      <c r="Z101" s="233"/>
      <c r="AA101" s="233">
        <f>IFERROR(_xlfn.XLOOKUP($A101,Input_Raw!$A:$A,Input_Raw!$BO:$BO),"")</f>
        <v>0</v>
      </c>
      <c r="AB101" s="233">
        <f>IFERROR(_xlfn.XLOOKUP($A101,Input_Raw!$A:$A,Input_Raw!$BP:$BP),"")</f>
        <v>0</v>
      </c>
      <c r="AC101" s="242">
        <f>IFERROR(_xlfn.XLOOKUP($D101,'Modelling New'!$D:$D,'Modelling New'!P:P),"")</f>
        <v>5.4903225806451612</v>
      </c>
      <c r="AD101" s="233">
        <f>IFERROR(_xlfn.XLOOKUP($D101,'Modelling New'!$D:$D,'Modelling New'!T:T)*1000,"")</f>
        <v>410306.41807343106</v>
      </c>
      <c r="AE101" s="243">
        <f>IFERROR(_xlfn.XLOOKUP($D101,'Modelling New'!$D:$D,'Modelling New'!$O:$O),"")</f>
        <v>0.85116926356747413</v>
      </c>
      <c r="AF101" s="243">
        <f>IFERROR(_xlfn.XLOOKUP($D101,'Modelling New'!$D:$D,'Modelling New'!$W:$W),"")</f>
        <v>0.19471640948815067</v>
      </c>
      <c r="AG101" s="243">
        <f>IFERROR(_xlfn.XLOOKUP($D101,'Modelling New'!$D:$D,'Modelling New'!$AE:$AE),"")</f>
        <v>0.995</v>
      </c>
      <c r="AH101" s="243">
        <f>IFERROR(_xlfn.XLOOKUP($D101,'Modelling New'!$D:$D,'Modelling New'!$AF:$AF),"")</f>
        <v>0.995</v>
      </c>
      <c r="AI101" s="234"/>
      <c r="AJ101" s="234"/>
      <c r="AK101" s="234"/>
      <c r="AL101" s="234"/>
      <c r="AM101" s="234"/>
      <c r="AN101" s="244"/>
      <c r="AO101" s="241"/>
      <c r="AP101" s="241"/>
      <c r="AQ101" s="241"/>
      <c r="AR101" s="233">
        <f>_xlfn.XLOOKUP($D101,'Modelling New'!$D:$D,'Modelling New'!$N:$N)</f>
        <v>87.8</v>
      </c>
      <c r="AS101" s="233">
        <f t="shared" si="13"/>
        <v>0</v>
      </c>
    </row>
    <row r="102" spans="1:45">
      <c r="A102" s="232">
        <f t="shared" si="14"/>
        <v>45939</v>
      </c>
      <c r="B102" s="233">
        <f>YEAR(Daily_KPI[[#This Row],[Date]])+IF(MONTH(Daily_KPI[[#This Row],[Date]])&gt;=4,1,0)</f>
        <v>2026</v>
      </c>
      <c r="C102" s="234">
        <f>YEAR(Daily_KPI[[#This Row],[Date]])</f>
        <v>2025</v>
      </c>
      <c r="D102" s="235">
        <f>Daily_KPI[[#This Row],[Date]]-DAY(Daily_KPI[[#This Row],[Date]])+1</f>
        <v>45931</v>
      </c>
      <c r="E102" s="234">
        <f t="shared" si="10"/>
        <v>31</v>
      </c>
      <c r="F102" s="236">
        <f>IFERROR(_xlfn.XLOOKUP($A102,Input_Raw!$A:$A,Input_Raw!$BM:$BM),"")</f>
        <v>0</v>
      </c>
      <c r="G102" s="237">
        <f>IFERROR(_xlfn.XLOOKUP($A102,Input_Raw!$A:$A,Input_Raw!$AN:$AN),"")</f>
        <v>0</v>
      </c>
      <c r="H102" s="237"/>
      <c r="I102" s="237">
        <f>IFERROR(_xlfn.XLOOKUP($A102,Input_Raw!$A:$A,Input_Raw!$AM:$AM),"")</f>
        <v>0</v>
      </c>
      <c r="J102" s="237"/>
      <c r="K102" s="237">
        <f>IFERROR(_xlfn.XLOOKUP($A102,Input_Raw!$A:$A,Input_Raw!AO:AO),"")</f>
        <v>0</v>
      </c>
      <c r="L102" s="237">
        <f>IFERROR(_xlfn.XLOOKUP($A102,Input_Raw!$A:$A,Input_Raw!AP:AP),"")</f>
        <v>0</v>
      </c>
      <c r="M102" s="237">
        <f>IFERROR(_xlfn.XLOOKUP($A102,Input_Raw!$A:$A,Input_Raw!AS:AS),"")</f>
        <v>0</v>
      </c>
      <c r="N102" s="237">
        <f>IFERROR(_xlfn.XLOOKUP($A102,Input_Raw!$A:$A,Input_Raw!AT:AT),"")</f>
        <v>0</v>
      </c>
      <c r="O102" s="238" t="str">
        <f>IFERROR(1-(SUMIF(Plant_BD!$B:$B,$A102,Plant_BD!$AL:$AL)/($AA102+SUMIF(Plant_BD!$B:$B,$A102,Plant_BD!$AL:$AL))),"")</f>
        <v/>
      </c>
      <c r="P102" s="238"/>
      <c r="Q102" s="239"/>
      <c r="R102" s="238" t="str">
        <f>IFERROR(1-(SUMIF(Grid_BD!$B:$B,$A102,Grid_BD!$V:$V)/($AA102+SUMIF(Grid_BD!$B:$B,$A102,Grid_BD!$V:$V))),"")</f>
        <v/>
      </c>
      <c r="S102" s="234"/>
      <c r="T102" s="239"/>
      <c r="U102" s="240" t="str">
        <f t="shared" si="11"/>
        <v/>
      </c>
      <c r="V102" s="240" t="str">
        <f>IFERROR(_xlfn.XLOOKUP($A102,Input_Raw!$A:$A,Input_Raw!$BS:$BS),"")</f>
        <v/>
      </c>
      <c r="W102" s="241">
        <f t="shared" si="12"/>
        <v>0</v>
      </c>
      <c r="X102" s="233">
        <f>IFERROR(_xlfn.XLOOKUP($A102,Input_Raw!$A:$A,Input_Raw!$AW:$AW),"")</f>
        <v>0</v>
      </c>
      <c r="Y102" s="233">
        <f>IFERROR(_xlfn.XLOOKUP($A102,Input_Raw!$A:$A,Input_Raw!$BN:$BN),"")</f>
        <v>0</v>
      </c>
      <c r="Z102" s="233"/>
      <c r="AA102" s="233">
        <f>IFERROR(_xlfn.XLOOKUP($A102,Input_Raw!$A:$A,Input_Raw!$BO:$BO),"")</f>
        <v>0</v>
      </c>
      <c r="AB102" s="233">
        <f>IFERROR(_xlfn.XLOOKUP($A102,Input_Raw!$A:$A,Input_Raw!$BP:$BP),"")</f>
        <v>0</v>
      </c>
      <c r="AC102" s="242">
        <f>IFERROR(_xlfn.XLOOKUP($D102,'Modelling New'!$D:$D,'Modelling New'!P:P),"")</f>
        <v>5.4903225806451612</v>
      </c>
      <c r="AD102" s="233">
        <f>IFERROR(_xlfn.XLOOKUP($D102,'Modelling New'!$D:$D,'Modelling New'!T:T)*1000,"")</f>
        <v>410306.41807343106</v>
      </c>
      <c r="AE102" s="243">
        <f>IFERROR(_xlfn.XLOOKUP($D102,'Modelling New'!$D:$D,'Modelling New'!$O:$O),"")</f>
        <v>0.85116926356747413</v>
      </c>
      <c r="AF102" s="243">
        <f>IFERROR(_xlfn.XLOOKUP($D102,'Modelling New'!$D:$D,'Modelling New'!$W:$W),"")</f>
        <v>0.19471640948815067</v>
      </c>
      <c r="AG102" s="243">
        <f>IFERROR(_xlfn.XLOOKUP($D102,'Modelling New'!$D:$D,'Modelling New'!$AE:$AE),"")</f>
        <v>0.995</v>
      </c>
      <c r="AH102" s="243">
        <f>IFERROR(_xlfn.XLOOKUP($D102,'Modelling New'!$D:$D,'Modelling New'!$AF:$AF),"")</f>
        <v>0.995</v>
      </c>
      <c r="AI102" s="234"/>
      <c r="AJ102" s="234"/>
      <c r="AK102" s="234"/>
      <c r="AL102" s="234"/>
      <c r="AM102" s="234"/>
      <c r="AN102" s="244"/>
      <c r="AO102" s="241"/>
      <c r="AP102" s="241"/>
      <c r="AQ102" s="241"/>
      <c r="AR102" s="233">
        <f>_xlfn.XLOOKUP($D102,'Modelling New'!$D:$D,'Modelling New'!$N:$N)</f>
        <v>87.8</v>
      </c>
      <c r="AS102" s="233">
        <f t="shared" si="13"/>
        <v>0</v>
      </c>
    </row>
    <row r="103" spans="1:45">
      <c r="A103" s="232">
        <f t="shared" si="14"/>
        <v>45940</v>
      </c>
      <c r="B103" s="233">
        <f>YEAR(Daily_KPI[[#This Row],[Date]])+IF(MONTH(Daily_KPI[[#This Row],[Date]])&gt;=4,1,0)</f>
        <v>2026</v>
      </c>
      <c r="C103" s="234">
        <f>YEAR(Daily_KPI[[#This Row],[Date]])</f>
        <v>2025</v>
      </c>
      <c r="D103" s="235">
        <f>Daily_KPI[[#This Row],[Date]]-DAY(Daily_KPI[[#This Row],[Date]])+1</f>
        <v>45931</v>
      </c>
      <c r="E103" s="234">
        <f t="shared" si="10"/>
        <v>31</v>
      </c>
      <c r="F103" s="236">
        <f>IFERROR(_xlfn.XLOOKUP($A103,Input_Raw!$A:$A,Input_Raw!$BM:$BM),"")</f>
        <v>0</v>
      </c>
      <c r="G103" s="237">
        <f>IFERROR(_xlfn.XLOOKUP($A103,Input_Raw!$A:$A,Input_Raw!$AN:$AN),"")</f>
        <v>0</v>
      </c>
      <c r="H103" s="237"/>
      <c r="I103" s="237">
        <f>IFERROR(_xlfn.XLOOKUP($A103,Input_Raw!$A:$A,Input_Raw!$AM:$AM),"")</f>
        <v>0</v>
      </c>
      <c r="J103" s="237"/>
      <c r="K103" s="237">
        <f>IFERROR(_xlfn.XLOOKUP($A103,Input_Raw!$A:$A,Input_Raw!AO:AO),"")</f>
        <v>0</v>
      </c>
      <c r="L103" s="237">
        <f>IFERROR(_xlfn.XLOOKUP($A103,Input_Raw!$A:$A,Input_Raw!AP:AP),"")</f>
        <v>0</v>
      </c>
      <c r="M103" s="237">
        <f>IFERROR(_xlfn.XLOOKUP($A103,Input_Raw!$A:$A,Input_Raw!AS:AS),"")</f>
        <v>0</v>
      </c>
      <c r="N103" s="237">
        <f>IFERROR(_xlfn.XLOOKUP($A103,Input_Raw!$A:$A,Input_Raw!AT:AT),"")</f>
        <v>0</v>
      </c>
      <c r="O103" s="238" t="str">
        <f>IFERROR(1-(SUMIF(Plant_BD!$B:$B,$A103,Plant_BD!$AL:$AL)/($AA103+SUMIF(Plant_BD!$B:$B,$A103,Plant_BD!$AL:$AL))),"")</f>
        <v/>
      </c>
      <c r="P103" s="238"/>
      <c r="Q103" s="239"/>
      <c r="R103" s="238" t="str">
        <f>IFERROR(1-(SUMIF(Grid_BD!$B:$B,$A103,Grid_BD!$V:$V)/($AA103+SUMIF(Grid_BD!$B:$B,$A103,Grid_BD!$V:$V))),"")</f>
        <v/>
      </c>
      <c r="S103" s="234"/>
      <c r="T103" s="239"/>
      <c r="U103" s="240" t="str">
        <f t="shared" si="11"/>
        <v/>
      </c>
      <c r="V103" s="240" t="str">
        <f>IFERROR(_xlfn.XLOOKUP($A103,Input_Raw!$A:$A,Input_Raw!$BS:$BS),"")</f>
        <v/>
      </c>
      <c r="W103" s="241">
        <f t="shared" si="12"/>
        <v>0</v>
      </c>
      <c r="X103" s="233">
        <f>IFERROR(_xlfn.XLOOKUP($A103,Input_Raw!$A:$A,Input_Raw!$AW:$AW),"")</f>
        <v>0</v>
      </c>
      <c r="Y103" s="233">
        <f>IFERROR(_xlfn.XLOOKUP($A103,Input_Raw!$A:$A,Input_Raw!$BN:$BN),"")</f>
        <v>0</v>
      </c>
      <c r="Z103" s="233"/>
      <c r="AA103" s="233">
        <f>IFERROR(_xlfn.XLOOKUP($A103,Input_Raw!$A:$A,Input_Raw!$BO:$BO),"")</f>
        <v>0</v>
      </c>
      <c r="AB103" s="233">
        <f>IFERROR(_xlfn.XLOOKUP($A103,Input_Raw!$A:$A,Input_Raw!$BP:$BP),"")</f>
        <v>0</v>
      </c>
      <c r="AC103" s="242">
        <f>IFERROR(_xlfn.XLOOKUP($D103,'Modelling New'!$D:$D,'Modelling New'!P:P),"")</f>
        <v>5.4903225806451612</v>
      </c>
      <c r="AD103" s="233">
        <f>IFERROR(_xlfn.XLOOKUP($D103,'Modelling New'!$D:$D,'Modelling New'!T:T)*1000,"")</f>
        <v>410306.41807343106</v>
      </c>
      <c r="AE103" s="243">
        <f>IFERROR(_xlfn.XLOOKUP($D103,'Modelling New'!$D:$D,'Modelling New'!$O:$O),"")</f>
        <v>0.85116926356747413</v>
      </c>
      <c r="AF103" s="243">
        <f>IFERROR(_xlfn.XLOOKUP($D103,'Modelling New'!$D:$D,'Modelling New'!$W:$W),"")</f>
        <v>0.19471640948815067</v>
      </c>
      <c r="AG103" s="243">
        <f>IFERROR(_xlfn.XLOOKUP($D103,'Modelling New'!$D:$D,'Modelling New'!$AE:$AE),"")</f>
        <v>0.995</v>
      </c>
      <c r="AH103" s="243">
        <f>IFERROR(_xlfn.XLOOKUP($D103,'Modelling New'!$D:$D,'Modelling New'!$AF:$AF),"")</f>
        <v>0.995</v>
      </c>
      <c r="AI103" s="234"/>
      <c r="AJ103" s="234"/>
      <c r="AK103" s="234"/>
      <c r="AL103" s="234"/>
      <c r="AM103" s="234"/>
      <c r="AN103" s="244"/>
      <c r="AO103" s="241"/>
      <c r="AP103" s="241"/>
      <c r="AQ103" s="241"/>
      <c r="AR103" s="233">
        <f>_xlfn.XLOOKUP($D103,'Modelling New'!$D:$D,'Modelling New'!$N:$N)</f>
        <v>87.8</v>
      </c>
      <c r="AS103" s="233">
        <f t="shared" si="13"/>
        <v>0</v>
      </c>
    </row>
    <row r="104" spans="1:45">
      <c r="A104" s="232">
        <f t="shared" si="14"/>
        <v>45941</v>
      </c>
      <c r="B104" s="233">
        <f>YEAR(Daily_KPI[[#This Row],[Date]])+IF(MONTH(Daily_KPI[[#This Row],[Date]])&gt;=4,1,0)</f>
        <v>2026</v>
      </c>
      <c r="C104" s="234">
        <f>YEAR(Daily_KPI[[#This Row],[Date]])</f>
        <v>2025</v>
      </c>
      <c r="D104" s="235">
        <f>Daily_KPI[[#This Row],[Date]]-DAY(Daily_KPI[[#This Row],[Date]])+1</f>
        <v>45931</v>
      </c>
      <c r="E104" s="234">
        <f t="shared" si="10"/>
        <v>31</v>
      </c>
      <c r="F104" s="236">
        <f>IFERROR(_xlfn.XLOOKUP($A104,Input_Raw!$A:$A,Input_Raw!$BM:$BM),"")</f>
        <v>0</v>
      </c>
      <c r="G104" s="237">
        <f>IFERROR(_xlfn.XLOOKUP($A104,Input_Raw!$A:$A,Input_Raw!$AN:$AN),"")</f>
        <v>0</v>
      </c>
      <c r="H104" s="237"/>
      <c r="I104" s="237">
        <f>IFERROR(_xlfn.XLOOKUP($A104,Input_Raw!$A:$A,Input_Raw!$AM:$AM),"")</f>
        <v>0</v>
      </c>
      <c r="J104" s="237"/>
      <c r="K104" s="237">
        <f>IFERROR(_xlfn.XLOOKUP($A104,Input_Raw!$A:$A,Input_Raw!AO:AO),"")</f>
        <v>0</v>
      </c>
      <c r="L104" s="237">
        <f>IFERROR(_xlfn.XLOOKUP($A104,Input_Raw!$A:$A,Input_Raw!AP:AP),"")</f>
        <v>0</v>
      </c>
      <c r="M104" s="237">
        <f>IFERROR(_xlfn.XLOOKUP($A104,Input_Raw!$A:$A,Input_Raw!AS:AS),"")</f>
        <v>0</v>
      </c>
      <c r="N104" s="237">
        <f>IFERROR(_xlfn.XLOOKUP($A104,Input_Raw!$A:$A,Input_Raw!AT:AT),"")</f>
        <v>0</v>
      </c>
      <c r="O104" s="238" t="str">
        <f>IFERROR(1-(SUMIF(Plant_BD!$B:$B,$A104,Plant_BD!$AL:$AL)/($AA104+SUMIF(Plant_BD!$B:$B,$A104,Plant_BD!$AL:$AL))),"")</f>
        <v/>
      </c>
      <c r="P104" s="238"/>
      <c r="Q104" s="239"/>
      <c r="R104" s="238" t="str">
        <f>IFERROR(1-(SUMIF(Grid_BD!$B:$B,$A104,Grid_BD!$V:$V)/($AA104+SUMIF(Grid_BD!$B:$B,$A104,Grid_BD!$V:$V))),"")</f>
        <v/>
      </c>
      <c r="S104" s="234"/>
      <c r="T104" s="239"/>
      <c r="U104" s="240" t="str">
        <f t="shared" si="11"/>
        <v/>
      </c>
      <c r="V104" s="240" t="str">
        <f>IFERROR(_xlfn.XLOOKUP($A104,Input_Raw!$A:$A,Input_Raw!$BS:$BS),"")</f>
        <v/>
      </c>
      <c r="W104" s="241">
        <f t="shared" si="12"/>
        <v>0</v>
      </c>
      <c r="X104" s="233">
        <f>IFERROR(_xlfn.XLOOKUP($A104,Input_Raw!$A:$A,Input_Raw!$AW:$AW),"")</f>
        <v>0</v>
      </c>
      <c r="Y104" s="233">
        <f>IFERROR(_xlfn.XLOOKUP($A104,Input_Raw!$A:$A,Input_Raw!$BN:$BN),"")</f>
        <v>0</v>
      </c>
      <c r="Z104" s="233"/>
      <c r="AA104" s="233">
        <f>IFERROR(_xlfn.XLOOKUP($A104,Input_Raw!$A:$A,Input_Raw!$BO:$BO),"")</f>
        <v>0</v>
      </c>
      <c r="AB104" s="233">
        <f>IFERROR(_xlfn.XLOOKUP($A104,Input_Raw!$A:$A,Input_Raw!$BP:$BP),"")</f>
        <v>0</v>
      </c>
      <c r="AC104" s="242">
        <f>IFERROR(_xlfn.XLOOKUP($D104,'Modelling New'!$D:$D,'Modelling New'!P:P),"")</f>
        <v>5.4903225806451612</v>
      </c>
      <c r="AD104" s="233">
        <f>IFERROR(_xlfn.XLOOKUP($D104,'Modelling New'!$D:$D,'Modelling New'!T:T)*1000,"")</f>
        <v>410306.41807343106</v>
      </c>
      <c r="AE104" s="243">
        <f>IFERROR(_xlfn.XLOOKUP($D104,'Modelling New'!$D:$D,'Modelling New'!$O:$O),"")</f>
        <v>0.85116926356747413</v>
      </c>
      <c r="AF104" s="243">
        <f>IFERROR(_xlfn.XLOOKUP($D104,'Modelling New'!$D:$D,'Modelling New'!$W:$W),"")</f>
        <v>0.19471640948815067</v>
      </c>
      <c r="AG104" s="243">
        <f>IFERROR(_xlfn.XLOOKUP($D104,'Modelling New'!$D:$D,'Modelling New'!$AE:$AE),"")</f>
        <v>0.995</v>
      </c>
      <c r="AH104" s="243">
        <f>IFERROR(_xlfn.XLOOKUP($D104,'Modelling New'!$D:$D,'Modelling New'!$AF:$AF),"")</f>
        <v>0.995</v>
      </c>
      <c r="AI104" s="234"/>
      <c r="AJ104" s="234"/>
      <c r="AK104" s="234"/>
      <c r="AL104" s="234"/>
      <c r="AM104" s="234"/>
      <c r="AN104" s="244"/>
      <c r="AO104" s="241"/>
      <c r="AP104" s="241"/>
      <c r="AQ104" s="241"/>
      <c r="AR104" s="233">
        <f>_xlfn.XLOOKUP($D104,'Modelling New'!$D:$D,'Modelling New'!$N:$N)</f>
        <v>87.8</v>
      </c>
      <c r="AS104" s="233">
        <f t="shared" si="13"/>
        <v>0</v>
      </c>
    </row>
    <row r="105" spans="1:45">
      <c r="A105" s="232">
        <f t="shared" si="14"/>
        <v>45942</v>
      </c>
      <c r="B105" s="233">
        <f>YEAR(Daily_KPI[[#This Row],[Date]])+IF(MONTH(Daily_KPI[[#This Row],[Date]])&gt;=4,1,0)</f>
        <v>2026</v>
      </c>
      <c r="C105" s="234">
        <f>YEAR(Daily_KPI[[#This Row],[Date]])</f>
        <v>2025</v>
      </c>
      <c r="D105" s="235">
        <f>Daily_KPI[[#This Row],[Date]]-DAY(Daily_KPI[[#This Row],[Date]])+1</f>
        <v>45931</v>
      </c>
      <c r="E105" s="234">
        <f t="shared" si="10"/>
        <v>31</v>
      </c>
      <c r="F105" s="236">
        <f>IFERROR(_xlfn.XLOOKUP($A105,Input_Raw!$A:$A,Input_Raw!$BM:$BM),"")</f>
        <v>0</v>
      </c>
      <c r="G105" s="237">
        <f>IFERROR(_xlfn.XLOOKUP($A105,Input_Raw!$A:$A,Input_Raw!$AN:$AN),"")</f>
        <v>0</v>
      </c>
      <c r="H105" s="237"/>
      <c r="I105" s="237">
        <f>IFERROR(_xlfn.XLOOKUP($A105,Input_Raw!$A:$A,Input_Raw!$AM:$AM),"")</f>
        <v>0</v>
      </c>
      <c r="J105" s="237"/>
      <c r="K105" s="237">
        <f>IFERROR(_xlfn.XLOOKUP($A105,Input_Raw!$A:$A,Input_Raw!AO:AO),"")</f>
        <v>0</v>
      </c>
      <c r="L105" s="237">
        <f>IFERROR(_xlfn.XLOOKUP($A105,Input_Raw!$A:$A,Input_Raw!AP:AP),"")</f>
        <v>0</v>
      </c>
      <c r="M105" s="237">
        <f>IFERROR(_xlfn.XLOOKUP($A105,Input_Raw!$A:$A,Input_Raw!AS:AS),"")</f>
        <v>0</v>
      </c>
      <c r="N105" s="237">
        <f>IFERROR(_xlfn.XLOOKUP($A105,Input_Raw!$A:$A,Input_Raw!AT:AT),"")</f>
        <v>0</v>
      </c>
      <c r="O105" s="238" t="str">
        <f>IFERROR(1-(SUMIF(Plant_BD!$B:$B,$A105,Plant_BD!$AL:$AL)/($AA105+SUMIF(Plant_BD!$B:$B,$A105,Plant_BD!$AL:$AL))),"")</f>
        <v/>
      </c>
      <c r="P105" s="238"/>
      <c r="Q105" s="239"/>
      <c r="R105" s="238" t="str">
        <f>IFERROR(1-(SUMIF(Grid_BD!$B:$B,$A105,Grid_BD!$V:$V)/($AA105+SUMIF(Grid_BD!$B:$B,$A105,Grid_BD!$V:$V))),"")</f>
        <v/>
      </c>
      <c r="S105" s="234"/>
      <c r="T105" s="239"/>
      <c r="U105" s="240" t="str">
        <f t="shared" si="11"/>
        <v/>
      </c>
      <c r="V105" s="240" t="str">
        <f>IFERROR(_xlfn.XLOOKUP($A105,Input_Raw!$A:$A,Input_Raw!$BS:$BS),"")</f>
        <v/>
      </c>
      <c r="W105" s="241">
        <f t="shared" si="12"/>
        <v>0</v>
      </c>
      <c r="X105" s="233">
        <f>IFERROR(_xlfn.XLOOKUP($A105,Input_Raw!$A:$A,Input_Raw!$AW:$AW),"")</f>
        <v>0</v>
      </c>
      <c r="Y105" s="233">
        <f>IFERROR(_xlfn.XLOOKUP($A105,Input_Raw!$A:$A,Input_Raw!$BN:$BN),"")</f>
        <v>0</v>
      </c>
      <c r="Z105" s="233"/>
      <c r="AA105" s="233">
        <f>IFERROR(_xlfn.XLOOKUP($A105,Input_Raw!$A:$A,Input_Raw!$BO:$BO),"")</f>
        <v>0</v>
      </c>
      <c r="AB105" s="233">
        <f>IFERROR(_xlfn.XLOOKUP($A105,Input_Raw!$A:$A,Input_Raw!$BP:$BP),"")</f>
        <v>0</v>
      </c>
      <c r="AC105" s="242">
        <f>IFERROR(_xlfn.XLOOKUP($D105,'Modelling New'!$D:$D,'Modelling New'!P:P),"")</f>
        <v>5.4903225806451612</v>
      </c>
      <c r="AD105" s="233">
        <f>IFERROR(_xlfn.XLOOKUP($D105,'Modelling New'!$D:$D,'Modelling New'!T:T)*1000,"")</f>
        <v>410306.41807343106</v>
      </c>
      <c r="AE105" s="243">
        <f>IFERROR(_xlfn.XLOOKUP($D105,'Modelling New'!$D:$D,'Modelling New'!$O:$O),"")</f>
        <v>0.85116926356747413</v>
      </c>
      <c r="AF105" s="243">
        <f>IFERROR(_xlfn.XLOOKUP($D105,'Modelling New'!$D:$D,'Modelling New'!$W:$W),"")</f>
        <v>0.19471640948815067</v>
      </c>
      <c r="AG105" s="243">
        <f>IFERROR(_xlfn.XLOOKUP($D105,'Modelling New'!$D:$D,'Modelling New'!$AE:$AE),"")</f>
        <v>0.995</v>
      </c>
      <c r="AH105" s="243">
        <f>IFERROR(_xlfn.XLOOKUP($D105,'Modelling New'!$D:$D,'Modelling New'!$AF:$AF),"")</f>
        <v>0.995</v>
      </c>
      <c r="AI105" s="234"/>
      <c r="AJ105" s="234"/>
      <c r="AK105" s="234"/>
      <c r="AL105" s="234"/>
      <c r="AM105" s="234"/>
      <c r="AN105" s="244"/>
      <c r="AO105" s="241"/>
      <c r="AP105" s="241"/>
      <c r="AQ105" s="241"/>
      <c r="AR105" s="233">
        <f>_xlfn.XLOOKUP($D105,'Modelling New'!$D:$D,'Modelling New'!$N:$N)</f>
        <v>87.8</v>
      </c>
      <c r="AS105" s="233">
        <f t="shared" si="13"/>
        <v>0</v>
      </c>
    </row>
    <row r="106" spans="1:45">
      <c r="A106" s="232">
        <f t="shared" si="14"/>
        <v>45943</v>
      </c>
      <c r="B106" s="233">
        <f>YEAR(Daily_KPI[[#This Row],[Date]])+IF(MONTH(Daily_KPI[[#This Row],[Date]])&gt;=4,1,0)</f>
        <v>2026</v>
      </c>
      <c r="C106" s="234">
        <f>YEAR(Daily_KPI[[#This Row],[Date]])</f>
        <v>2025</v>
      </c>
      <c r="D106" s="235">
        <f>Daily_KPI[[#This Row],[Date]]-DAY(Daily_KPI[[#This Row],[Date]])+1</f>
        <v>45931</v>
      </c>
      <c r="E106" s="234">
        <f t="shared" si="10"/>
        <v>31</v>
      </c>
      <c r="F106" s="236">
        <f>IFERROR(_xlfn.XLOOKUP($A106,Input_Raw!$A:$A,Input_Raw!$BM:$BM),"")</f>
        <v>0</v>
      </c>
      <c r="G106" s="237">
        <f>IFERROR(_xlfn.XLOOKUP($A106,Input_Raw!$A:$A,Input_Raw!$AN:$AN),"")</f>
        <v>0</v>
      </c>
      <c r="H106" s="237"/>
      <c r="I106" s="237">
        <f>IFERROR(_xlfn.XLOOKUP($A106,Input_Raw!$A:$A,Input_Raw!$AM:$AM),"")</f>
        <v>0</v>
      </c>
      <c r="J106" s="237"/>
      <c r="K106" s="237">
        <f>IFERROR(_xlfn.XLOOKUP($A106,Input_Raw!$A:$A,Input_Raw!AO:AO),"")</f>
        <v>0</v>
      </c>
      <c r="L106" s="237">
        <f>IFERROR(_xlfn.XLOOKUP($A106,Input_Raw!$A:$A,Input_Raw!AP:AP),"")</f>
        <v>0</v>
      </c>
      <c r="M106" s="237">
        <f>IFERROR(_xlfn.XLOOKUP($A106,Input_Raw!$A:$A,Input_Raw!AS:AS),"")</f>
        <v>0</v>
      </c>
      <c r="N106" s="237">
        <f>IFERROR(_xlfn.XLOOKUP($A106,Input_Raw!$A:$A,Input_Raw!AT:AT),"")</f>
        <v>0</v>
      </c>
      <c r="O106" s="238" t="str">
        <f>IFERROR(1-(SUMIF(Plant_BD!$B:$B,$A106,Plant_BD!$AL:$AL)/($AA106+SUMIF(Plant_BD!$B:$B,$A106,Plant_BD!$AL:$AL))),"")</f>
        <v/>
      </c>
      <c r="P106" s="238"/>
      <c r="Q106" s="239"/>
      <c r="R106" s="238" t="str">
        <f>IFERROR(1-(SUMIF(Grid_BD!$B:$B,$A106,Grid_BD!$V:$V)/($AA106+SUMIF(Grid_BD!$B:$B,$A106,Grid_BD!$V:$V))),"")</f>
        <v/>
      </c>
      <c r="S106" s="234"/>
      <c r="T106" s="239"/>
      <c r="U106" s="240" t="str">
        <f t="shared" si="11"/>
        <v/>
      </c>
      <c r="V106" s="240" t="str">
        <f>IFERROR(_xlfn.XLOOKUP($A106,Input_Raw!$A:$A,Input_Raw!$BS:$BS),"")</f>
        <v/>
      </c>
      <c r="W106" s="241">
        <f t="shared" si="12"/>
        <v>0</v>
      </c>
      <c r="X106" s="233">
        <f>IFERROR(_xlfn.XLOOKUP($A106,Input_Raw!$A:$A,Input_Raw!$AW:$AW),"")</f>
        <v>0</v>
      </c>
      <c r="Y106" s="233">
        <f>IFERROR(_xlfn.XLOOKUP($A106,Input_Raw!$A:$A,Input_Raw!$BN:$BN),"")</f>
        <v>0</v>
      </c>
      <c r="Z106" s="233"/>
      <c r="AA106" s="233">
        <f>IFERROR(_xlfn.XLOOKUP($A106,Input_Raw!$A:$A,Input_Raw!$BO:$BO),"")</f>
        <v>0</v>
      </c>
      <c r="AB106" s="233">
        <f>IFERROR(_xlfn.XLOOKUP($A106,Input_Raw!$A:$A,Input_Raw!$BP:$BP),"")</f>
        <v>0</v>
      </c>
      <c r="AC106" s="242">
        <f>IFERROR(_xlfn.XLOOKUP($D106,'Modelling New'!$D:$D,'Modelling New'!P:P),"")</f>
        <v>5.4903225806451612</v>
      </c>
      <c r="AD106" s="233">
        <f>IFERROR(_xlfn.XLOOKUP($D106,'Modelling New'!$D:$D,'Modelling New'!T:T)*1000,"")</f>
        <v>410306.41807343106</v>
      </c>
      <c r="AE106" s="243">
        <f>IFERROR(_xlfn.XLOOKUP($D106,'Modelling New'!$D:$D,'Modelling New'!$O:$O),"")</f>
        <v>0.85116926356747413</v>
      </c>
      <c r="AF106" s="243">
        <f>IFERROR(_xlfn.XLOOKUP($D106,'Modelling New'!$D:$D,'Modelling New'!$W:$W),"")</f>
        <v>0.19471640948815067</v>
      </c>
      <c r="AG106" s="243">
        <f>IFERROR(_xlfn.XLOOKUP($D106,'Modelling New'!$D:$D,'Modelling New'!$AE:$AE),"")</f>
        <v>0.995</v>
      </c>
      <c r="AH106" s="243">
        <f>IFERROR(_xlfn.XLOOKUP($D106,'Modelling New'!$D:$D,'Modelling New'!$AF:$AF),"")</f>
        <v>0.995</v>
      </c>
      <c r="AI106" s="234"/>
      <c r="AJ106" s="234"/>
      <c r="AK106" s="234"/>
      <c r="AL106" s="234"/>
      <c r="AM106" s="234"/>
      <c r="AN106" s="244"/>
      <c r="AO106" s="241"/>
      <c r="AP106" s="241"/>
      <c r="AQ106" s="241"/>
      <c r="AR106" s="233">
        <f>_xlfn.XLOOKUP($D106,'Modelling New'!$D:$D,'Modelling New'!$N:$N)</f>
        <v>87.8</v>
      </c>
      <c r="AS106" s="233">
        <f t="shared" si="13"/>
        <v>0</v>
      </c>
    </row>
    <row r="107" spans="1:45">
      <c r="A107" s="232">
        <f t="shared" si="14"/>
        <v>45944</v>
      </c>
      <c r="B107" s="233">
        <f>YEAR(Daily_KPI[[#This Row],[Date]])+IF(MONTH(Daily_KPI[[#This Row],[Date]])&gt;=4,1,0)</f>
        <v>2026</v>
      </c>
      <c r="C107" s="234">
        <f>YEAR(Daily_KPI[[#This Row],[Date]])</f>
        <v>2025</v>
      </c>
      <c r="D107" s="235">
        <f>Daily_KPI[[#This Row],[Date]]-DAY(Daily_KPI[[#This Row],[Date]])+1</f>
        <v>45931</v>
      </c>
      <c r="E107" s="234">
        <f t="shared" si="10"/>
        <v>31</v>
      </c>
      <c r="F107" s="236">
        <f>IFERROR(_xlfn.XLOOKUP($A107,Input_Raw!$A:$A,Input_Raw!$BM:$BM),"")</f>
        <v>0</v>
      </c>
      <c r="G107" s="237">
        <f>IFERROR(_xlfn.XLOOKUP($A107,Input_Raw!$A:$A,Input_Raw!$AN:$AN),"")</f>
        <v>0</v>
      </c>
      <c r="H107" s="237"/>
      <c r="I107" s="237">
        <f>IFERROR(_xlfn.XLOOKUP($A107,Input_Raw!$A:$A,Input_Raw!$AM:$AM),"")</f>
        <v>0</v>
      </c>
      <c r="J107" s="237"/>
      <c r="K107" s="237">
        <f>IFERROR(_xlfn.XLOOKUP($A107,Input_Raw!$A:$A,Input_Raw!AO:AO),"")</f>
        <v>0</v>
      </c>
      <c r="L107" s="237">
        <f>IFERROR(_xlfn.XLOOKUP($A107,Input_Raw!$A:$A,Input_Raw!AP:AP),"")</f>
        <v>0</v>
      </c>
      <c r="M107" s="237">
        <f>IFERROR(_xlfn.XLOOKUP($A107,Input_Raw!$A:$A,Input_Raw!AS:AS),"")</f>
        <v>0</v>
      </c>
      <c r="N107" s="237">
        <f>IFERROR(_xlfn.XLOOKUP($A107,Input_Raw!$A:$A,Input_Raw!AT:AT),"")</f>
        <v>0</v>
      </c>
      <c r="O107" s="238" t="str">
        <f>IFERROR(1-(SUMIF(Plant_BD!$B:$B,$A107,Plant_BD!$AL:$AL)/($AA107+SUMIF(Plant_BD!$B:$B,$A107,Plant_BD!$AL:$AL))),"")</f>
        <v/>
      </c>
      <c r="P107" s="238"/>
      <c r="Q107" s="239"/>
      <c r="R107" s="238" t="str">
        <f>IFERROR(1-(SUMIF(Grid_BD!$B:$B,$A107,Grid_BD!$V:$V)/($AA107+SUMIF(Grid_BD!$B:$B,$A107,Grid_BD!$V:$V))),"")</f>
        <v/>
      </c>
      <c r="S107" s="234"/>
      <c r="T107" s="239"/>
      <c r="U107" s="240" t="str">
        <f t="shared" si="11"/>
        <v/>
      </c>
      <c r="V107" s="240" t="str">
        <f>IFERROR(_xlfn.XLOOKUP($A107,Input_Raw!$A:$A,Input_Raw!$BS:$BS),"")</f>
        <v/>
      </c>
      <c r="W107" s="241">
        <f t="shared" si="12"/>
        <v>0</v>
      </c>
      <c r="X107" s="233">
        <f>IFERROR(_xlfn.XLOOKUP($A107,Input_Raw!$A:$A,Input_Raw!$AW:$AW),"")</f>
        <v>0</v>
      </c>
      <c r="Y107" s="233">
        <f>IFERROR(_xlfn.XLOOKUP($A107,Input_Raw!$A:$A,Input_Raw!$BN:$BN),"")</f>
        <v>0</v>
      </c>
      <c r="Z107" s="233"/>
      <c r="AA107" s="233">
        <f>IFERROR(_xlfn.XLOOKUP($A107,Input_Raw!$A:$A,Input_Raw!$BO:$BO),"")</f>
        <v>0</v>
      </c>
      <c r="AB107" s="233">
        <f>IFERROR(_xlfn.XLOOKUP($A107,Input_Raw!$A:$A,Input_Raw!$BP:$BP),"")</f>
        <v>0</v>
      </c>
      <c r="AC107" s="242">
        <f>IFERROR(_xlfn.XLOOKUP($D107,'Modelling New'!$D:$D,'Modelling New'!P:P),"")</f>
        <v>5.4903225806451612</v>
      </c>
      <c r="AD107" s="233">
        <f>IFERROR(_xlfn.XLOOKUP($D107,'Modelling New'!$D:$D,'Modelling New'!T:T)*1000,"")</f>
        <v>410306.41807343106</v>
      </c>
      <c r="AE107" s="243">
        <f>IFERROR(_xlfn.XLOOKUP($D107,'Modelling New'!$D:$D,'Modelling New'!$O:$O),"")</f>
        <v>0.85116926356747413</v>
      </c>
      <c r="AF107" s="243">
        <f>IFERROR(_xlfn.XLOOKUP($D107,'Modelling New'!$D:$D,'Modelling New'!$W:$W),"")</f>
        <v>0.19471640948815067</v>
      </c>
      <c r="AG107" s="243">
        <f>IFERROR(_xlfn.XLOOKUP($D107,'Modelling New'!$D:$D,'Modelling New'!$AE:$AE),"")</f>
        <v>0.995</v>
      </c>
      <c r="AH107" s="243">
        <f>IFERROR(_xlfn.XLOOKUP($D107,'Modelling New'!$D:$D,'Modelling New'!$AF:$AF),"")</f>
        <v>0.995</v>
      </c>
      <c r="AI107" s="234"/>
      <c r="AJ107" s="234"/>
      <c r="AK107" s="234"/>
      <c r="AL107" s="234"/>
      <c r="AM107" s="234"/>
      <c r="AN107" s="244"/>
      <c r="AO107" s="241"/>
      <c r="AP107" s="241"/>
      <c r="AQ107" s="241"/>
      <c r="AR107" s="233">
        <f>_xlfn.XLOOKUP($D107,'Modelling New'!$D:$D,'Modelling New'!$N:$N)</f>
        <v>87.8</v>
      </c>
      <c r="AS107" s="233">
        <f t="shared" si="13"/>
        <v>0</v>
      </c>
    </row>
    <row r="108" spans="1:45">
      <c r="A108" s="232">
        <f t="shared" si="14"/>
        <v>45945</v>
      </c>
      <c r="B108" s="233">
        <f>YEAR(Daily_KPI[[#This Row],[Date]])+IF(MONTH(Daily_KPI[[#This Row],[Date]])&gt;=4,1,0)</f>
        <v>2026</v>
      </c>
      <c r="C108" s="234">
        <f>YEAR(Daily_KPI[[#This Row],[Date]])</f>
        <v>2025</v>
      </c>
      <c r="D108" s="235">
        <f>Daily_KPI[[#This Row],[Date]]-DAY(Daily_KPI[[#This Row],[Date]])+1</f>
        <v>45931</v>
      </c>
      <c r="E108" s="234">
        <f t="shared" si="10"/>
        <v>31</v>
      </c>
      <c r="F108" s="236">
        <f>IFERROR(_xlfn.XLOOKUP($A108,Input_Raw!$A:$A,Input_Raw!$BM:$BM),"")</f>
        <v>0</v>
      </c>
      <c r="G108" s="237">
        <f>IFERROR(_xlfn.XLOOKUP($A108,Input_Raw!$A:$A,Input_Raw!$AN:$AN),"")</f>
        <v>0</v>
      </c>
      <c r="H108" s="237"/>
      <c r="I108" s="237">
        <f>IFERROR(_xlfn.XLOOKUP($A108,Input_Raw!$A:$A,Input_Raw!$AM:$AM),"")</f>
        <v>0</v>
      </c>
      <c r="J108" s="237"/>
      <c r="K108" s="237">
        <f>IFERROR(_xlfn.XLOOKUP($A108,Input_Raw!$A:$A,Input_Raw!AO:AO),"")</f>
        <v>0</v>
      </c>
      <c r="L108" s="237">
        <f>IFERROR(_xlfn.XLOOKUP($A108,Input_Raw!$A:$A,Input_Raw!AP:AP),"")</f>
        <v>0</v>
      </c>
      <c r="M108" s="237">
        <f>IFERROR(_xlfn.XLOOKUP($A108,Input_Raw!$A:$A,Input_Raw!AS:AS),"")</f>
        <v>0</v>
      </c>
      <c r="N108" s="237">
        <f>IFERROR(_xlfn.XLOOKUP($A108,Input_Raw!$A:$A,Input_Raw!AT:AT),"")</f>
        <v>0</v>
      </c>
      <c r="O108" s="238" t="str">
        <f>IFERROR(1-(SUMIF(Plant_BD!$B:$B,$A108,Plant_BD!$AL:$AL)/($AA108+SUMIF(Plant_BD!$B:$B,$A108,Plant_BD!$AL:$AL))),"")</f>
        <v/>
      </c>
      <c r="P108" s="238"/>
      <c r="Q108" s="239"/>
      <c r="R108" s="238" t="str">
        <f>IFERROR(1-(SUMIF(Grid_BD!$B:$B,$A108,Grid_BD!$V:$V)/($AA108+SUMIF(Grid_BD!$B:$B,$A108,Grid_BD!$V:$V))),"")</f>
        <v/>
      </c>
      <c r="S108" s="234"/>
      <c r="T108" s="239"/>
      <c r="U108" s="240" t="str">
        <f t="shared" si="11"/>
        <v/>
      </c>
      <c r="V108" s="240" t="str">
        <f>IFERROR(_xlfn.XLOOKUP($A108,Input_Raw!$A:$A,Input_Raw!$BS:$BS),"")</f>
        <v/>
      </c>
      <c r="W108" s="241">
        <f t="shared" si="12"/>
        <v>0</v>
      </c>
      <c r="X108" s="233">
        <f>IFERROR(_xlfn.XLOOKUP($A108,Input_Raw!$A:$A,Input_Raw!$AW:$AW),"")</f>
        <v>0</v>
      </c>
      <c r="Y108" s="233">
        <f>IFERROR(_xlfn.XLOOKUP($A108,Input_Raw!$A:$A,Input_Raw!$BN:$BN),"")</f>
        <v>0</v>
      </c>
      <c r="Z108" s="233"/>
      <c r="AA108" s="233">
        <f>IFERROR(_xlfn.XLOOKUP($A108,Input_Raw!$A:$A,Input_Raw!$BO:$BO),"")</f>
        <v>0</v>
      </c>
      <c r="AB108" s="233">
        <f>IFERROR(_xlfn.XLOOKUP($A108,Input_Raw!$A:$A,Input_Raw!$BP:$BP),"")</f>
        <v>0</v>
      </c>
      <c r="AC108" s="242">
        <f>IFERROR(_xlfn.XLOOKUP($D108,'Modelling New'!$D:$D,'Modelling New'!P:P),"")</f>
        <v>5.4903225806451612</v>
      </c>
      <c r="AD108" s="233">
        <f>IFERROR(_xlfn.XLOOKUP($D108,'Modelling New'!$D:$D,'Modelling New'!T:T)*1000,"")</f>
        <v>410306.41807343106</v>
      </c>
      <c r="AE108" s="243">
        <f>IFERROR(_xlfn.XLOOKUP($D108,'Modelling New'!$D:$D,'Modelling New'!$O:$O),"")</f>
        <v>0.85116926356747413</v>
      </c>
      <c r="AF108" s="243">
        <f>IFERROR(_xlfn.XLOOKUP($D108,'Modelling New'!$D:$D,'Modelling New'!$W:$W),"")</f>
        <v>0.19471640948815067</v>
      </c>
      <c r="AG108" s="243">
        <f>IFERROR(_xlfn.XLOOKUP($D108,'Modelling New'!$D:$D,'Modelling New'!$AE:$AE),"")</f>
        <v>0.995</v>
      </c>
      <c r="AH108" s="243">
        <f>IFERROR(_xlfn.XLOOKUP($D108,'Modelling New'!$D:$D,'Modelling New'!$AF:$AF),"")</f>
        <v>0.995</v>
      </c>
      <c r="AI108" s="234"/>
      <c r="AJ108" s="234"/>
      <c r="AK108" s="234"/>
      <c r="AL108" s="234"/>
      <c r="AM108" s="234"/>
      <c r="AN108" s="244"/>
      <c r="AO108" s="241"/>
      <c r="AP108" s="241"/>
      <c r="AQ108" s="241"/>
      <c r="AR108" s="233">
        <f>_xlfn.XLOOKUP($D108,'Modelling New'!$D:$D,'Modelling New'!$N:$N)</f>
        <v>87.8</v>
      </c>
      <c r="AS108" s="233">
        <f t="shared" si="13"/>
        <v>0</v>
      </c>
    </row>
    <row r="109" spans="1:45">
      <c r="A109" s="232">
        <f t="shared" si="14"/>
        <v>45946</v>
      </c>
      <c r="B109" s="233">
        <f>YEAR(Daily_KPI[[#This Row],[Date]])+IF(MONTH(Daily_KPI[[#This Row],[Date]])&gt;=4,1,0)</f>
        <v>2026</v>
      </c>
      <c r="C109" s="234">
        <f>YEAR(Daily_KPI[[#This Row],[Date]])</f>
        <v>2025</v>
      </c>
      <c r="D109" s="235">
        <f>Daily_KPI[[#This Row],[Date]]-DAY(Daily_KPI[[#This Row],[Date]])+1</f>
        <v>45931</v>
      </c>
      <c r="E109" s="234">
        <f t="shared" si="10"/>
        <v>31</v>
      </c>
      <c r="F109" s="236">
        <f>IFERROR(_xlfn.XLOOKUP($A109,Input_Raw!$A:$A,Input_Raw!$BM:$BM),"")</f>
        <v>0</v>
      </c>
      <c r="G109" s="237">
        <f>IFERROR(_xlfn.XLOOKUP($A109,Input_Raw!$A:$A,Input_Raw!$AN:$AN),"")</f>
        <v>0</v>
      </c>
      <c r="H109" s="237"/>
      <c r="I109" s="237">
        <f>IFERROR(_xlfn.XLOOKUP($A109,Input_Raw!$A:$A,Input_Raw!$AM:$AM),"")</f>
        <v>0</v>
      </c>
      <c r="J109" s="237"/>
      <c r="K109" s="237">
        <f>IFERROR(_xlfn.XLOOKUP($A109,Input_Raw!$A:$A,Input_Raw!AO:AO),"")</f>
        <v>0</v>
      </c>
      <c r="L109" s="237">
        <f>IFERROR(_xlfn.XLOOKUP($A109,Input_Raw!$A:$A,Input_Raw!AP:AP),"")</f>
        <v>0</v>
      </c>
      <c r="M109" s="237">
        <f>IFERROR(_xlfn.XLOOKUP($A109,Input_Raw!$A:$A,Input_Raw!AS:AS),"")</f>
        <v>0</v>
      </c>
      <c r="N109" s="237">
        <f>IFERROR(_xlfn.XLOOKUP($A109,Input_Raw!$A:$A,Input_Raw!AT:AT),"")</f>
        <v>0</v>
      </c>
      <c r="O109" s="238" t="str">
        <f>IFERROR(1-(SUMIF(Plant_BD!$B:$B,$A109,Plant_BD!$AL:$AL)/($AA109+SUMIF(Plant_BD!$B:$B,$A109,Plant_BD!$AL:$AL))),"")</f>
        <v/>
      </c>
      <c r="P109" s="238"/>
      <c r="Q109" s="239"/>
      <c r="R109" s="238" t="str">
        <f>IFERROR(1-(SUMIF(Grid_BD!$B:$B,$A109,Grid_BD!$V:$V)/($AA109+SUMIF(Grid_BD!$B:$B,$A109,Grid_BD!$V:$V))),"")</f>
        <v/>
      </c>
      <c r="S109" s="234"/>
      <c r="T109" s="239"/>
      <c r="U109" s="240" t="str">
        <f t="shared" si="11"/>
        <v/>
      </c>
      <c r="V109" s="240" t="str">
        <f>IFERROR(_xlfn.XLOOKUP($A109,Input_Raw!$A:$A,Input_Raw!$BS:$BS),"")</f>
        <v/>
      </c>
      <c r="W109" s="241">
        <f t="shared" si="12"/>
        <v>0</v>
      </c>
      <c r="X109" s="233">
        <f>IFERROR(_xlfn.XLOOKUP($A109,Input_Raw!$A:$A,Input_Raw!$AW:$AW),"")</f>
        <v>0</v>
      </c>
      <c r="Y109" s="233">
        <f>IFERROR(_xlfn.XLOOKUP($A109,Input_Raw!$A:$A,Input_Raw!$BN:$BN),"")</f>
        <v>0</v>
      </c>
      <c r="Z109" s="233"/>
      <c r="AA109" s="233">
        <f>IFERROR(_xlfn.XLOOKUP($A109,Input_Raw!$A:$A,Input_Raw!$BO:$BO),"")</f>
        <v>0</v>
      </c>
      <c r="AB109" s="233">
        <f>IFERROR(_xlfn.XLOOKUP($A109,Input_Raw!$A:$A,Input_Raw!$BP:$BP),"")</f>
        <v>0</v>
      </c>
      <c r="AC109" s="242">
        <f>IFERROR(_xlfn.XLOOKUP($D109,'Modelling New'!$D:$D,'Modelling New'!P:P),"")</f>
        <v>5.4903225806451612</v>
      </c>
      <c r="AD109" s="233">
        <f>IFERROR(_xlfn.XLOOKUP($D109,'Modelling New'!$D:$D,'Modelling New'!T:T)*1000,"")</f>
        <v>410306.41807343106</v>
      </c>
      <c r="AE109" s="243">
        <f>IFERROR(_xlfn.XLOOKUP($D109,'Modelling New'!$D:$D,'Modelling New'!$O:$O),"")</f>
        <v>0.85116926356747413</v>
      </c>
      <c r="AF109" s="243">
        <f>IFERROR(_xlfn.XLOOKUP($D109,'Modelling New'!$D:$D,'Modelling New'!$W:$W),"")</f>
        <v>0.19471640948815067</v>
      </c>
      <c r="AG109" s="243">
        <f>IFERROR(_xlfn.XLOOKUP($D109,'Modelling New'!$D:$D,'Modelling New'!$AE:$AE),"")</f>
        <v>0.995</v>
      </c>
      <c r="AH109" s="243">
        <f>IFERROR(_xlfn.XLOOKUP($D109,'Modelling New'!$D:$D,'Modelling New'!$AF:$AF),"")</f>
        <v>0.995</v>
      </c>
      <c r="AI109" s="234"/>
      <c r="AJ109" s="234"/>
      <c r="AK109" s="234"/>
      <c r="AL109" s="234"/>
      <c r="AM109" s="234"/>
      <c r="AN109" s="244"/>
      <c r="AO109" s="241"/>
      <c r="AP109" s="241"/>
      <c r="AQ109" s="241"/>
      <c r="AR109" s="233">
        <f>_xlfn.XLOOKUP($D109,'Modelling New'!$D:$D,'Modelling New'!$N:$N)</f>
        <v>87.8</v>
      </c>
      <c r="AS109" s="233">
        <f t="shared" si="13"/>
        <v>0</v>
      </c>
    </row>
    <row r="110" spans="1:45">
      <c r="A110" s="232">
        <f t="shared" si="14"/>
        <v>45947</v>
      </c>
      <c r="B110" s="233">
        <f>YEAR(Daily_KPI[[#This Row],[Date]])+IF(MONTH(Daily_KPI[[#This Row],[Date]])&gt;=4,1,0)</f>
        <v>2026</v>
      </c>
      <c r="C110" s="234">
        <f>YEAR(Daily_KPI[[#This Row],[Date]])</f>
        <v>2025</v>
      </c>
      <c r="D110" s="235">
        <f>Daily_KPI[[#This Row],[Date]]-DAY(Daily_KPI[[#This Row],[Date]])+1</f>
        <v>45931</v>
      </c>
      <c r="E110" s="234">
        <f t="shared" si="10"/>
        <v>31</v>
      </c>
      <c r="F110" s="236">
        <f>IFERROR(_xlfn.XLOOKUP($A110,Input_Raw!$A:$A,Input_Raw!$BM:$BM),"")</f>
        <v>0</v>
      </c>
      <c r="G110" s="237">
        <f>IFERROR(_xlfn.XLOOKUP($A110,Input_Raw!$A:$A,Input_Raw!$AN:$AN),"")</f>
        <v>0</v>
      </c>
      <c r="H110" s="237"/>
      <c r="I110" s="237">
        <f>IFERROR(_xlfn.XLOOKUP($A110,Input_Raw!$A:$A,Input_Raw!$AM:$AM),"")</f>
        <v>0</v>
      </c>
      <c r="J110" s="237"/>
      <c r="K110" s="237">
        <f>IFERROR(_xlfn.XLOOKUP($A110,Input_Raw!$A:$A,Input_Raw!AO:AO),"")</f>
        <v>0</v>
      </c>
      <c r="L110" s="237">
        <f>IFERROR(_xlfn.XLOOKUP($A110,Input_Raw!$A:$A,Input_Raw!AP:AP),"")</f>
        <v>0</v>
      </c>
      <c r="M110" s="237">
        <f>IFERROR(_xlfn.XLOOKUP($A110,Input_Raw!$A:$A,Input_Raw!AS:AS),"")</f>
        <v>0</v>
      </c>
      <c r="N110" s="237">
        <f>IFERROR(_xlfn.XLOOKUP($A110,Input_Raw!$A:$A,Input_Raw!AT:AT),"")</f>
        <v>0</v>
      </c>
      <c r="O110" s="238" t="str">
        <f>IFERROR(1-(SUMIF(Plant_BD!$B:$B,$A110,Plant_BD!$AL:$AL)/($AA110+SUMIF(Plant_BD!$B:$B,$A110,Plant_BD!$AL:$AL))),"")</f>
        <v/>
      </c>
      <c r="P110" s="238"/>
      <c r="Q110" s="239"/>
      <c r="R110" s="238" t="str">
        <f>IFERROR(1-(SUMIF(Grid_BD!$B:$B,$A110,Grid_BD!$V:$V)/($AA110+SUMIF(Grid_BD!$B:$B,$A110,Grid_BD!$V:$V))),"")</f>
        <v/>
      </c>
      <c r="S110" s="234"/>
      <c r="T110" s="239"/>
      <c r="U110" s="240" t="str">
        <f t="shared" si="11"/>
        <v/>
      </c>
      <c r="V110" s="240" t="str">
        <f>IFERROR(_xlfn.XLOOKUP($A110,Input_Raw!$A:$A,Input_Raw!$BS:$BS),"")</f>
        <v/>
      </c>
      <c r="W110" s="241">
        <f t="shared" si="12"/>
        <v>0</v>
      </c>
      <c r="X110" s="233">
        <f>IFERROR(_xlfn.XLOOKUP($A110,Input_Raw!$A:$A,Input_Raw!$AW:$AW),"")</f>
        <v>0</v>
      </c>
      <c r="Y110" s="233">
        <f>IFERROR(_xlfn.XLOOKUP($A110,Input_Raw!$A:$A,Input_Raw!$BN:$BN),"")</f>
        <v>0</v>
      </c>
      <c r="Z110" s="233"/>
      <c r="AA110" s="233">
        <f>IFERROR(_xlfn.XLOOKUP($A110,Input_Raw!$A:$A,Input_Raw!$BO:$BO),"")</f>
        <v>0</v>
      </c>
      <c r="AB110" s="233">
        <f>IFERROR(_xlfn.XLOOKUP($A110,Input_Raw!$A:$A,Input_Raw!$BP:$BP),"")</f>
        <v>0</v>
      </c>
      <c r="AC110" s="242">
        <f>IFERROR(_xlfn.XLOOKUP($D110,'Modelling New'!$D:$D,'Modelling New'!P:P),"")</f>
        <v>5.4903225806451612</v>
      </c>
      <c r="AD110" s="233">
        <f>IFERROR(_xlfn.XLOOKUP($D110,'Modelling New'!$D:$D,'Modelling New'!T:T)*1000,"")</f>
        <v>410306.41807343106</v>
      </c>
      <c r="AE110" s="243">
        <f>IFERROR(_xlfn.XLOOKUP($D110,'Modelling New'!$D:$D,'Modelling New'!$O:$O),"")</f>
        <v>0.85116926356747413</v>
      </c>
      <c r="AF110" s="243">
        <f>IFERROR(_xlfn.XLOOKUP($D110,'Modelling New'!$D:$D,'Modelling New'!$W:$W),"")</f>
        <v>0.19471640948815067</v>
      </c>
      <c r="AG110" s="243">
        <f>IFERROR(_xlfn.XLOOKUP($D110,'Modelling New'!$D:$D,'Modelling New'!$AE:$AE),"")</f>
        <v>0.995</v>
      </c>
      <c r="AH110" s="243">
        <f>IFERROR(_xlfn.XLOOKUP($D110,'Modelling New'!$D:$D,'Modelling New'!$AF:$AF),"")</f>
        <v>0.995</v>
      </c>
      <c r="AI110" s="234"/>
      <c r="AJ110" s="234"/>
      <c r="AK110" s="234"/>
      <c r="AL110" s="234"/>
      <c r="AM110" s="234"/>
      <c r="AN110" s="244"/>
      <c r="AO110" s="241"/>
      <c r="AP110" s="241"/>
      <c r="AQ110" s="241"/>
      <c r="AR110" s="233">
        <f>_xlfn.XLOOKUP($D110,'Modelling New'!$D:$D,'Modelling New'!$N:$N)</f>
        <v>87.8</v>
      </c>
      <c r="AS110" s="233">
        <f t="shared" si="13"/>
        <v>0</v>
      </c>
    </row>
    <row r="111" spans="1:45">
      <c r="A111" s="232">
        <f t="shared" si="14"/>
        <v>45948</v>
      </c>
      <c r="B111" s="233">
        <f>YEAR(Daily_KPI[[#This Row],[Date]])+IF(MONTH(Daily_KPI[[#This Row],[Date]])&gt;=4,1,0)</f>
        <v>2026</v>
      </c>
      <c r="C111" s="234">
        <f>YEAR(Daily_KPI[[#This Row],[Date]])</f>
        <v>2025</v>
      </c>
      <c r="D111" s="235">
        <f>Daily_KPI[[#This Row],[Date]]-DAY(Daily_KPI[[#This Row],[Date]])+1</f>
        <v>45931</v>
      </c>
      <c r="E111" s="234">
        <f t="shared" si="10"/>
        <v>31</v>
      </c>
      <c r="F111" s="236">
        <f>IFERROR(_xlfn.XLOOKUP($A111,Input_Raw!$A:$A,Input_Raw!$BM:$BM),"")</f>
        <v>0</v>
      </c>
      <c r="G111" s="237">
        <f>IFERROR(_xlfn.XLOOKUP($A111,Input_Raw!$A:$A,Input_Raw!$AN:$AN),"")</f>
        <v>0</v>
      </c>
      <c r="H111" s="237"/>
      <c r="I111" s="237">
        <f>IFERROR(_xlfn.XLOOKUP($A111,Input_Raw!$A:$A,Input_Raw!$AM:$AM),"")</f>
        <v>0</v>
      </c>
      <c r="J111" s="237"/>
      <c r="K111" s="237">
        <f>IFERROR(_xlfn.XLOOKUP($A111,Input_Raw!$A:$A,Input_Raw!AO:AO),"")</f>
        <v>0</v>
      </c>
      <c r="L111" s="237">
        <f>IFERROR(_xlfn.XLOOKUP($A111,Input_Raw!$A:$A,Input_Raw!AP:AP),"")</f>
        <v>0</v>
      </c>
      <c r="M111" s="237">
        <f>IFERROR(_xlfn.XLOOKUP($A111,Input_Raw!$A:$A,Input_Raw!AS:AS),"")</f>
        <v>0</v>
      </c>
      <c r="N111" s="237">
        <f>IFERROR(_xlfn.XLOOKUP($A111,Input_Raw!$A:$A,Input_Raw!AT:AT),"")</f>
        <v>0</v>
      </c>
      <c r="O111" s="238" t="str">
        <f>IFERROR(1-(SUMIF(Plant_BD!$B:$B,$A111,Plant_BD!$AL:$AL)/($AA111+SUMIF(Plant_BD!$B:$B,$A111,Plant_BD!$AL:$AL))),"")</f>
        <v/>
      </c>
      <c r="P111" s="238"/>
      <c r="Q111" s="239"/>
      <c r="R111" s="238" t="str">
        <f>IFERROR(1-(SUMIF(Grid_BD!$B:$B,$A111,Grid_BD!$V:$V)/($AA111+SUMIF(Grid_BD!$B:$B,$A111,Grid_BD!$V:$V))),"")</f>
        <v/>
      </c>
      <c r="S111" s="234"/>
      <c r="T111" s="239"/>
      <c r="U111" s="240" t="str">
        <f t="shared" si="11"/>
        <v/>
      </c>
      <c r="V111" s="240" t="str">
        <f>IFERROR(_xlfn.XLOOKUP($A111,Input_Raw!$A:$A,Input_Raw!$BS:$BS),"")</f>
        <v/>
      </c>
      <c r="W111" s="241">
        <f t="shared" si="12"/>
        <v>0</v>
      </c>
      <c r="X111" s="233">
        <f>IFERROR(_xlfn.XLOOKUP($A111,Input_Raw!$A:$A,Input_Raw!$AW:$AW),"")</f>
        <v>0</v>
      </c>
      <c r="Y111" s="233">
        <f>IFERROR(_xlfn.XLOOKUP($A111,Input_Raw!$A:$A,Input_Raw!$BN:$BN),"")</f>
        <v>0</v>
      </c>
      <c r="Z111" s="233"/>
      <c r="AA111" s="233">
        <f>IFERROR(_xlfn.XLOOKUP($A111,Input_Raw!$A:$A,Input_Raw!$BO:$BO),"")</f>
        <v>0</v>
      </c>
      <c r="AB111" s="233">
        <f>IFERROR(_xlfn.XLOOKUP($A111,Input_Raw!$A:$A,Input_Raw!$BP:$BP),"")</f>
        <v>0</v>
      </c>
      <c r="AC111" s="242">
        <f>IFERROR(_xlfn.XLOOKUP($D111,'Modelling New'!$D:$D,'Modelling New'!P:P),"")</f>
        <v>5.4903225806451612</v>
      </c>
      <c r="AD111" s="233">
        <f>IFERROR(_xlfn.XLOOKUP($D111,'Modelling New'!$D:$D,'Modelling New'!T:T)*1000,"")</f>
        <v>410306.41807343106</v>
      </c>
      <c r="AE111" s="243">
        <f>IFERROR(_xlfn.XLOOKUP($D111,'Modelling New'!$D:$D,'Modelling New'!$O:$O),"")</f>
        <v>0.85116926356747413</v>
      </c>
      <c r="AF111" s="243">
        <f>IFERROR(_xlfn.XLOOKUP($D111,'Modelling New'!$D:$D,'Modelling New'!$W:$W),"")</f>
        <v>0.19471640948815067</v>
      </c>
      <c r="AG111" s="243">
        <f>IFERROR(_xlfn.XLOOKUP($D111,'Modelling New'!$D:$D,'Modelling New'!$AE:$AE),"")</f>
        <v>0.995</v>
      </c>
      <c r="AH111" s="243">
        <f>IFERROR(_xlfn.XLOOKUP($D111,'Modelling New'!$D:$D,'Modelling New'!$AF:$AF),"")</f>
        <v>0.995</v>
      </c>
      <c r="AI111" s="234"/>
      <c r="AJ111" s="234"/>
      <c r="AK111" s="234"/>
      <c r="AL111" s="234"/>
      <c r="AM111" s="234"/>
      <c r="AN111" s="244"/>
      <c r="AO111" s="241"/>
      <c r="AP111" s="241"/>
      <c r="AQ111" s="241"/>
      <c r="AR111" s="233">
        <f>_xlfn.XLOOKUP($D111,'Modelling New'!$D:$D,'Modelling New'!$N:$N)</f>
        <v>87.8</v>
      </c>
      <c r="AS111" s="233">
        <f t="shared" si="13"/>
        <v>0</v>
      </c>
    </row>
    <row r="112" spans="1:45">
      <c r="A112" s="232">
        <f t="shared" si="14"/>
        <v>45949</v>
      </c>
      <c r="B112" s="233">
        <f>YEAR(Daily_KPI[[#This Row],[Date]])+IF(MONTH(Daily_KPI[[#This Row],[Date]])&gt;=4,1,0)</f>
        <v>2026</v>
      </c>
      <c r="C112" s="234">
        <f>YEAR(Daily_KPI[[#This Row],[Date]])</f>
        <v>2025</v>
      </c>
      <c r="D112" s="235">
        <f>Daily_KPI[[#This Row],[Date]]-DAY(Daily_KPI[[#This Row],[Date]])+1</f>
        <v>45931</v>
      </c>
      <c r="E112" s="234">
        <f t="shared" si="10"/>
        <v>31</v>
      </c>
      <c r="F112" s="236">
        <f>IFERROR(_xlfn.XLOOKUP($A112,Input_Raw!$A:$A,Input_Raw!$BM:$BM),"")</f>
        <v>0</v>
      </c>
      <c r="G112" s="237">
        <f>IFERROR(_xlfn.XLOOKUP($A112,Input_Raw!$A:$A,Input_Raw!$AN:$AN),"")</f>
        <v>0</v>
      </c>
      <c r="H112" s="237"/>
      <c r="I112" s="237">
        <f>IFERROR(_xlfn.XLOOKUP($A112,Input_Raw!$A:$A,Input_Raw!$AM:$AM),"")</f>
        <v>0</v>
      </c>
      <c r="J112" s="237"/>
      <c r="K112" s="237">
        <f>IFERROR(_xlfn.XLOOKUP($A112,Input_Raw!$A:$A,Input_Raw!AO:AO),"")</f>
        <v>0</v>
      </c>
      <c r="L112" s="237">
        <f>IFERROR(_xlfn.XLOOKUP($A112,Input_Raw!$A:$A,Input_Raw!AP:AP),"")</f>
        <v>0</v>
      </c>
      <c r="M112" s="237">
        <f>IFERROR(_xlfn.XLOOKUP($A112,Input_Raw!$A:$A,Input_Raw!AS:AS),"")</f>
        <v>0</v>
      </c>
      <c r="N112" s="237">
        <f>IFERROR(_xlfn.XLOOKUP($A112,Input_Raw!$A:$A,Input_Raw!AT:AT),"")</f>
        <v>0</v>
      </c>
      <c r="O112" s="238" t="str">
        <f>IFERROR(1-(SUMIF(Plant_BD!$B:$B,$A112,Plant_BD!$AL:$AL)/($AA112+SUMIF(Plant_BD!$B:$B,$A112,Plant_BD!$AL:$AL))),"")</f>
        <v/>
      </c>
      <c r="P112" s="238"/>
      <c r="Q112" s="239"/>
      <c r="R112" s="238" t="str">
        <f>IFERROR(1-(SUMIF(Grid_BD!$B:$B,$A112,Grid_BD!$V:$V)/($AA112+SUMIF(Grid_BD!$B:$B,$A112,Grid_BD!$V:$V))),"")</f>
        <v/>
      </c>
      <c r="S112" s="234"/>
      <c r="T112" s="239"/>
      <c r="U112" s="240" t="str">
        <f t="shared" si="11"/>
        <v/>
      </c>
      <c r="V112" s="240" t="str">
        <f>IFERROR(_xlfn.XLOOKUP($A112,Input_Raw!$A:$A,Input_Raw!$BS:$BS),"")</f>
        <v/>
      </c>
      <c r="W112" s="241">
        <f t="shared" si="12"/>
        <v>0</v>
      </c>
      <c r="X112" s="233">
        <f>IFERROR(_xlfn.XLOOKUP($A112,Input_Raw!$A:$A,Input_Raw!$AW:$AW),"")</f>
        <v>0</v>
      </c>
      <c r="Y112" s="233">
        <f>IFERROR(_xlfn.XLOOKUP($A112,Input_Raw!$A:$A,Input_Raw!$BN:$BN),"")</f>
        <v>0</v>
      </c>
      <c r="Z112" s="233"/>
      <c r="AA112" s="233">
        <f>IFERROR(_xlfn.XLOOKUP($A112,Input_Raw!$A:$A,Input_Raw!$BO:$BO),"")</f>
        <v>0</v>
      </c>
      <c r="AB112" s="233">
        <f>IFERROR(_xlfn.XLOOKUP($A112,Input_Raw!$A:$A,Input_Raw!$BP:$BP),"")</f>
        <v>0</v>
      </c>
      <c r="AC112" s="242">
        <f>IFERROR(_xlfn.XLOOKUP($D112,'Modelling New'!$D:$D,'Modelling New'!P:P),"")</f>
        <v>5.4903225806451612</v>
      </c>
      <c r="AD112" s="233">
        <f>IFERROR(_xlfn.XLOOKUP($D112,'Modelling New'!$D:$D,'Modelling New'!T:T)*1000,"")</f>
        <v>410306.41807343106</v>
      </c>
      <c r="AE112" s="243">
        <f>IFERROR(_xlfn.XLOOKUP($D112,'Modelling New'!$D:$D,'Modelling New'!$O:$O),"")</f>
        <v>0.85116926356747413</v>
      </c>
      <c r="AF112" s="243">
        <f>IFERROR(_xlfn.XLOOKUP($D112,'Modelling New'!$D:$D,'Modelling New'!$W:$W),"")</f>
        <v>0.19471640948815067</v>
      </c>
      <c r="AG112" s="243">
        <f>IFERROR(_xlfn.XLOOKUP($D112,'Modelling New'!$D:$D,'Modelling New'!$AE:$AE),"")</f>
        <v>0.995</v>
      </c>
      <c r="AH112" s="243">
        <f>IFERROR(_xlfn.XLOOKUP($D112,'Modelling New'!$D:$D,'Modelling New'!$AF:$AF),"")</f>
        <v>0.995</v>
      </c>
      <c r="AI112" s="234"/>
      <c r="AJ112" s="234"/>
      <c r="AK112" s="234"/>
      <c r="AL112" s="234"/>
      <c r="AM112" s="234"/>
      <c r="AN112" s="244"/>
      <c r="AO112" s="241"/>
      <c r="AP112" s="241"/>
      <c r="AQ112" s="241"/>
      <c r="AR112" s="233">
        <f>_xlfn.XLOOKUP($D112,'Modelling New'!$D:$D,'Modelling New'!$N:$N)</f>
        <v>87.8</v>
      </c>
      <c r="AS112" s="233">
        <f t="shared" si="13"/>
        <v>0</v>
      </c>
    </row>
    <row r="113" spans="1:45">
      <c r="A113" s="232">
        <f t="shared" si="14"/>
        <v>45950</v>
      </c>
      <c r="B113" s="233">
        <f>YEAR(Daily_KPI[[#This Row],[Date]])+IF(MONTH(Daily_KPI[[#This Row],[Date]])&gt;=4,1,0)</f>
        <v>2026</v>
      </c>
      <c r="C113" s="234">
        <f>YEAR(Daily_KPI[[#This Row],[Date]])</f>
        <v>2025</v>
      </c>
      <c r="D113" s="235">
        <f>Daily_KPI[[#This Row],[Date]]-DAY(Daily_KPI[[#This Row],[Date]])+1</f>
        <v>45931</v>
      </c>
      <c r="E113" s="234">
        <f t="shared" si="10"/>
        <v>31</v>
      </c>
      <c r="F113" s="236">
        <f>IFERROR(_xlfn.XLOOKUP($A113,Input_Raw!$A:$A,Input_Raw!$BM:$BM),"")</f>
        <v>0</v>
      </c>
      <c r="G113" s="237">
        <f>IFERROR(_xlfn.XLOOKUP($A113,Input_Raw!$A:$A,Input_Raw!$AN:$AN),"")</f>
        <v>0</v>
      </c>
      <c r="H113" s="237"/>
      <c r="I113" s="237">
        <f>IFERROR(_xlfn.XLOOKUP($A113,Input_Raw!$A:$A,Input_Raw!$AM:$AM),"")</f>
        <v>0</v>
      </c>
      <c r="J113" s="237"/>
      <c r="K113" s="237">
        <f>IFERROR(_xlfn.XLOOKUP($A113,Input_Raw!$A:$A,Input_Raw!AO:AO),"")</f>
        <v>0</v>
      </c>
      <c r="L113" s="237">
        <f>IFERROR(_xlfn.XLOOKUP($A113,Input_Raw!$A:$A,Input_Raw!AP:AP),"")</f>
        <v>0</v>
      </c>
      <c r="M113" s="237">
        <f>IFERROR(_xlfn.XLOOKUP($A113,Input_Raw!$A:$A,Input_Raw!AS:AS),"")</f>
        <v>0</v>
      </c>
      <c r="N113" s="237">
        <f>IFERROR(_xlfn.XLOOKUP($A113,Input_Raw!$A:$A,Input_Raw!AT:AT),"")</f>
        <v>0</v>
      </c>
      <c r="O113" s="238" t="str">
        <f>IFERROR(1-(SUMIF(Plant_BD!$B:$B,$A113,Plant_BD!$AL:$AL)/($AA113+SUMIF(Plant_BD!$B:$B,$A113,Plant_BD!$AL:$AL))),"")</f>
        <v/>
      </c>
      <c r="P113" s="238"/>
      <c r="Q113" s="239"/>
      <c r="R113" s="238" t="str">
        <f>IFERROR(1-(SUMIF(Grid_BD!$B:$B,$A113,Grid_BD!$V:$V)/($AA113+SUMIF(Grid_BD!$B:$B,$A113,Grid_BD!$V:$V))),"")</f>
        <v/>
      </c>
      <c r="S113" s="234"/>
      <c r="T113" s="239"/>
      <c r="U113" s="240" t="str">
        <f t="shared" si="11"/>
        <v/>
      </c>
      <c r="V113" s="240" t="str">
        <f>IFERROR(_xlfn.XLOOKUP($A113,Input_Raw!$A:$A,Input_Raw!$BS:$BS),"")</f>
        <v/>
      </c>
      <c r="W113" s="241">
        <f t="shared" si="12"/>
        <v>0</v>
      </c>
      <c r="X113" s="233">
        <f>IFERROR(_xlfn.XLOOKUP($A113,Input_Raw!$A:$A,Input_Raw!$AW:$AW),"")</f>
        <v>0</v>
      </c>
      <c r="Y113" s="233">
        <f>IFERROR(_xlfn.XLOOKUP($A113,Input_Raw!$A:$A,Input_Raw!$BN:$BN),"")</f>
        <v>0</v>
      </c>
      <c r="Z113" s="233"/>
      <c r="AA113" s="233">
        <f>IFERROR(_xlfn.XLOOKUP($A113,Input_Raw!$A:$A,Input_Raw!$BO:$BO),"")</f>
        <v>0</v>
      </c>
      <c r="AB113" s="233">
        <f>IFERROR(_xlfn.XLOOKUP($A113,Input_Raw!$A:$A,Input_Raw!$BP:$BP),"")</f>
        <v>0</v>
      </c>
      <c r="AC113" s="242">
        <f>IFERROR(_xlfn.XLOOKUP($D113,'Modelling New'!$D:$D,'Modelling New'!P:P),"")</f>
        <v>5.4903225806451612</v>
      </c>
      <c r="AD113" s="233">
        <f>IFERROR(_xlfn.XLOOKUP($D113,'Modelling New'!$D:$D,'Modelling New'!T:T)*1000,"")</f>
        <v>410306.41807343106</v>
      </c>
      <c r="AE113" s="243">
        <f>IFERROR(_xlfn.XLOOKUP($D113,'Modelling New'!$D:$D,'Modelling New'!$O:$O),"")</f>
        <v>0.85116926356747413</v>
      </c>
      <c r="AF113" s="243">
        <f>IFERROR(_xlfn.XLOOKUP($D113,'Modelling New'!$D:$D,'Modelling New'!$W:$W),"")</f>
        <v>0.19471640948815067</v>
      </c>
      <c r="AG113" s="243">
        <f>IFERROR(_xlfn.XLOOKUP($D113,'Modelling New'!$D:$D,'Modelling New'!$AE:$AE),"")</f>
        <v>0.995</v>
      </c>
      <c r="AH113" s="243">
        <f>IFERROR(_xlfn.XLOOKUP($D113,'Modelling New'!$D:$D,'Modelling New'!$AF:$AF),"")</f>
        <v>0.995</v>
      </c>
      <c r="AI113" s="234"/>
      <c r="AJ113" s="234"/>
      <c r="AK113" s="234"/>
      <c r="AL113" s="234"/>
      <c r="AM113" s="234"/>
      <c r="AN113" s="244"/>
      <c r="AO113" s="241"/>
      <c r="AP113" s="241"/>
      <c r="AQ113" s="241"/>
      <c r="AR113" s="233">
        <f>_xlfn.XLOOKUP($D113,'Modelling New'!$D:$D,'Modelling New'!$N:$N)</f>
        <v>87.8</v>
      </c>
      <c r="AS113" s="233">
        <f t="shared" si="13"/>
        <v>0</v>
      </c>
    </row>
    <row r="114" spans="1:45">
      <c r="A114" s="232">
        <f t="shared" si="14"/>
        <v>45951</v>
      </c>
      <c r="B114" s="233">
        <f>YEAR(Daily_KPI[[#This Row],[Date]])+IF(MONTH(Daily_KPI[[#This Row],[Date]])&gt;=4,1,0)</f>
        <v>2026</v>
      </c>
      <c r="C114" s="234">
        <f>YEAR(Daily_KPI[[#This Row],[Date]])</f>
        <v>2025</v>
      </c>
      <c r="D114" s="235">
        <f>Daily_KPI[[#This Row],[Date]]-DAY(Daily_KPI[[#This Row],[Date]])+1</f>
        <v>45931</v>
      </c>
      <c r="E114" s="234">
        <f t="shared" si="10"/>
        <v>31</v>
      </c>
      <c r="F114" s="236">
        <f>IFERROR(_xlfn.XLOOKUP($A114,Input_Raw!$A:$A,Input_Raw!$BM:$BM),"")</f>
        <v>0</v>
      </c>
      <c r="G114" s="237">
        <f>IFERROR(_xlfn.XLOOKUP($A114,Input_Raw!$A:$A,Input_Raw!$AN:$AN),"")</f>
        <v>0</v>
      </c>
      <c r="H114" s="237"/>
      <c r="I114" s="237">
        <f>IFERROR(_xlfn.XLOOKUP($A114,Input_Raw!$A:$A,Input_Raw!$AM:$AM),"")</f>
        <v>0</v>
      </c>
      <c r="J114" s="237"/>
      <c r="K114" s="237">
        <f>IFERROR(_xlfn.XLOOKUP($A114,Input_Raw!$A:$A,Input_Raw!AO:AO),"")</f>
        <v>0</v>
      </c>
      <c r="L114" s="237">
        <f>IFERROR(_xlfn.XLOOKUP($A114,Input_Raw!$A:$A,Input_Raw!AP:AP),"")</f>
        <v>0</v>
      </c>
      <c r="M114" s="237">
        <f>IFERROR(_xlfn.XLOOKUP($A114,Input_Raw!$A:$A,Input_Raw!AS:AS),"")</f>
        <v>0</v>
      </c>
      <c r="N114" s="237">
        <f>IFERROR(_xlfn.XLOOKUP($A114,Input_Raw!$A:$A,Input_Raw!AT:AT),"")</f>
        <v>0</v>
      </c>
      <c r="O114" s="238" t="str">
        <f>IFERROR(1-(SUMIF(Plant_BD!$B:$B,$A114,Plant_BD!$AL:$AL)/($AA114+SUMIF(Plant_BD!$B:$B,$A114,Plant_BD!$AL:$AL))),"")</f>
        <v/>
      </c>
      <c r="P114" s="238"/>
      <c r="Q114" s="239"/>
      <c r="R114" s="238" t="str">
        <f>IFERROR(1-(SUMIF(Grid_BD!$B:$B,$A114,Grid_BD!$V:$V)/($AA114+SUMIF(Grid_BD!$B:$B,$A114,Grid_BD!$V:$V))),"")</f>
        <v/>
      </c>
      <c r="S114" s="234"/>
      <c r="T114" s="239"/>
      <c r="U114" s="240" t="str">
        <f t="shared" si="11"/>
        <v/>
      </c>
      <c r="V114" s="240" t="str">
        <f>IFERROR(_xlfn.XLOOKUP($A114,Input_Raw!$A:$A,Input_Raw!$BS:$BS),"")</f>
        <v/>
      </c>
      <c r="W114" s="241">
        <f t="shared" si="12"/>
        <v>0</v>
      </c>
      <c r="X114" s="233">
        <f>IFERROR(_xlfn.XLOOKUP($A114,Input_Raw!$A:$A,Input_Raw!$AW:$AW),"")</f>
        <v>0</v>
      </c>
      <c r="Y114" s="233">
        <f>IFERROR(_xlfn.XLOOKUP($A114,Input_Raw!$A:$A,Input_Raw!$BN:$BN),"")</f>
        <v>0</v>
      </c>
      <c r="Z114" s="233"/>
      <c r="AA114" s="233">
        <f>IFERROR(_xlfn.XLOOKUP($A114,Input_Raw!$A:$A,Input_Raw!$BO:$BO),"")</f>
        <v>0</v>
      </c>
      <c r="AB114" s="233">
        <f>IFERROR(_xlfn.XLOOKUP($A114,Input_Raw!$A:$A,Input_Raw!$BP:$BP),"")</f>
        <v>0</v>
      </c>
      <c r="AC114" s="242">
        <f>IFERROR(_xlfn.XLOOKUP($D114,'Modelling New'!$D:$D,'Modelling New'!P:P),"")</f>
        <v>5.4903225806451612</v>
      </c>
      <c r="AD114" s="233">
        <f>IFERROR(_xlfn.XLOOKUP($D114,'Modelling New'!$D:$D,'Modelling New'!T:T)*1000,"")</f>
        <v>410306.41807343106</v>
      </c>
      <c r="AE114" s="243">
        <f>IFERROR(_xlfn.XLOOKUP($D114,'Modelling New'!$D:$D,'Modelling New'!$O:$O),"")</f>
        <v>0.85116926356747413</v>
      </c>
      <c r="AF114" s="243">
        <f>IFERROR(_xlfn.XLOOKUP($D114,'Modelling New'!$D:$D,'Modelling New'!$W:$W),"")</f>
        <v>0.19471640948815067</v>
      </c>
      <c r="AG114" s="243">
        <f>IFERROR(_xlfn.XLOOKUP($D114,'Modelling New'!$D:$D,'Modelling New'!$AE:$AE),"")</f>
        <v>0.995</v>
      </c>
      <c r="AH114" s="243">
        <f>IFERROR(_xlfn.XLOOKUP($D114,'Modelling New'!$D:$D,'Modelling New'!$AF:$AF),"")</f>
        <v>0.995</v>
      </c>
      <c r="AI114" s="234"/>
      <c r="AJ114" s="234"/>
      <c r="AK114" s="234"/>
      <c r="AL114" s="234"/>
      <c r="AM114" s="234"/>
      <c r="AN114" s="244"/>
      <c r="AO114" s="241"/>
      <c r="AP114" s="241"/>
      <c r="AQ114" s="241"/>
      <c r="AR114" s="233">
        <f>_xlfn.XLOOKUP($D114,'Modelling New'!$D:$D,'Modelling New'!$N:$N)</f>
        <v>87.8</v>
      </c>
      <c r="AS114" s="233">
        <f t="shared" si="13"/>
        <v>0</v>
      </c>
    </row>
    <row r="115" spans="1:45">
      <c r="A115" s="232">
        <f t="shared" si="14"/>
        <v>45952</v>
      </c>
      <c r="B115" s="233">
        <f>YEAR(Daily_KPI[[#This Row],[Date]])+IF(MONTH(Daily_KPI[[#This Row],[Date]])&gt;=4,1,0)</f>
        <v>2026</v>
      </c>
      <c r="C115" s="234">
        <f>YEAR(Daily_KPI[[#This Row],[Date]])</f>
        <v>2025</v>
      </c>
      <c r="D115" s="235">
        <f>Daily_KPI[[#This Row],[Date]]-DAY(Daily_KPI[[#This Row],[Date]])+1</f>
        <v>45931</v>
      </c>
      <c r="E115" s="234">
        <f t="shared" si="10"/>
        <v>31</v>
      </c>
      <c r="F115" s="236">
        <f>IFERROR(_xlfn.XLOOKUP($A115,Input_Raw!$A:$A,Input_Raw!$BM:$BM),"")</f>
        <v>0</v>
      </c>
      <c r="G115" s="237">
        <f>IFERROR(_xlfn.XLOOKUP($A115,Input_Raw!$A:$A,Input_Raw!$AN:$AN),"")</f>
        <v>0</v>
      </c>
      <c r="H115" s="237"/>
      <c r="I115" s="237">
        <f>IFERROR(_xlfn.XLOOKUP($A115,Input_Raw!$A:$A,Input_Raw!$AM:$AM),"")</f>
        <v>0</v>
      </c>
      <c r="J115" s="237"/>
      <c r="K115" s="237">
        <f>IFERROR(_xlfn.XLOOKUP($A115,Input_Raw!$A:$A,Input_Raw!AO:AO),"")</f>
        <v>0</v>
      </c>
      <c r="L115" s="237">
        <f>IFERROR(_xlfn.XLOOKUP($A115,Input_Raw!$A:$A,Input_Raw!AP:AP),"")</f>
        <v>0</v>
      </c>
      <c r="M115" s="237">
        <f>IFERROR(_xlfn.XLOOKUP($A115,Input_Raw!$A:$A,Input_Raw!AS:AS),"")</f>
        <v>0</v>
      </c>
      <c r="N115" s="237">
        <f>IFERROR(_xlfn.XLOOKUP($A115,Input_Raw!$A:$A,Input_Raw!AT:AT),"")</f>
        <v>0</v>
      </c>
      <c r="O115" s="238" t="str">
        <f>IFERROR(1-(SUMIF(Plant_BD!$B:$B,$A115,Plant_BD!$AL:$AL)/($AA115+SUMIF(Plant_BD!$B:$B,$A115,Plant_BD!$AL:$AL))),"")</f>
        <v/>
      </c>
      <c r="P115" s="238"/>
      <c r="Q115" s="239"/>
      <c r="R115" s="238" t="str">
        <f>IFERROR(1-(SUMIF(Grid_BD!$B:$B,$A115,Grid_BD!$V:$V)/($AA115+SUMIF(Grid_BD!$B:$B,$A115,Grid_BD!$V:$V))),"")</f>
        <v/>
      </c>
      <c r="S115" s="234"/>
      <c r="T115" s="239"/>
      <c r="U115" s="240" t="str">
        <f t="shared" si="11"/>
        <v/>
      </c>
      <c r="V115" s="240" t="str">
        <f>IFERROR(_xlfn.XLOOKUP($A115,Input_Raw!$A:$A,Input_Raw!$BS:$BS),"")</f>
        <v/>
      </c>
      <c r="W115" s="241">
        <f t="shared" si="12"/>
        <v>0</v>
      </c>
      <c r="X115" s="233">
        <f>IFERROR(_xlfn.XLOOKUP($A115,Input_Raw!$A:$A,Input_Raw!$AW:$AW),"")</f>
        <v>0</v>
      </c>
      <c r="Y115" s="233">
        <f>IFERROR(_xlfn.XLOOKUP($A115,Input_Raw!$A:$A,Input_Raw!$BN:$BN),"")</f>
        <v>0</v>
      </c>
      <c r="Z115" s="233"/>
      <c r="AA115" s="233">
        <f>IFERROR(_xlfn.XLOOKUP($A115,Input_Raw!$A:$A,Input_Raw!$BO:$BO),"")</f>
        <v>0</v>
      </c>
      <c r="AB115" s="233">
        <f>IFERROR(_xlfn.XLOOKUP($A115,Input_Raw!$A:$A,Input_Raw!$BP:$BP),"")</f>
        <v>0</v>
      </c>
      <c r="AC115" s="242">
        <f>IFERROR(_xlfn.XLOOKUP($D115,'Modelling New'!$D:$D,'Modelling New'!P:P),"")</f>
        <v>5.4903225806451612</v>
      </c>
      <c r="AD115" s="233">
        <f>IFERROR(_xlfn.XLOOKUP($D115,'Modelling New'!$D:$D,'Modelling New'!T:T)*1000,"")</f>
        <v>410306.41807343106</v>
      </c>
      <c r="AE115" s="243">
        <f>IFERROR(_xlfn.XLOOKUP($D115,'Modelling New'!$D:$D,'Modelling New'!$O:$O),"")</f>
        <v>0.85116926356747413</v>
      </c>
      <c r="AF115" s="243">
        <f>IFERROR(_xlfn.XLOOKUP($D115,'Modelling New'!$D:$D,'Modelling New'!$W:$W),"")</f>
        <v>0.19471640948815067</v>
      </c>
      <c r="AG115" s="243">
        <f>IFERROR(_xlfn.XLOOKUP($D115,'Modelling New'!$D:$D,'Modelling New'!$AE:$AE),"")</f>
        <v>0.995</v>
      </c>
      <c r="AH115" s="243">
        <f>IFERROR(_xlfn.XLOOKUP($D115,'Modelling New'!$D:$D,'Modelling New'!$AF:$AF),"")</f>
        <v>0.995</v>
      </c>
      <c r="AI115" s="234"/>
      <c r="AJ115" s="234"/>
      <c r="AK115" s="234"/>
      <c r="AL115" s="234"/>
      <c r="AM115" s="234"/>
      <c r="AN115" s="244"/>
      <c r="AO115" s="241"/>
      <c r="AP115" s="241"/>
      <c r="AQ115" s="241"/>
      <c r="AR115" s="233">
        <f>_xlfn.XLOOKUP($D115,'Modelling New'!$D:$D,'Modelling New'!$N:$N)</f>
        <v>87.8</v>
      </c>
      <c r="AS115" s="233">
        <f t="shared" si="13"/>
        <v>0</v>
      </c>
    </row>
    <row r="116" spans="1:45">
      <c r="A116" s="232">
        <f t="shared" si="14"/>
        <v>45953</v>
      </c>
      <c r="B116" s="233">
        <f>YEAR(Daily_KPI[[#This Row],[Date]])+IF(MONTH(Daily_KPI[[#This Row],[Date]])&gt;=4,1,0)</f>
        <v>2026</v>
      </c>
      <c r="C116" s="234">
        <f>YEAR(Daily_KPI[[#This Row],[Date]])</f>
        <v>2025</v>
      </c>
      <c r="D116" s="235">
        <f>Daily_KPI[[#This Row],[Date]]-DAY(Daily_KPI[[#This Row],[Date]])+1</f>
        <v>45931</v>
      </c>
      <c r="E116" s="234">
        <f t="shared" si="10"/>
        <v>31</v>
      </c>
      <c r="F116" s="236">
        <f>IFERROR(_xlfn.XLOOKUP($A116,Input_Raw!$A:$A,Input_Raw!$BM:$BM),"")</f>
        <v>0</v>
      </c>
      <c r="G116" s="237">
        <f>IFERROR(_xlfn.XLOOKUP($A116,Input_Raw!$A:$A,Input_Raw!$AN:$AN),"")</f>
        <v>0</v>
      </c>
      <c r="H116" s="237"/>
      <c r="I116" s="237">
        <f>IFERROR(_xlfn.XLOOKUP($A116,Input_Raw!$A:$A,Input_Raw!$AM:$AM),"")</f>
        <v>0</v>
      </c>
      <c r="J116" s="237"/>
      <c r="K116" s="237">
        <f>IFERROR(_xlfn.XLOOKUP($A116,Input_Raw!$A:$A,Input_Raw!AO:AO),"")</f>
        <v>0</v>
      </c>
      <c r="L116" s="237">
        <f>IFERROR(_xlfn.XLOOKUP($A116,Input_Raw!$A:$A,Input_Raw!AP:AP),"")</f>
        <v>0</v>
      </c>
      <c r="M116" s="237">
        <f>IFERROR(_xlfn.XLOOKUP($A116,Input_Raw!$A:$A,Input_Raw!AS:AS),"")</f>
        <v>0</v>
      </c>
      <c r="N116" s="237">
        <f>IFERROR(_xlfn.XLOOKUP($A116,Input_Raw!$A:$A,Input_Raw!AT:AT),"")</f>
        <v>0</v>
      </c>
      <c r="O116" s="238" t="str">
        <f>IFERROR(1-(SUMIF(Plant_BD!$B:$B,$A116,Plant_BD!$AL:$AL)/($AA116+SUMIF(Plant_BD!$B:$B,$A116,Plant_BD!$AL:$AL))),"")</f>
        <v/>
      </c>
      <c r="P116" s="238"/>
      <c r="Q116" s="239"/>
      <c r="R116" s="238" t="str">
        <f>IFERROR(1-(SUMIF(Grid_BD!$B:$B,$A116,Grid_BD!$V:$V)/($AA116+SUMIF(Grid_BD!$B:$B,$A116,Grid_BD!$V:$V))),"")</f>
        <v/>
      </c>
      <c r="S116" s="234"/>
      <c r="T116" s="239"/>
      <c r="U116" s="240" t="str">
        <f t="shared" si="11"/>
        <v/>
      </c>
      <c r="V116" s="240" t="str">
        <f>IFERROR(_xlfn.XLOOKUP($A116,Input_Raw!$A:$A,Input_Raw!$BS:$BS),"")</f>
        <v/>
      </c>
      <c r="W116" s="241">
        <f t="shared" si="12"/>
        <v>0</v>
      </c>
      <c r="X116" s="233">
        <f>IFERROR(_xlfn.XLOOKUP($A116,Input_Raw!$A:$A,Input_Raw!$AW:$AW),"")</f>
        <v>0</v>
      </c>
      <c r="Y116" s="233">
        <f>IFERROR(_xlfn.XLOOKUP($A116,Input_Raw!$A:$A,Input_Raw!$BN:$BN),"")</f>
        <v>0</v>
      </c>
      <c r="Z116" s="233"/>
      <c r="AA116" s="233">
        <f>IFERROR(_xlfn.XLOOKUP($A116,Input_Raw!$A:$A,Input_Raw!$BO:$BO),"")</f>
        <v>0</v>
      </c>
      <c r="AB116" s="233">
        <f>IFERROR(_xlfn.XLOOKUP($A116,Input_Raw!$A:$A,Input_Raw!$BP:$BP),"")</f>
        <v>0</v>
      </c>
      <c r="AC116" s="242">
        <f>IFERROR(_xlfn.XLOOKUP($D116,'Modelling New'!$D:$D,'Modelling New'!P:P),"")</f>
        <v>5.4903225806451612</v>
      </c>
      <c r="AD116" s="233">
        <f>IFERROR(_xlfn.XLOOKUP($D116,'Modelling New'!$D:$D,'Modelling New'!T:T)*1000,"")</f>
        <v>410306.41807343106</v>
      </c>
      <c r="AE116" s="243">
        <f>IFERROR(_xlfn.XLOOKUP($D116,'Modelling New'!$D:$D,'Modelling New'!$O:$O),"")</f>
        <v>0.85116926356747413</v>
      </c>
      <c r="AF116" s="243">
        <f>IFERROR(_xlfn.XLOOKUP($D116,'Modelling New'!$D:$D,'Modelling New'!$W:$W),"")</f>
        <v>0.19471640948815067</v>
      </c>
      <c r="AG116" s="243">
        <f>IFERROR(_xlfn.XLOOKUP($D116,'Modelling New'!$D:$D,'Modelling New'!$AE:$AE),"")</f>
        <v>0.995</v>
      </c>
      <c r="AH116" s="243">
        <f>IFERROR(_xlfn.XLOOKUP($D116,'Modelling New'!$D:$D,'Modelling New'!$AF:$AF),"")</f>
        <v>0.995</v>
      </c>
      <c r="AI116" s="234"/>
      <c r="AJ116" s="234"/>
      <c r="AK116" s="234"/>
      <c r="AL116" s="234"/>
      <c r="AM116" s="234"/>
      <c r="AN116" s="244"/>
      <c r="AO116" s="241"/>
      <c r="AP116" s="241"/>
      <c r="AQ116" s="241"/>
      <c r="AR116" s="233">
        <f>_xlfn.XLOOKUP($D116,'Modelling New'!$D:$D,'Modelling New'!$N:$N)</f>
        <v>87.8</v>
      </c>
      <c r="AS116" s="233">
        <f t="shared" si="13"/>
        <v>0</v>
      </c>
    </row>
    <row r="117" spans="1:45">
      <c r="A117" s="232">
        <f t="shared" si="14"/>
        <v>45954</v>
      </c>
      <c r="B117" s="233">
        <f>YEAR(Daily_KPI[[#This Row],[Date]])+IF(MONTH(Daily_KPI[[#This Row],[Date]])&gt;=4,1,0)</f>
        <v>2026</v>
      </c>
      <c r="C117" s="234">
        <f>YEAR(Daily_KPI[[#This Row],[Date]])</f>
        <v>2025</v>
      </c>
      <c r="D117" s="235">
        <f>Daily_KPI[[#This Row],[Date]]-DAY(Daily_KPI[[#This Row],[Date]])+1</f>
        <v>45931</v>
      </c>
      <c r="E117" s="234">
        <f t="shared" si="10"/>
        <v>31</v>
      </c>
      <c r="F117" s="236">
        <f>IFERROR(_xlfn.XLOOKUP($A117,Input_Raw!$A:$A,Input_Raw!$BM:$BM),"")</f>
        <v>0</v>
      </c>
      <c r="G117" s="237">
        <f>IFERROR(_xlfn.XLOOKUP($A117,Input_Raw!$A:$A,Input_Raw!$AN:$AN),"")</f>
        <v>0</v>
      </c>
      <c r="H117" s="237"/>
      <c r="I117" s="237">
        <f>IFERROR(_xlfn.XLOOKUP($A117,Input_Raw!$A:$A,Input_Raw!$AM:$AM),"")</f>
        <v>0</v>
      </c>
      <c r="J117" s="237"/>
      <c r="K117" s="237">
        <f>IFERROR(_xlfn.XLOOKUP($A117,Input_Raw!$A:$A,Input_Raw!AO:AO),"")</f>
        <v>0</v>
      </c>
      <c r="L117" s="237">
        <f>IFERROR(_xlfn.XLOOKUP($A117,Input_Raw!$A:$A,Input_Raw!AP:AP),"")</f>
        <v>0</v>
      </c>
      <c r="M117" s="237">
        <f>IFERROR(_xlfn.XLOOKUP($A117,Input_Raw!$A:$A,Input_Raw!AS:AS),"")</f>
        <v>0</v>
      </c>
      <c r="N117" s="237">
        <f>IFERROR(_xlfn.XLOOKUP($A117,Input_Raw!$A:$A,Input_Raw!AT:AT),"")</f>
        <v>0</v>
      </c>
      <c r="O117" s="238" t="str">
        <f>IFERROR(1-(SUMIF(Plant_BD!$B:$B,$A117,Plant_BD!$AL:$AL)/($AA117+SUMIF(Plant_BD!$B:$B,$A117,Plant_BD!$AL:$AL))),"")</f>
        <v/>
      </c>
      <c r="P117" s="238"/>
      <c r="Q117" s="239"/>
      <c r="R117" s="238" t="str">
        <f>IFERROR(1-(SUMIF(Grid_BD!$B:$B,$A117,Grid_BD!$V:$V)/($AA117+SUMIF(Grid_BD!$B:$B,$A117,Grid_BD!$V:$V))),"")</f>
        <v/>
      </c>
      <c r="S117" s="234"/>
      <c r="T117" s="239"/>
      <c r="U117" s="240" t="str">
        <f t="shared" si="11"/>
        <v/>
      </c>
      <c r="V117" s="240" t="str">
        <f>IFERROR(_xlfn.XLOOKUP($A117,Input_Raw!$A:$A,Input_Raw!$BS:$BS),"")</f>
        <v/>
      </c>
      <c r="W117" s="241">
        <f t="shared" si="12"/>
        <v>0</v>
      </c>
      <c r="X117" s="233">
        <f>IFERROR(_xlfn.XLOOKUP($A117,Input_Raw!$A:$A,Input_Raw!$AW:$AW),"")</f>
        <v>0</v>
      </c>
      <c r="Y117" s="233">
        <f>IFERROR(_xlfn.XLOOKUP($A117,Input_Raw!$A:$A,Input_Raw!$BN:$BN),"")</f>
        <v>0</v>
      </c>
      <c r="Z117" s="233"/>
      <c r="AA117" s="233">
        <f>IFERROR(_xlfn.XLOOKUP($A117,Input_Raw!$A:$A,Input_Raw!$BO:$BO),"")</f>
        <v>0</v>
      </c>
      <c r="AB117" s="233">
        <f>IFERROR(_xlfn.XLOOKUP($A117,Input_Raw!$A:$A,Input_Raw!$BP:$BP),"")</f>
        <v>0</v>
      </c>
      <c r="AC117" s="242">
        <f>IFERROR(_xlfn.XLOOKUP($D117,'Modelling New'!$D:$D,'Modelling New'!P:P),"")</f>
        <v>5.4903225806451612</v>
      </c>
      <c r="AD117" s="233">
        <f>IFERROR(_xlfn.XLOOKUP($D117,'Modelling New'!$D:$D,'Modelling New'!T:T)*1000,"")</f>
        <v>410306.41807343106</v>
      </c>
      <c r="AE117" s="243">
        <f>IFERROR(_xlfn.XLOOKUP($D117,'Modelling New'!$D:$D,'Modelling New'!$O:$O),"")</f>
        <v>0.85116926356747413</v>
      </c>
      <c r="AF117" s="243">
        <f>IFERROR(_xlfn.XLOOKUP($D117,'Modelling New'!$D:$D,'Modelling New'!$W:$W),"")</f>
        <v>0.19471640948815067</v>
      </c>
      <c r="AG117" s="243">
        <f>IFERROR(_xlfn.XLOOKUP($D117,'Modelling New'!$D:$D,'Modelling New'!$AE:$AE),"")</f>
        <v>0.995</v>
      </c>
      <c r="AH117" s="243">
        <f>IFERROR(_xlfn.XLOOKUP($D117,'Modelling New'!$D:$D,'Modelling New'!$AF:$AF),"")</f>
        <v>0.995</v>
      </c>
      <c r="AI117" s="234"/>
      <c r="AJ117" s="234"/>
      <c r="AK117" s="234"/>
      <c r="AL117" s="234"/>
      <c r="AM117" s="234"/>
      <c r="AN117" s="244"/>
      <c r="AO117" s="241"/>
      <c r="AP117" s="241"/>
      <c r="AQ117" s="241"/>
      <c r="AR117" s="233">
        <f>_xlfn.XLOOKUP($D117,'Modelling New'!$D:$D,'Modelling New'!$N:$N)</f>
        <v>87.8</v>
      </c>
      <c r="AS117" s="233">
        <f t="shared" si="13"/>
        <v>0</v>
      </c>
    </row>
    <row r="118" spans="1:45">
      <c r="A118" s="232">
        <f t="shared" si="14"/>
        <v>45955</v>
      </c>
      <c r="B118" s="233">
        <f>YEAR(Daily_KPI[[#This Row],[Date]])+IF(MONTH(Daily_KPI[[#This Row],[Date]])&gt;=4,1,0)</f>
        <v>2026</v>
      </c>
      <c r="C118" s="234">
        <f>YEAR(Daily_KPI[[#This Row],[Date]])</f>
        <v>2025</v>
      </c>
      <c r="D118" s="235">
        <f>Daily_KPI[[#This Row],[Date]]-DAY(Daily_KPI[[#This Row],[Date]])+1</f>
        <v>45931</v>
      </c>
      <c r="E118" s="234">
        <f t="shared" si="10"/>
        <v>31</v>
      </c>
      <c r="F118" s="236">
        <f>IFERROR(_xlfn.XLOOKUP($A118,Input_Raw!$A:$A,Input_Raw!$BM:$BM),"")</f>
        <v>0</v>
      </c>
      <c r="G118" s="237">
        <f>IFERROR(_xlfn.XLOOKUP($A118,Input_Raw!$A:$A,Input_Raw!$AN:$AN),"")</f>
        <v>0</v>
      </c>
      <c r="H118" s="237"/>
      <c r="I118" s="237">
        <f>IFERROR(_xlfn.XLOOKUP($A118,Input_Raw!$A:$A,Input_Raw!$AM:$AM),"")</f>
        <v>0</v>
      </c>
      <c r="J118" s="237"/>
      <c r="K118" s="237">
        <f>IFERROR(_xlfn.XLOOKUP($A118,Input_Raw!$A:$A,Input_Raw!AO:AO),"")</f>
        <v>0</v>
      </c>
      <c r="L118" s="237">
        <f>IFERROR(_xlfn.XLOOKUP($A118,Input_Raw!$A:$A,Input_Raw!AP:AP),"")</f>
        <v>0</v>
      </c>
      <c r="M118" s="237">
        <f>IFERROR(_xlfn.XLOOKUP($A118,Input_Raw!$A:$A,Input_Raw!AS:AS),"")</f>
        <v>0</v>
      </c>
      <c r="N118" s="237">
        <f>IFERROR(_xlfn.XLOOKUP($A118,Input_Raw!$A:$A,Input_Raw!AT:AT),"")</f>
        <v>0</v>
      </c>
      <c r="O118" s="238" t="str">
        <f>IFERROR(1-(SUMIF(Plant_BD!$B:$B,$A118,Plant_BD!$AL:$AL)/($AA118+SUMIF(Plant_BD!$B:$B,$A118,Plant_BD!$AL:$AL))),"")</f>
        <v/>
      </c>
      <c r="P118" s="238"/>
      <c r="Q118" s="239"/>
      <c r="R118" s="238" t="str">
        <f>IFERROR(1-(SUMIF(Grid_BD!$B:$B,$A118,Grid_BD!$V:$V)/($AA118+SUMIF(Grid_BD!$B:$B,$A118,Grid_BD!$V:$V))),"")</f>
        <v/>
      </c>
      <c r="S118" s="234"/>
      <c r="T118" s="239"/>
      <c r="U118" s="240" t="str">
        <f t="shared" si="11"/>
        <v/>
      </c>
      <c r="V118" s="240" t="str">
        <f>IFERROR(_xlfn.XLOOKUP($A118,Input_Raw!$A:$A,Input_Raw!$BS:$BS),"")</f>
        <v/>
      </c>
      <c r="W118" s="241">
        <f t="shared" si="12"/>
        <v>0</v>
      </c>
      <c r="X118" s="233">
        <f>IFERROR(_xlfn.XLOOKUP($A118,Input_Raw!$A:$A,Input_Raw!$AW:$AW),"")</f>
        <v>0</v>
      </c>
      <c r="Y118" s="233">
        <f>IFERROR(_xlfn.XLOOKUP($A118,Input_Raw!$A:$A,Input_Raw!$BN:$BN),"")</f>
        <v>0</v>
      </c>
      <c r="Z118" s="233"/>
      <c r="AA118" s="233">
        <f>IFERROR(_xlfn.XLOOKUP($A118,Input_Raw!$A:$A,Input_Raw!$BO:$BO),"")</f>
        <v>0</v>
      </c>
      <c r="AB118" s="233">
        <f>IFERROR(_xlfn.XLOOKUP($A118,Input_Raw!$A:$A,Input_Raw!$BP:$BP),"")</f>
        <v>0</v>
      </c>
      <c r="AC118" s="242">
        <f>IFERROR(_xlfn.XLOOKUP($D118,'Modelling New'!$D:$D,'Modelling New'!P:P),"")</f>
        <v>5.4903225806451612</v>
      </c>
      <c r="AD118" s="233">
        <f>IFERROR(_xlfn.XLOOKUP($D118,'Modelling New'!$D:$D,'Modelling New'!T:T)*1000,"")</f>
        <v>410306.41807343106</v>
      </c>
      <c r="AE118" s="243">
        <f>IFERROR(_xlfn.XLOOKUP($D118,'Modelling New'!$D:$D,'Modelling New'!$O:$O),"")</f>
        <v>0.85116926356747413</v>
      </c>
      <c r="AF118" s="243">
        <f>IFERROR(_xlfn.XLOOKUP($D118,'Modelling New'!$D:$D,'Modelling New'!$W:$W),"")</f>
        <v>0.19471640948815067</v>
      </c>
      <c r="AG118" s="243">
        <f>IFERROR(_xlfn.XLOOKUP($D118,'Modelling New'!$D:$D,'Modelling New'!$AE:$AE),"")</f>
        <v>0.995</v>
      </c>
      <c r="AH118" s="243">
        <f>IFERROR(_xlfn.XLOOKUP($D118,'Modelling New'!$D:$D,'Modelling New'!$AF:$AF),"")</f>
        <v>0.995</v>
      </c>
      <c r="AI118" s="234"/>
      <c r="AJ118" s="234"/>
      <c r="AK118" s="234"/>
      <c r="AL118" s="234"/>
      <c r="AM118" s="234"/>
      <c r="AN118" s="244"/>
      <c r="AO118" s="241"/>
      <c r="AP118" s="241"/>
      <c r="AQ118" s="241"/>
      <c r="AR118" s="233">
        <f>_xlfn.XLOOKUP($D118,'Modelling New'!$D:$D,'Modelling New'!$N:$N)</f>
        <v>87.8</v>
      </c>
      <c r="AS118" s="233">
        <f t="shared" si="13"/>
        <v>0</v>
      </c>
    </row>
    <row r="119" spans="1:45">
      <c r="A119" s="232">
        <f t="shared" si="14"/>
        <v>45956</v>
      </c>
      <c r="B119" s="233">
        <f>YEAR(Daily_KPI[[#This Row],[Date]])+IF(MONTH(Daily_KPI[[#This Row],[Date]])&gt;=4,1,0)</f>
        <v>2026</v>
      </c>
      <c r="C119" s="234">
        <f>YEAR(Daily_KPI[[#This Row],[Date]])</f>
        <v>2025</v>
      </c>
      <c r="D119" s="235">
        <f>Daily_KPI[[#This Row],[Date]]-DAY(Daily_KPI[[#This Row],[Date]])+1</f>
        <v>45931</v>
      </c>
      <c r="E119" s="234">
        <f t="shared" si="10"/>
        <v>31</v>
      </c>
      <c r="F119" s="236">
        <f>IFERROR(_xlfn.XLOOKUP($A119,Input_Raw!$A:$A,Input_Raw!$BM:$BM),"")</f>
        <v>0</v>
      </c>
      <c r="G119" s="237">
        <f>IFERROR(_xlfn.XLOOKUP($A119,Input_Raw!$A:$A,Input_Raw!$AN:$AN),"")</f>
        <v>0</v>
      </c>
      <c r="H119" s="237"/>
      <c r="I119" s="237">
        <f>IFERROR(_xlfn.XLOOKUP($A119,Input_Raw!$A:$A,Input_Raw!$AM:$AM),"")</f>
        <v>0</v>
      </c>
      <c r="J119" s="237"/>
      <c r="K119" s="237">
        <f>IFERROR(_xlfn.XLOOKUP($A119,Input_Raw!$A:$A,Input_Raw!AO:AO),"")</f>
        <v>0</v>
      </c>
      <c r="L119" s="237">
        <f>IFERROR(_xlfn.XLOOKUP($A119,Input_Raw!$A:$A,Input_Raw!AP:AP),"")</f>
        <v>0</v>
      </c>
      <c r="M119" s="237">
        <f>IFERROR(_xlfn.XLOOKUP($A119,Input_Raw!$A:$A,Input_Raw!AS:AS),"")</f>
        <v>0</v>
      </c>
      <c r="N119" s="237">
        <f>IFERROR(_xlfn.XLOOKUP($A119,Input_Raw!$A:$A,Input_Raw!AT:AT),"")</f>
        <v>0</v>
      </c>
      <c r="O119" s="238" t="str">
        <f>IFERROR(1-(SUMIF(Plant_BD!$B:$B,$A119,Plant_BD!$AL:$AL)/($AA119+SUMIF(Plant_BD!$B:$B,$A119,Plant_BD!$AL:$AL))),"")</f>
        <v/>
      </c>
      <c r="P119" s="238"/>
      <c r="Q119" s="239"/>
      <c r="R119" s="238" t="str">
        <f>IFERROR(1-(SUMIF(Grid_BD!$B:$B,$A119,Grid_BD!$V:$V)/($AA119+SUMIF(Grid_BD!$B:$B,$A119,Grid_BD!$V:$V))),"")</f>
        <v/>
      </c>
      <c r="S119" s="234"/>
      <c r="T119" s="239"/>
      <c r="U119" s="240" t="str">
        <f t="shared" si="11"/>
        <v/>
      </c>
      <c r="V119" s="240" t="str">
        <f>IFERROR(_xlfn.XLOOKUP($A119,Input_Raw!$A:$A,Input_Raw!$BS:$BS),"")</f>
        <v/>
      </c>
      <c r="W119" s="241">
        <f t="shared" si="12"/>
        <v>0</v>
      </c>
      <c r="X119" s="233">
        <f>IFERROR(_xlfn.XLOOKUP($A119,Input_Raw!$A:$A,Input_Raw!$AW:$AW),"")</f>
        <v>0</v>
      </c>
      <c r="Y119" s="233">
        <f>IFERROR(_xlfn.XLOOKUP($A119,Input_Raw!$A:$A,Input_Raw!$BN:$BN),"")</f>
        <v>0</v>
      </c>
      <c r="Z119" s="233"/>
      <c r="AA119" s="233">
        <f>IFERROR(_xlfn.XLOOKUP($A119,Input_Raw!$A:$A,Input_Raw!$BO:$BO),"")</f>
        <v>0</v>
      </c>
      <c r="AB119" s="233">
        <f>IFERROR(_xlfn.XLOOKUP($A119,Input_Raw!$A:$A,Input_Raw!$BP:$BP),"")</f>
        <v>0</v>
      </c>
      <c r="AC119" s="242">
        <f>IFERROR(_xlfn.XLOOKUP($D119,'Modelling New'!$D:$D,'Modelling New'!P:P),"")</f>
        <v>5.4903225806451612</v>
      </c>
      <c r="AD119" s="233">
        <f>IFERROR(_xlfn.XLOOKUP($D119,'Modelling New'!$D:$D,'Modelling New'!T:T)*1000,"")</f>
        <v>410306.41807343106</v>
      </c>
      <c r="AE119" s="243">
        <f>IFERROR(_xlfn.XLOOKUP($D119,'Modelling New'!$D:$D,'Modelling New'!$O:$O),"")</f>
        <v>0.85116926356747413</v>
      </c>
      <c r="AF119" s="243">
        <f>IFERROR(_xlfn.XLOOKUP($D119,'Modelling New'!$D:$D,'Modelling New'!$W:$W),"")</f>
        <v>0.19471640948815067</v>
      </c>
      <c r="AG119" s="243">
        <f>IFERROR(_xlfn.XLOOKUP($D119,'Modelling New'!$D:$D,'Modelling New'!$AE:$AE),"")</f>
        <v>0.995</v>
      </c>
      <c r="AH119" s="243">
        <f>IFERROR(_xlfn.XLOOKUP($D119,'Modelling New'!$D:$D,'Modelling New'!$AF:$AF),"")</f>
        <v>0.995</v>
      </c>
      <c r="AI119" s="234"/>
      <c r="AJ119" s="234"/>
      <c r="AK119" s="234"/>
      <c r="AL119" s="234"/>
      <c r="AM119" s="234"/>
      <c r="AN119" s="244"/>
      <c r="AO119" s="241"/>
      <c r="AP119" s="241"/>
      <c r="AQ119" s="241"/>
      <c r="AR119" s="233">
        <f>_xlfn.XLOOKUP($D119,'Modelling New'!$D:$D,'Modelling New'!$N:$N)</f>
        <v>87.8</v>
      </c>
      <c r="AS119" s="233">
        <f t="shared" si="13"/>
        <v>0</v>
      </c>
    </row>
    <row r="120" spans="1:45">
      <c r="A120" s="232">
        <f t="shared" si="14"/>
        <v>45957</v>
      </c>
      <c r="B120" s="233">
        <f>YEAR(Daily_KPI[[#This Row],[Date]])+IF(MONTH(Daily_KPI[[#This Row],[Date]])&gt;=4,1,0)</f>
        <v>2026</v>
      </c>
      <c r="C120" s="234">
        <f>YEAR(Daily_KPI[[#This Row],[Date]])</f>
        <v>2025</v>
      </c>
      <c r="D120" s="235">
        <f>Daily_KPI[[#This Row],[Date]]-DAY(Daily_KPI[[#This Row],[Date]])+1</f>
        <v>45931</v>
      </c>
      <c r="E120" s="234">
        <f t="shared" si="10"/>
        <v>31</v>
      </c>
      <c r="F120" s="236">
        <f>IFERROR(_xlfn.XLOOKUP($A120,Input_Raw!$A:$A,Input_Raw!$BM:$BM),"")</f>
        <v>0</v>
      </c>
      <c r="G120" s="237">
        <f>IFERROR(_xlfn.XLOOKUP($A120,Input_Raw!$A:$A,Input_Raw!$AN:$AN),"")</f>
        <v>0</v>
      </c>
      <c r="H120" s="237"/>
      <c r="I120" s="237">
        <f>IFERROR(_xlfn.XLOOKUP($A120,Input_Raw!$A:$A,Input_Raw!$AM:$AM),"")</f>
        <v>0</v>
      </c>
      <c r="J120" s="237"/>
      <c r="K120" s="237">
        <f>IFERROR(_xlfn.XLOOKUP($A120,Input_Raw!$A:$A,Input_Raw!AO:AO),"")</f>
        <v>0</v>
      </c>
      <c r="L120" s="237">
        <f>IFERROR(_xlfn.XLOOKUP($A120,Input_Raw!$A:$A,Input_Raw!AP:AP),"")</f>
        <v>0</v>
      </c>
      <c r="M120" s="237">
        <f>IFERROR(_xlfn.XLOOKUP($A120,Input_Raw!$A:$A,Input_Raw!AS:AS),"")</f>
        <v>0</v>
      </c>
      <c r="N120" s="237">
        <f>IFERROR(_xlfn.XLOOKUP($A120,Input_Raw!$A:$A,Input_Raw!AT:AT),"")</f>
        <v>0</v>
      </c>
      <c r="O120" s="238" t="str">
        <f>IFERROR(1-(SUMIF(Plant_BD!$B:$B,$A120,Plant_BD!$AL:$AL)/($AA120+SUMIF(Plant_BD!$B:$B,$A120,Plant_BD!$AL:$AL))),"")</f>
        <v/>
      </c>
      <c r="P120" s="238"/>
      <c r="Q120" s="239"/>
      <c r="R120" s="238" t="str">
        <f>IFERROR(1-(SUMIF(Grid_BD!$B:$B,$A120,Grid_BD!$V:$V)/($AA120+SUMIF(Grid_BD!$B:$B,$A120,Grid_BD!$V:$V))),"")</f>
        <v/>
      </c>
      <c r="S120" s="234"/>
      <c r="T120" s="239"/>
      <c r="U120" s="240" t="str">
        <f t="shared" si="11"/>
        <v/>
      </c>
      <c r="V120" s="240" t="str">
        <f>IFERROR(_xlfn.XLOOKUP($A120,Input_Raw!$A:$A,Input_Raw!$BS:$BS),"")</f>
        <v/>
      </c>
      <c r="W120" s="241">
        <f t="shared" si="12"/>
        <v>0</v>
      </c>
      <c r="X120" s="233">
        <f>IFERROR(_xlfn.XLOOKUP($A120,Input_Raw!$A:$A,Input_Raw!$AW:$AW),"")</f>
        <v>0</v>
      </c>
      <c r="Y120" s="233">
        <f>IFERROR(_xlfn.XLOOKUP($A120,Input_Raw!$A:$A,Input_Raw!$BN:$BN),"")</f>
        <v>0</v>
      </c>
      <c r="Z120" s="233"/>
      <c r="AA120" s="233">
        <f>IFERROR(_xlfn.XLOOKUP($A120,Input_Raw!$A:$A,Input_Raw!$BO:$BO),"")</f>
        <v>0</v>
      </c>
      <c r="AB120" s="233">
        <f>IFERROR(_xlfn.XLOOKUP($A120,Input_Raw!$A:$A,Input_Raw!$BP:$BP),"")</f>
        <v>0</v>
      </c>
      <c r="AC120" s="242">
        <f>IFERROR(_xlfn.XLOOKUP($D120,'Modelling New'!$D:$D,'Modelling New'!P:P),"")</f>
        <v>5.4903225806451612</v>
      </c>
      <c r="AD120" s="233">
        <f>IFERROR(_xlfn.XLOOKUP($D120,'Modelling New'!$D:$D,'Modelling New'!T:T)*1000,"")</f>
        <v>410306.41807343106</v>
      </c>
      <c r="AE120" s="243">
        <f>IFERROR(_xlfn.XLOOKUP($D120,'Modelling New'!$D:$D,'Modelling New'!$O:$O),"")</f>
        <v>0.85116926356747413</v>
      </c>
      <c r="AF120" s="243">
        <f>IFERROR(_xlfn.XLOOKUP($D120,'Modelling New'!$D:$D,'Modelling New'!$W:$W),"")</f>
        <v>0.19471640948815067</v>
      </c>
      <c r="AG120" s="243">
        <f>IFERROR(_xlfn.XLOOKUP($D120,'Modelling New'!$D:$D,'Modelling New'!$AE:$AE),"")</f>
        <v>0.995</v>
      </c>
      <c r="AH120" s="243">
        <f>IFERROR(_xlfn.XLOOKUP($D120,'Modelling New'!$D:$D,'Modelling New'!$AF:$AF),"")</f>
        <v>0.995</v>
      </c>
      <c r="AI120" s="234"/>
      <c r="AJ120" s="234"/>
      <c r="AK120" s="234"/>
      <c r="AL120" s="234"/>
      <c r="AM120" s="234"/>
      <c r="AN120" s="244"/>
      <c r="AO120" s="241"/>
      <c r="AP120" s="241"/>
      <c r="AQ120" s="241"/>
      <c r="AR120" s="233">
        <f>_xlfn.XLOOKUP($D120,'Modelling New'!$D:$D,'Modelling New'!$N:$N)</f>
        <v>87.8</v>
      </c>
      <c r="AS120" s="233">
        <f t="shared" si="13"/>
        <v>0</v>
      </c>
    </row>
    <row r="121" spans="1:45">
      <c r="A121" s="232">
        <f t="shared" si="14"/>
        <v>45958</v>
      </c>
      <c r="B121" s="233">
        <f>YEAR(Daily_KPI[[#This Row],[Date]])+IF(MONTH(Daily_KPI[[#This Row],[Date]])&gt;=4,1,0)</f>
        <v>2026</v>
      </c>
      <c r="C121" s="234">
        <f>YEAR(Daily_KPI[[#This Row],[Date]])</f>
        <v>2025</v>
      </c>
      <c r="D121" s="235">
        <f>Daily_KPI[[#This Row],[Date]]-DAY(Daily_KPI[[#This Row],[Date]])+1</f>
        <v>45931</v>
      </c>
      <c r="E121" s="234">
        <f t="shared" si="10"/>
        <v>31</v>
      </c>
      <c r="F121" s="236">
        <f>IFERROR(_xlfn.XLOOKUP($A121,Input_Raw!$A:$A,Input_Raw!$BM:$BM),"")</f>
        <v>0</v>
      </c>
      <c r="G121" s="237">
        <f>IFERROR(_xlfn.XLOOKUP($A121,Input_Raw!$A:$A,Input_Raw!$AN:$AN),"")</f>
        <v>0</v>
      </c>
      <c r="H121" s="237"/>
      <c r="I121" s="237">
        <f>IFERROR(_xlfn.XLOOKUP($A121,Input_Raw!$A:$A,Input_Raw!$AM:$AM),"")</f>
        <v>0</v>
      </c>
      <c r="J121" s="237"/>
      <c r="K121" s="237">
        <f>IFERROR(_xlfn.XLOOKUP($A121,Input_Raw!$A:$A,Input_Raw!AO:AO),"")</f>
        <v>0</v>
      </c>
      <c r="L121" s="237">
        <f>IFERROR(_xlfn.XLOOKUP($A121,Input_Raw!$A:$A,Input_Raw!AP:AP),"")</f>
        <v>0</v>
      </c>
      <c r="M121" s="237">
        <f>IFERROR(_xlfn.XLOOKUP($A121,Input_Raw!$A:$A,Input_Raw!AS:AS),"")</f>
        <v>0</v>
      </c>
      <c r="N121" s="237">
        <f>IFERROR(_xlfn.XLOOKUP($A121,Input_Raw!$A:$A,Input_Raw!AT:AT),"")</f>
        <v>0</v>
      </c>
      <c r="O121" s="238" t="str">
        <f>IFERROR(1-(SUMIF(Plant_BD!$B:$B,$A121,Plant_BD!$AL:$AL)/($AA121+SUMIF(Plant_BD!$B:$B,$A121,Plant_BD!$AL:$AL))),"")</f>
        <v/>
      </c>
      <c r="P121" s="238"/>
      <c r="Q121" s="239"/>
      <c r="R121" s="238" t="str">
        <f>IFERROR(1-(SUMIF(Grid_BD!$B:$B,$A121,Grid_BD!$V:$V)/($AA121+SUMIF(Grid_BD!$B:$B,$A121,Grid_BD!$V:$V))),"")</f>
        <v/>
      </c>
      <c r="S121" s="234"/>
      <c r="T121" s="239"/>
      <c r="U121" s="240" t="str">
        <f t="shared" si="11"/>
        <v/>
      </c>
      <c r="V121" s="240" t="str">
        <f>IFERROR(_xlfn.XLOOKUP($A121,Input_Raw!$A:$A,Input_Raw!$BS:$BS),"")</f>
        <v/>
      </c>
      <c r="W121" s="241">
        <f t="shared" si="12"/>
        <v>0</v>
      </c>
      <c r="X121" s="233">
        <f>IFERROR(_xlfn.XLOOKUP($A121,Input_Raw!$A:$A,Input_Raw!$AW:$AW),"")</f>
        <v>0</v>
      </c>
      <c r="Y121" s="233">
        <f>IFERROR(_xlfn.XLOOKUP($A121,Input_Raw!$A:$A,Input_Raw!$BN:$BN),"")</f>
        <v>0</v>
      </c>
      <c r="Z121" s="233"/>
      <c r="AA121" s="233">
        <f>IFERROR(_xlfn.XLOOKUP($A121,Input_Raw!$A:$A,Input_Raw!$BO:$BO),"")</f>
        <v>0</v>
      </c>
      <c r="AB121" s="233">
        <f>IFERROR(_xlfn.XLOOKUP($A121,Input_Raw!$A:$A,Input_Raw!$BP:$BP),"")</f>
        <v>0</v>
      </c>
      <c r="AC121" s="242">
        <f>IFERROR(_xlfn.XLOOKUP($D121,'Modelling New'!$D:$D,'Modelling New'!P:P),"")</f>
        <v>5.4903225806451612</v>
      </c>
      <c r="AD121" s="233">
        <f>IFERROR(_xlfn.XLOOKUP($D121,'Modelling New'!$D:$D,'Modelling New'!T:T)*1000,"")</f>
        <v>410306.41807343106</v>
      </c>
      <c r="AE121" s="243">
        <f>IFERROR(_xlfn.XLOOKUP($D121,'Modelling New'!$D:$D,'Modelling New'!$O:$O),"")</f>
        <v>0.85116926356747413</v>
      </c>
      <c r="AF121" s="243">
        <f>IFERROR(_xlfn.XLOOKUP($D121,'Modelling New'!$D:$D,'Modelling New'!$W:$W),"")</f>
        <v>0.19471640948815067</v>
      </c>
      <c r="AG121" s="243">
        <f>IFERROR(_xlfn.XLOOKUP($D121,'Modelling New'!$D:$D,'Modelling New'!$AE:$AE),"")</f>
        <v>0.995</v>
      </c>
      <c r="AH121" s="243">
        <f>IFERROR(_xlfn.XLOOKUP($D121,'Modelling New'!$D:$D,'Modelling New'!$AF:$AF),"")</f>
        <v>0.995</v>
      </c>
      <c r="AI121" s="234"/>
      <c r="AJ121" s="234"/>
      <c r="AK121" s="234"/>
      <c r="AL121" s="234"/>
      <c r="AM121" s="234"/>
      <c r="AN121" s="244"/>
      <c r="AO121" s="241"/>
      <c r="AP121" s="241"/>
      <c r="AQ121" s="241"/>
      <c r="AR121" s="233">
        <f>_xlfn.XLOOKUP($D121,'Modelling New'!$D:$D,'Modelling New'!$N:$N)</f>
        <v>87.8</v>
      </c>
      <c r="AS121" s="233">
        <f t="shared" si="13"/>
        <v>0</v>
      </c>
    </row>
    <row r="122" spans="1:45">
      <c r="A122" s="232">
        <f t="shared" si="14"/>
        <v>45959</v>
      </c>
      <c r="B122" s="233">
        <f>YEAR(Daily_KPI[[#This Row],[Date]])+IF(MONTH(Daily_KPI[[#This Row],[Date]])&gt;=4,1,0)</f>
        <v>2026</v>
      </c>
      <c r="C122" s="234">
        <f>YEAR(Daily_KPI[[#This Row],[Date]])</f>
        <v>2025</v>
      </c>
      <c r="D122" s="235">
        <f>Daily_KPI[[#This Row],[Date]]-DAY(Daily_KPI[[#This Row],[Date]])+1</f>
        <v>45931</v>
      </c>
      <c r="E122" s="234">
        <f t="shared" si="10"/>
        <v>31</v>
      </c>
      <c r="F122" s="236">
        <f>IFERROR(_xlfn.XLOOKUP($A122,Input_Raw!$A:$A,Input_Raw!$BM:$BM),"")</f>
        <v>0</v>
      </c>
      <c r="G122" s="237">
        <f>IFERROR(_xlfn.XLOOKUP($A122,Input_Raw!$A:$A,Input_Raw!$AN:$AN),"")</f>
        <v>0</v>
      </c>
      <c r="H122" s="237"/>
      <c r="I122" s="237">
        <f>IFERROR(_xlfn.XLOOKUP($A122,Input_Raw!$A:$A,Input_Raw!$AM:$AM),"")</f>
        <v>0</v>
      </c>
      <c r="J122" s="237"/>
      <c r="K122" s="237">
        <f>IFERROR(_xlfn.XLOOKUP($A122,Input_Raw!$A:$A,Input_Raw!AO:AO),"")</f>
        <v>0</v>
      </c>
      <c r="L122" s="237">
        <f>IFERROR(_xlfn.XLOOKUP($A122,Input_Raw!$A:$A,Input_Raw!AP:AP),"")</f>
        <v>0</v>
      </c>
      <c r="M122" s="237">
        <f>IFERROR(_xlfn.XLOOKUP($A122,Input_Raw!$A:$A,Input_Raw!AS:AS),"")</f>
        <v>0</v>
      </c>
      <c r="N122" s="237">
        <f>IFERROR(_xlfn.XLOOKUP($A122,Input_Raw!$A:$A,Input_Raw!AT:AT),"")</f>
        <v>0</v>
      </c>
      <c r="O122" s="238" t="str">
        <f>IFERROR(1-(SUMIF(Plant_BD!$B:$B,$A122,Plant_BD!$AL:$AL)/($AA122+SUMIF(Plant_BD!$B:$B,$A122,Plant_BD!$AL:$AL))),"")</f>
        <v/>
      </c>
      <c r="P122" s="238"/>
      <c r="Q122" s="239"/>
      <c r="R122" s="238" t="str">
        <f>IFERROR(1-(SUMIF(Grid_BD!$B:$B,$A122,Grid_BD!$V:$V)/($AA122+SUMIF(Grid_BD!$B:$B,$A122,Grid_BD!$V:$V))),"")</f>
        <v/>
      </c>
      <c r="S122" s="234"/>
      <c r="T122" s="239"/>
      <c r="U122" s="240" t="str">
        <f t="shared" si="11"/>
        <v/>
      </c>
      <c r="V122" s="240" t="str">
        <f>IFERROR(_xlfn.XLOOKUP($A122,Input_Raw!$A:$A,Input_Raw!$BS:$BS),"")</f>
        <v/>
      </c>
      <c r="W122" s="241">
        <f t="shared" si="12"/>
        <v>0</v>
      </c>
      <c r="X122" s="233">
        <f>IFERROR(_xlfn.XLOOKUP($A122,Input_Raw!$A:$A,Input_Raw!$AW:$AW),"")</f>
        <v>0</v>
      </c>
      <c r="Y122" s="233">
        <f>IFERROR(_xlfn.XLOOKUP($A122,Input_Raw!$A:$A,Input_Raw!$BN:$BN),"")</f>
        <v>0</v>
      </c>
      <c r="Z122" s="233"/>
      <c r="AA122" s="233">
        <f>IFERROR(_xlfn.XLOOKUP($A122,Input_Raw!$A:$A,Input_Raw!$BO:$BO),"")</f>
        <v>0</v>
      </c>
      <c r="AB122" s="233">
        <f>IFERROR(_xlfn.XLOOKUP($A122,Input_Raw!$A:$A,Input_Raw!$BP:$BP),"")</f>
        <v>0</v>
      </c>
      <c r="AC122" s="242">
        <f>IFERROR(_xlfn.XLOOKUP($D122,'Modelling New'!$D:$D,'Modelling New'!P:P),"")</f>
        <v>5.4903225806451612</v>
      </c>
      <c r="AD122" s="233">
        <f>IFERROR(_xlfn.XLOOKUP($D122,'Modelling New'!$D:$D,'Modelling New'!T:T)*1000,"")</f>
        <v>410306.41807343106</v>
      </c>
      <c r="AE122" s="243">
        <f>IFERROR(_xlfn.XLOOKUP($D122,'Modelling New'!$D:$D,'Modelling New'!$O:$O),"")</f>
        <v>0.85116926356747413</v>
      </c>
      <c r="AF122" s="243">
        <f>IFERROR(_xlfn.XLOOKUP($D122,'Modelling New'!$D:$D,'Modelling New'!$W:$W),"")</f>
        <v>0.19471640948815067</v>
      </c>
      <c r="AG122" s="243">
        <f>IFERROR(_xlfn.XLOOKUP($D122,'Modelling New'!$D:$D,'Modelling New'!$AE:$AE),"")</f>
        <v>0.995</v>
      </c>
      <c r="AH122" s="243">
        <f>IFERROR(_xlfn.XLOOKUP($D122,'Modelling New'!$D:$D,'Modelling New'!$AF:$AF),"")</f>
        <v>0.995</v>
      </c>
      <c r="AI122" s="234"/>
      <c r="AJ122" s="234"/>
      <c r="AK122" s="234"/>
      <c r="AL122" s="234"/>
      <c r="AM122" s="234"/>
      <c r="AN122" s="244"/>
      <c r="AO122" s="241"/>
      <c r="AP122" s="241"/>
      <c r="AQ122" s="241"/>
      <c r="AR122" s="233">
        <f>_xlfn.XLOOKUP($D122,'Modelling New'!$D:$D,'Modelling New'!$N:$N)</f>
        <v>87.8</v>
      </c>
      <c r="AS122" s="233">
        <f t="shared" si="13"/>
        <v>0</v>
      </c>
    </row>
    <row r="123" spans="1:45">
      <c r="A123" s="232">
        <f t="shared" si="14"/>
        <v>45960</v>
      </c>
      <c r="B123" s="233">
        <f>YEAR(Daily_KPI[[#This Row],[Date]])+IF(MONTH(Daily_KPI[[#This Row],[Date]])&gt;=4,1,0)</f>
        <v>2026</v>
      </c>
      <c r="C123" s="234">
        <f>YEAR(Daily_KPI[[#This Row],[Date]])</f>
        <v>2025</v>
      </c>
      <c r="D123" s="235">
        <f>Daily_KPI[[#This Row],[Date]]-DAY(Daily_KPI[[#This Row],[Date]])+1</f>
        <v>45931</v>
      </c>
      <c r="E123" s="234">
        <f t="shared" si="10"/>
        <v>31</v>
      </c>
      <c r="F123" s="236">
        <f>IFERROR(_xlfn.XLOOKUP($A123,Input_Raw!$A:$A,Input_Raw!$BM:$BM),"")</f>
        <v>0</v>
      </c>
      <c r="G123" s="237">
        <f>IFERROR(_xlfn.XLOOKUP($A123,Input_Raw!$A:$A,Input_Raw!$AN:$AN),"")</f>
        <v>0</v>
      </c>
      <c r="H123" s="237"/>
      <c r="I123" s="237">
        <f>IFERROR(_xlfn.XLOOKUP($A123,Input_Raw!$A:$A,Input_Raw!$AM:$AM),"")</f>
        <v>0</v>
      </c>
      <c r="J123" s="237"/>
      <c r="K123" s="237">
        <f>IFERROR(_xlfn.XLOOKUP($A123,Input_Raw!$A:$A,Input_Raw!AO:AO),"")</f>
        <v>0</v>
      </c>
      <c r="L123" s="237">
        <f>IFERROR(_xlfn.XLOOKUP($A123,Input_Raw!$A:$A,Input_Raw!AP:AP),"")</f>
        <v>0</v>
      </c>
      <c r="M123" s="237">
        <f>IFERROR(_xlfn.XLOOKUP($A123,Input_Raw!$A:$A,Input_Raw!AS:AS),"")</f>
        <v>0</v>
      </c>
      <c r="N123" s="237">
        <f>IFERROR(_xlfn.XLOOKUP($A123,Input_Raw!$A:$A,Input_Raw!AT:AT),"")</f>
        <v>0</v>
      </c>
      <c r="O123" s="238" t="str">
        <f>IFERROR(1-(SUMIF(Plant_BD!$B:$B,$A123,Plant_BD!$AL:$AL)/($AA123+SUMIF(Plant_BD!$B:$B,$A123,Plant_BD!$AL:$AL))),"")</f>
        <v/>
      </c>
      <c r="P123" s="238"/>
      <c r="Q123" s="239"/>
      <c r="R123" s="238" t="str">
        <f>IFERROR(1-(SUMIF(Grid_BD!$B:$B,$A123,Grid_BD!$V:$V)/($AA123+SUMIF(Grid_BD!$B:$B,$A123,Grid_BD!$V:$V))),"")</f>
        <v/>
      </c>
      <c r="S123" s="234"/>
      <c r="T123" s="239"/>
      <c r="U123" s="240" t="str">
        <f t="shared" si="11"/>
        <v/>
      </c>
      <c r="V123" s="240" t="str">
        <f>IFERROR(_xlfn.XLOOKUP($A123,Input_Raw!$A:$A,Input_Raw!$BS:$BS),"")</f>
        <v/>
      </c>
      <c r="W123" s="241">
        <f t="shared" si="12"/>
        <v>0</v>
      </c>
      <c r="X123" s="233">
        <f>IFERROR(_xlfn.XLOOKUP($A123,Input_Raw!$A:$A,Input_Raw!$AW:$AW),"")</f>
        <v>0</v>
      </c>
      <c r="Y123" s="233">
        <f>IFERROR(_xlfn.XLOOKUP($A123,Input_Raw!$A:$A,Input_Raw!$BN:$BN),"")</f>
        <v>0</v>
      </c>
      <c r="Z123" s="233"/>
      <c r="AA123" s="233">
        <f>IFERROR(_xlfn.XLOOKUP($A123,Input_Raw!$A:$A,Input_Raw!$BO:$BO),"")</f>
        <v>0</v>
      </c>
      <c r="AB123" s="233">
        <f>IFERROR(_xlfn.XLOOKUP($A123,Input_Raw!$A:$A,Input_Raw!$BP:$BP),"")</f>
        <v>0</v>
      </c>
      <c r="AC123" s="242">
        <f>IFERROR(_xlfn.XLOOKUP($D123,'Modelling New'!$D:$D,'Modelling New'!P:P),"")</f>
        <v>5.4903225806451612</v>
      </c>
      <c r="AD123" s="233">
        <f>IFERROR(_xlfn.XLOOKUP($D123,'Modelling New'!$D:$D,'Modelling New'!T:T)*1000,"")</f>
        <v>410306.41807343106</v>
      </c>
      <c r="AE123" s="243">
        <f>IFERROR(_xlfn.XLOOKUP($D123,'Modelling New'!$D:$D,'Modelling New'!$O:$O),"")</f>
        <v>0.85116926356747413</v>
      </c>
      <c r="AF123" s="243">
        <f>IFERROR(_xlfn.XLOOKUP($D123,'Modelling New'!$D:$D,'Modelling New'!$W:$W),"")</f>
        <v>0.19471640948815067</v>
      </c>
      <c r="AG123" s="243">
        <f>IFERROR(_xlfn.XLOOKUP($D123,'Modelling New'!$D:$D,'Modelling New'!$AE:$AE),"")</f>
        <v>0.995</v>
      </c>
      <c r="AH123" s="243">
        <f>IFERROR(_xlfn.XLOOKUP($D123,'Modelling New'!$D:$D,'Modelling New'!$AF:$AF),"")</f>
        <v>0.995</v>
      </c>
      <c r="AI123" s="234"/>
      <c r="AJ123" s="234"/>
      <c r="AK123" s="234"/>
      <c r="AL123" s="234"/>
      <c r="AM123" s="234"/>
      <c r="AN123" s="244"/>
      <c r="AO123" s="241"/>
      <c r="AP123" s="241"/>
      <c r="AQ123" s="241"/>
      <c r="AR123" s="233">
        <f>_xlfn.XLOOKUP($D123,'Modelling New'!$D:$D,'Modelling New'!$N:$N)</f>
        <v>87.8</v>
      </c>
      <c r="AS123" s="233">
        <f t="shared" si="13"/>
        <v>0</v>
      </c>
    </row>
    <row r="124" spans="1:45">
      <c r="A124" s="232">
        <f t="shared" si="14"/>
        <v>45961</v>
      </c>
      <c r="B124" s="233">
        <f>YEAR(Daily_KPI[[#This Row],[Date]])+IF(MONTH(Daily_KPI[[#This Row],[Date]])&gt;=4,1,0)</f>
        <v>2026</v>
      </c>
      <c r="C124" s="234">
        <f>YEAR(Daily_KPI[[#This Row],[Date]])</f>
        <v>2025</v>
      </c>
      <c r="D124" s="235">
        <f>Daily_KPI[[#This Row],[Date]]-DAY(Daily_KPI[[#This Row],[Date]])+1</f>
        <v>45931</v>
      </c>
      <c r="E124" s="234">
        <f t="shared" si="10"/>
        <v>31</v>
      </c>
      <c r="F124" s="236">
        <f>IFERROR(_xlfn.XLOOKUP($A124,Input_Raw!$A:$A,Input_Raw!$BM:$BM),"")</f>
        <v>0</v>
      </c>
      <c r="G124" s="237">
        <f>IFERROR(_xlfn.XLOOKUP($A124,Input_Raw!$A:$A,Input_Raw!$AN:$AN),"")</f>
        <v>0</v>
      </c>
      <c r="H124" s="237"/>
      <c r="I124" s="237">
        <f>IFERROR(_xlfn.XLOOKUP($A124,Input_Raw!$A:$A,Input_Raw!$AM:$AM),"")</f>
        <v>0</v>
      </c>
      <c r="J124" s="237"/>
      <c r="K124" s="237">
        <f>IFERROR(_xlfn.XLOOKUP($A124,Input_Raw!$A:$A,Input_Raw!AO:AO),"")</f>
        <v>0</v>
      </c>
      <c r="L124" s="237">
        <f>IFERROR(_xlfn.XLOOKUP($A124,Input_Raw!$A:$A,Input_Raw!AP:AP),"")</f>
        <v>0</v>
      </c>
      <c r="M124" s="237">
        <f>IFERROR(_xlfn.XLOOKUP($A124,Input_Raw!$A:$A,Input_Raw!AS:AS),"")</f>
        <v>0</v>
      </c>
      <c r="N124" s="237">
        <f>IFERROR(_xlfn.XLOOKUP($A124,Input_Raw!$A:$A,Input_Raw!AT:AT),"")</f>
        <v>0</v>
      </c>
      <c r="O124" s="238" t="str">
        <f>IFERROR(1-(SUMIF(Plant_BD!$B:$B,$A124,Plant_BD!$AL:$AL)/($AA124+SUMIF(Plant_BD!$B:$B,$A124,Plant_BD!$AL:$AL))),"")</f>
        <v/>
      </c>
      <c r="P124" s="238"/>
      <c r="Q124" s="239"/>
      <c r="R124" s="238" t="str">
        <f>IFERROR(1-(SUMIF(Grid_BD!$B:$B,$A124,Grid_BD!$V:$V)/($AA124+SUMIF(Grid_BD!$B:$B,$A124,Grid_BD!$V:$V))),"")</f>
        <v/>
      </c>
      <c r="S124" s="234"/>
      <c r="T124" s="239"/>
      <c r="U124" s="240" t="str">
        <f t="shared" si="11"/>
        <v/>
      </c>
      <c r="V124" s="240" t="str">
        <f>IFERROR(_xlfn.XLOOKUP($A124,Input_Raw!$A:$A,Input_Raw!$BS:$BS),"")</f>
        <v/>
      </c>
      <c r="W124" s="241">
        <f t="shared" si="12"/>
        <v>0</v>
      </c>
      <c r="X124" s="233">
        <f>IFERROR(_xlfn.XLOOKUP($A124,Input_Raw!$A:$A,Input_Raw!$AW:$AW),"")</f>
        <v>0</v>
      </c>
      <c r="Y124" s="233">
        <f>IFERROR(_xlfn.XLOOKUP($A124,Input_Raw!$A:$A,Input_Raw!$BN:$BN),"")</f>
        <v>0</v>
      </c>
      <c r="Z124" s="233"/>
      <c r="AA124" s="233">
        <f>IFERROR(_xlfn.XLOOKUP($A124,Input_Raw!$A:$A,Input_Raw!$BO:$BO),"")</f>
        <v>0</v>
      </c>
      <c r="AB124" s="233">
        <f>IFERROR(_xlfn.XLOOKUP($A124,Input_Raw!$A:$A,Input_Raw!$BP:$BP),"")</f>
        <v>0</v>
      </c>
      <c r="AC124" s="242">
        <f>IFERROR(_xlfn.XLOOKUP($D124,'Modelling New'!$D:$D,'Modelling New'!P:P),"")</f>
        <v>5.4903225806451612</v>
      </c>
      <c r="AD124" s="233">
        <f>IFERROR(_xlfn.XLOOKUP($D124,'Modelling New'!$D:$D,'Modelling New'!T:T)*1000,"")</f>
        <v>410306.41807343106</v>
      </c>
      <c r="AE124" s="243">
        <f>IFERROR(_xlfn.XLOOKUP($D124,'Modelling New'!$D:$D,'Modelling New'!$O:$O),"")</f>
        <v>0.85116926356747413</v>
      </c>
      <c r="AF124" s="243">
        <f>IFERROR(_xlfn.XLOOKUP($D124,'Modelling New'!$D:$D,'Modelling New'!$W:$W),"")</f>
        <v>0.19471640948815067</v>
      </c>
      <c r="AG124" s="243">
        <f>IFERROR(_xlfn.XLOOKUP($D124,'Modelling New'!$D:$D,'Modelling New'!$AE:$AE),"")</f>
        <v>0.995</v>
      </c>
      <c r="AH124" s="243">
        <f>IFERROR(_xlfn.XLOOKUP($D124,'Modelling New'!$D:$D,'Modelling New'!$AF:$AF),"")</f>
        <v>0.995</v>
      </c>
      <c r="AI124" s="234"/>
      <c r="AJ124" s="234"/>
      <c r="AK124" s="234"/>
      <c r="AL124" s="234"/>
      <c r="AM124" s="234"/>
      <c r="AN124" s="244"/>
      <c r="AO124" s="241"/>
      <c r="AP124" s="241"/>
      <c r="AQ124" s="241"/>
      <c r="AR124" s="233">
        <f>_xlfn.XLOOKUP($D124,'Modelling New'!$D:$D,'Modelling New'!$N:$N)</f>
        <v>87.8</v>
      </c>
      <c r="AS124" s="233">
        <f t="shared" si="13"/>
        <v>0</v>
      </c>
    </row>
    <row r="125" spans="1:45">
      <c r="A125" s="232">
        <f t="shared" si="14"/>
        <v>45962</v>
      </c>
      <c r="B125" s="233">
        <f>YEAR(Daily_KPI[[#This Row],[Date]])+IF(MONTH(Daily_KPI[[#This Row],[Date]])&gt;=4,1,0)</f>
        <v>2026</v>
      </c>
      <c r="C125" s="234">
        <f>YEAR(Daily_KPI[[#This Row],[Date]])</f>
        <v>2025</v>
      </c>
      <c r="D125" s="235">
        <f>Daily_KPI[[#This Row],[Date]]-DAY(Daily_KPI[[#This Row],[Date]])+1</f>
        <v>45962</v>
      </c>
      <c r="E125" s="234">
        <f t="shared" si="10"/>
        <v>30</v>
      </c>
      <c r="F125" s="236">
        <f>IFERROR(_xlfn.XLOOKUP($A125,Input_Raw!$A:$A,Input_Raw!$BM:$BM),"")</f>
        <v>0</v>
      </c>
      <c r="G125" s="237">
        <f>IFERROR(_xlfn.XLOOKUP($A125,Input_Raw!$A:$A,Input_Raw!$AN:$AN),"")</f>
        <v>0</v>
      </c>
      <c r="H125" s="237"/>
      <c r="I125" s="237">
        <f>IFERROR(_xlfn.XLOOKUP($A125,Input_Raw!$A:$A,Input_Raw!$AM:$AM),"")</f>
        <v>0</v>
      </c>
      <c r="J125" s="237"/>
      <c r="K125" s="237">
        <f>IFERROR(_xlfn.XLOOKUP($A125,Input_Raw!$A:$A,Input_Raw!AO:AO),"")</f>
        <v>0</v>
      </c>
      <c r="L125" s="237">
        <f>IFERROR(_xlfn.XLOOKUP($A125,Input_Raw!$A:$A,Input_Raw!AP:AP),"")</f>
        <v>0</v>
      </c>
      <c r="M125" s="237">
        <f>IFERROR(_xlfn.XLOOKUP($A125,Input_Raw!$A:$A,Input_Raw!AS:AS),"")</f>
        <v>0</v>
      </c>
      <c r="N125" s="237">
        <f>IFERROR(_xlfn.XLOOKUP($A125,Input_Raw!$A:$A,Input_Raw!AT:AT),"")</f>
        <v>0</v>
      </c>
      <c r="O125" s="238" t="str">
        <f>IFERROR(1-(SUMIF(Plant_BD!$B:$B,$A125,Plant_BD!$AL:$AL)/($AA125+SUMIF(Plant_BD!$B:$B,$A125,Plant_BD!$AL:$AL))),"")</f>
        <v/>
      </c>
      <c r="P125" s="238"/>
      <c r="Q125" s="239"/>
      <c r="R125" s="238" t="str">
        <f>IFERROR(1-(SUMIF(Grid_BD!$B:$B,$A125,Grid_BD!$V:$V)/($AA125+SUMIF(Grid_BD!$B:$B,$A125,Grid_BD!$V:$V))),"")</f>
        <v/>
      </c>
      <c r="S125" s="234"/>
      <c r="T125" s="239"/>
      <c r="U125" s="240" t="str">
        <f t="shared" si="11"/>
        <v/>
      </c>
      <c r="V125" s="240" t="str">
        <f>IFERROR(_xlfn.XLOOKUP($A125,Input_Raw!$A:$A,Input_Raw!$BS:$BS),"")</f>
        <v/>
      </c>
      <c r="W125" s="241">
        <f t="shared" si="12"/>
        <v>0</v>
      </c>
      <c r="X125" s="233">
        <f>IFERROR(_xlfn.XLOOKUP($A125,Input_Raw!$A:$A,Input_Raw!$AW:$AW),"")</f>
        <v>0</v>
      </c>
      <c r="Y125" s="233">
        <f>IFERROR(_xlfn.XLOOKUP($A125,Input_Raw!$A:$A,Input_Raw!$BN:$BN),"")</f>
        <v>0</v>
      </c>
      <c r="Z125" s="233"/>
      <c r="AA125" s="233">
        <f>IFERROR(_xlfn.XLOOKUP($A125,Input_Raw!$A:$A,Input_Raw!$BO:$BO),"")</f>
        <v>0</v>
      </c>
      <c r="AB125" s="233">
        <f>IFERROR(_xlfn.XLOOKUP($A125,Input_Raw!$A:$A,Input_Raw!$BP:$BP),"")</f>
        <v>0</v>
      </c>
      <c r="AC125" s="242">
        <f>IFERROR(_xlfn.XLOOKUP($D125,'Modelling New'!$D:$D,'Modelling New'!P:P),"")</f>
        <v>5.58</v>
      </c>
      <c r="AD125" s="233">
        <f>IFERROR(_xlfn.XLOOKUP($D125,'Modelling New'!$D:$D,'Modelling New'!T:T)*1000,"")</f>
        <v>416394.03312492924</v>
      </c>
      <c r="AE125" s="243">
        <f>IFERROR(_xlfn.XLOOKUP($D125,'Modelling New'!$D:$D,'Modelling New'!$O:$O),"")</f>
        <v>0.84991556470989227</v>
      </c>
      <c r="AF125" s="243">
        <f>IFERROR(_xlfn.XLOOKUP($D125,'Modelling New'!$D:$D,'Modelling New'!$W:$W),"")</f>
        <v>0.19760536879504997</v>
      </c>
      <c r="AG125" s="243">
        <f>IFERROR(_xlfn.XLOOKUP($D125,'Modelling New'!$D:$D,'Modelling New'!$AE:$AE),"")</f>
        <v>0.995</v>
      </c>
      <c r="AH125" s="243">
        <f>IFERROR(_xlfn.XLOOKUP($D125,'Modelling New'!$D:$D,'Modelling New'!$AF:$AF),"")</f>
        <v>0.995</v>
      </c>
      <c r="AI125" s="234"/>
      <c r="AJ125" s="234"/>
      <c r="AK125" s="234"/>
      <c r="AL125" s="234"/>
      <c r="AM125" s="234"/>
      <c r="AN125" s="244"/>
      <c r="AO125" s="241"/>
      <c r="AP125" s="241"/>
      <c r="AQ125" s="241"/>
      <c r="AR125" s="233">
        <f>_xlfn.XLOOKUP($D125,'Modelling New'!$D:$D,'Modelling New'!$N:$N)</f>
        <v>87.8</v>
      </c>
      <c r="AS125" s="233">
        <f t="shared" si="13"/>
        <v>0</v>
      </c>
    </row>
    <row r="126" spans="1:45">
      <c r="A126" s="232">
        <f t="shared" si="14"/>
        <v>45963</v>
      </c>
      <c r="B126" s="233">
        <f>YEAR(Daily_KPI[[#This Row],[Date]])+IF(MONTH(Daily_KPI[[#This Row],[Date]])&gt;=4,1,0)</f>
        <v>2026</v>
      </c>
      <c r="C126" s="234">
        <f>YEAR(Daily_KPI[[#This Row],[Date]])</f>
        <v>2025</v>
      </c>
      <c r="D126" s="235">
        <f>Daily_KPI[[#This Row],[Date]]-DAY(Daily_KPI[[#This Row],[Date]])+1</f>
        <v>45962</v>
      </c>
      <c r="E126" s="234">
        <f t="shared" si="10"/>
        <v>30</v>
      </c>
      <c r="F126" s="236">
        <f>IFERROR(_xlfn.XLOOKUP($A126,Input_Raw!$A:$A,Input_Raw!$BM:$BM),"")</f>
        <v>0</v>
      </c>
      <c r="G126" s="237">
        <f>IFERROR(_xlfn.XLOOKUP($A126,Input_Raw!$A:$A,Input_Raw!$AN:$AN),"")</f>
        <v>0</v>
      </c>
      <c r="H126" s="237"/>
      <c r="I126" s="237">
        <f>IFERROR(_xlfn.XLOOKUP($A126,Input_Raw!$A:$A,Input_Raw!$AM:$AM),"")</f>
        <v>0</v>
      </c>
      <c r="J126" s="237"/>
      <c r="K126" s="237">
        <f>IFERROR(_xlfn.XLOOKUP($A126,Input_Raw!$A:$A,Input_Raw!AO:AO),"")</f>
        <v>0</v>
      </c>
      <c r="L126" s="237">
        <f>IFERROR(_xlfn.XLOOKUP($A126,Input_Raw!$A:$A,Input_Raw!AP:AP),"")</f>
        <v>0</v>
      </c>
      <c r="M126" s="237">
        <f>IFERROR(_xlfn.XLOOKUP($A126,Input_Raw!$A:$A,Input_Raw!AS:AS),"")</f>
        <v>0</v>
      </c>
      <c r="N126" s="237">
        <f>IFERROR(_xlfn.XLOOKUP($A126,Input_Raw!$A:$A,Input_Raw!AT:AT),"")</f>
        <v>0</v>
      </c>
      <c r="O126" s="238" t="str">
        <f>IFERROR(1-(SUMIF(Plant_BD!$B:$B,$A126,Plant_BD!$AL:$AL)/($AA126+SUMIF(Plant_BD!$B:$B,$A126,Plant_BD!$AL:$AL))),"")</f>
        <v/>
      </c>
      <c r="P126" s="238"/>
      <c r="Q126" s="239"/>
      <c r="R126" s="238" t="str">
        <f>IFERROR(1-(SUMIF(Grid_BD!$B:$B,$A126,Grid_BD!$V:$V)/($AA126+SUMIF(Grid_BD!$B:$B,$A126,Grid_BD!$V:$V))),"")</f>
        <v/>
      </c>
      <c r="S126" s="234"/>
      <c r="T126" s="239"/>
      <c r="U126" s="240" t="str">
        <f t="shared" si="11"/>
        <v/>
      </c>
      <c r="V126" s="240" t="str">
        <f>IFERROR(_xlfn.XLOOKUP($A126,Input_Raw!$A:$A,Input_Raw!$BS:$BS),"")</f>
        <v/>
      </c>
      <c r="W126" s="241">
        <f t="shared" si="12"/>
        <v>0</v>
      </c>
      <c r="X126" s="233">
        <f>IFERROR(_xlfn.XLOOKUP($A126,Input_Raw!$A:$A,Input_Raw!$AW:$AW),"")</f>
        <v>0</v>
      </c>
      <c r="Y126" s="233">
        <f>IFERROR(_xlfn.XLOOKUP($A126,Input_Raw!$A:$A,Input_Raw!$BN:$BN),"")</f>
        <v>0</v>
      </c>
      <c r="Z126" s="233"/>
      <c r="AA126" s="233">
        <f>IFERROR(_xlfn.XLOOKUP($A126,Input_Raw!$A:$A,Input_Raw!$BO:$BO),"")</f>
        <v>0</v>
      </c>
      <c r="AB126" s="233">
        <f>IFERROR(_xlfn.XLOOKUP($A126,Input_Raw!$A:$A,Input_Raw!$BP:$BP),"")</f>
        <v>0</v>
      </c>
      <c r="AC126" s="242">
        <f>IFERROR(_xlfn.XLOOKUP($D126,'Modelling New'!$D:$D,'Modelling New'!P:P),"")</f>
        <v>5.58</v>
      </c>
      <c r="AD126" s="233">
        <f>IFERROR(_xlfn.XLOOKUP($D126,'Modelling New'!$D:$D,'Modelling New'!T:T)*1000,"")</f>
        <v>416394.03312492924</v>
      </c>
      <c r="AE126" s="243">
        <f>IFERROR(_xlfn.XLOOKUP($D126,'Modelling New'!$D:$D,'Modelling New'!$O:$O),"")</f>
        <v>0.84991556470989227</v>
      </c>
      <c r="AF126" s="243">
        <f>IFERROR(_xlfn.XLOOKUP($D126,'Modelling New'!$D:$D,'Modelling New'!$W:$W),"")</f>
        <v>0.19760536879504997</v>
      </c>
      <c r="AG126" s="243">
        <f>IFERROR(_xlfn.XLOOKUP($D126,'Modelling New'!$D:$D,'Modelling New'!$AE:$AE),"")</f>
        <v>0.995</v>
      </c>
      <c r="AH126" s="243">
        <f>IFERROR(_xlfn.XLOOKUP($D126,'Modelling New'!$D:$D,'Modelling New'!$AF:$AF),"")</f>
        <v>0.995</v>
      </c>
      <c r="AI126" s="234"/>
      <c r="AJ126" s="234"/>
      <c r="AK126" s="234"/>
      <c r="AL126" s="234"/>
      <c r="AM126" s="234"/>
      <c r="AN126" s="244"/>
      <c r="AO126" s="241"/>
      <c r="AP126" s="241"/>
      <c r="AQ126" s="241"/>
      <c r="AR126" s="233">
        <f>_xlfn.XLOOKUP($D126,'Modelling New'!$D:$D,'Modelling New'!$N:$N)</f>
        <v>87.8</v>
      </c>
      <c r="AS126" s="233">
        <f t="shared" si="13"/>
        <v>0</v>
      </c>
    </row>
    <row r="127" spans="1:45">
      <c r="A127" s="232">
        <f t="shared" si="14"/>
        <v>45964</v>
      </c>
      <c r="B127" s="233">
        <f>YEAR(Daily_KPI[[#This Row],[Date]])+IF(MONTH(Daily_KPI[[#This Row],[Date]])&gt;=4,1,0)</f>
        <v>2026</v>
      </c>
      <c r="C127" s="234">
        <f>YEAR(Daily_KPI[[#This Row],[Date]])</f>
        <v>2025</v>
      </c>
      <c r="D127" s="235">
        <f>Daily_KPI[[#This Row],[Date]]-DAY(Daily_KPI[[#This Row],[Date]])+1</f>
        <v>45962</v>
      </c>
      <c r="E127" s="234">
        <f t="shared" si="10"/>
        <v>30</v>
      </c>
      <c r="F127" s="236">
        <f>IFERROR(_xlfn.XLOOKUP($A127,Input_Raw!$A:$A,Input_Raw!$BM:$BM),"")</f>
        <v>0</v>
      </c>
      <c r="G127" s="237">
        <f>IFERROR(_xlfn.XLOOKUP($A127,Input_Raw!$A:$A,Input_Raw!$AN:$AN),"")</f>
        <v>0</v>
      </c>
      <c r="H127" s="237"/>
      <c r="I127" s="237">
        <f>IFERROR(_xlfn.XLOOKUP($A127,Input_Raw!$A:$A,Input_Raw!$AM:$AM),"")</f>
        <v>0</v>
      </c>
      <c r="J127" s="237"/>
      <c r="K127" s="237">
        <f>IFERROR(_xlfn.XLOOKUP($A127,Input_Raw!$A:$A,Input_Raw!AO:AO),"")</f>
        <v>0</v>
      </c>
      <c r="L127" s="237">
        <f>IFERROR(_xlfn.XLOOKUP($A127,Input_Raw!$A:$A,Input_Raw!AP:AP),"")</f>
        <v>0</v>
      </c>
      <c r="M127" s="237">
        <f>IFERROR(_xlfn.XLOOKUP($A127,Input_Raw!$A:$A,Input_Raw!AS:AS),"")</f>
        <v>0</v>
      </c>
      <c r="N127" s="237">
        <f>IFERROR(_xlfn.XLOOKUP($A127,Input_Raw!$A:$A,Input_Raw!AT:AT),"")</f>
        <v>0</v>
      </c>
      <c r="O127" s="238" t="str">
        <f>IFERROR(1-(SUMIF(Plant_BD!$B:$B,$A127,Plant_BD!$AL:$AL)/($AA127+SUMIF(Plant_BD!$B:$B,$A127,Plant_BD!$AL:$AL))),"")</f>
        <v/>
      </c>
      <c r="P127" s="238"/>
      <c r="Q127" s="239"/>
      <c r="R127" s="238" t="str">
        <f>IFERROR(1-(SUMIF(Grid_BD!$B:$B,$A127,Grid_BD!$V:$V)/($AA127+SUMIF(Grid_BD!$B:$B,$A127,Grid_BD!$V:$V))),"")</f>
        <v/>
      </c>
      <c r="S127" s="234"/>
      <c r="T127" s="239"/>
      <c r="U127" s="240" t="str">
        <f t="shared" si="11"/>
        <v/>
      </c>
      <c r="V127" s="240" t="str">
        <f>IFERROR(_xlfn.XLOOKUP($A127,Input_Raw!$A:$A,Input_Raw!$BS:$BS),"")</f>
        <v/>
      </c>
      <c r="W127" s="241">
        <f t="shared" si="12"/>
        <v>0</v>
      </c>
      <c r="X127" s="233">
        <f>IFERROR(_xlfn.XLOOKUP($A127,Input_Raw!$A:$A,Input_Raw!$AW:$AW),"")</f>
        <v>0</v>
      </c>
      <c r="Y127" s="233">
        <f>IFERROR(_xlfn.XLOOKUP($A127,Input_Raw!$A:$A,Input_Raw!$BN:$BN),"")</f>
        <v>0</v>
      </c>
      <c r="Z127" s="233"/>
      <c r="AA127" s="233">
        <f>IFERROR(_xlfn.XLOOKUP($A127,Input_Raw!$A:$A,Input_Raw!$BO:$BO),"")</f>
        <v>0</v>
      </c>
      <c r="AB127" s="233">
        <f>IFERROR(_xlfn.XLOOKUP($A127,Input_Raw!$A:$A,Input_Raw!$BP:$BP),"")</f>
        <v>0</v>
      </c>
      <c r="AC127" s="242">
        <f>IFERROR(_xlfn.XLOOKUP($D127,'Modelling New'!$D:$D,'Modelling New'!P:P),"")</f>
        <v>5.58</v>
      </c>
      <c r="AD127" s="233">
        <f>IFERROR(_xlfn.XLOOKUP($D127,'Modelling New'!$D:$D,'Modelling New'!T:T)*1000,"")</f>
        <v>416394.03312492924</v>
      </c>
      <c r="AE127" s="243">
        <f>IFERROR(_xlfn.XLOOKUP($D127,'Modelling New'!$D:$D,'Modelling New'!$O:$O),"")</f>
        <v>0.84991556470989227</v>
      </c>
      <c r="AF127" s="243">
        <f>IFERROR(_xlfn.XLOOKUP($D127,'Modelling New'!$D:$D,'Modelling New'!$W:$W),"")</f>
        <v>0.19760536879504997</v>
      </c>
      <c r="AG127" s="243">
        <f>IFERROR(_xlfn.XLOOKUP($D127,'Modelling New'!$D:$D,'Modelling New'!$AE:$AE),"")</f>
        <v>0.995</v>
      </c>
      <c r="AH127" s="243">
        <f>IFERROR(_xlfn.XLOOKUP($D127,'Modelling New'!$D:$D,'Modelling New'!$AF:$AF),"")</f>
        <v>0.995</v>
      </c>
      <c r="AI127" s="234"/>
      <c r="AJ127" s="234"/>
      <c r="AK127" s="234"/>
      <c r="AL127" s="234"/>
      <c r="AM127" s="234"/>
      <c r="AN127" s="244"/>
      <c r="AO127" s="241"/>
      <c r="AP127" s="241"/>
      <c r="AQ127" s="241"/>
      <c r="AR127" s="233">
        <f>_xlfn.XLOOKUP($D127,'Modelling New'!$D:$D,'Modelling New'!$N:$N)</f>
        <v>87.8</v>
      </c>
      <c r="AS127" s="233">
        <f t="shared" si="13"/>
        <v>0</v>
      </c>
    </row>
    <row r="128" spans="1:45">
      <c r="A128" s="232">
        <f t="shared" si="14"/>
        <v>45965</v>
      </c>
      <c r="B128" s="233">
        <f>YEAR(Daily_KPI[[#This Row],[Date]])+IF(MONTH(Daily_KPI[[#This Row],[Date]])&gt;=4,1,0)</f>
        <v>2026</v>
      </c>
      <c r="C128" s="234">
        <f>YEAR(Daily_KPI[[#This Row],[Date]])</f>
        <v>2025</v>
      </c>
      <c r="D128" s="235">
        <f>Daily_KPI[[#This Row],[Date]]-DAY(Daily_KPI[[#This Row],[Date]])+1</f>
        <v>45962</v>
      </c>
      <c r="E128" s="234">
        <f t="shared" si="10"/>
        <v>30</v>
      </c>
      <c r="F128" s="236">
        <f>IFERROR(_xlfn.XLOOKUP($A128,Input_Raw!$A:$A,Input_Raw!$BM:$BM),"")</f>
        <v>0</v>
      </c>
      <c r="G128" s="237">
        <f>IFERROR(_xlfn.XLOOKUP($A128,Input_Raw!$A:$A,Input_Raw!$AN:$AN),"")</f>
        <v>0</v>
      </c>
      <c r="H128" s="237"/>
      <c r="I128" s="237">
        <f>IFERROR(_xlfn.XLOOKUP($A128,Input_Raw!$A:$A,Input_Raw!$AM:$AM),"")</f>
        <v>0</v>
      </c>
      <c r="J128" s="237"/>
      <c r="K128" s="237">
        <f>IFERROR(_xlfn.XLOOKUP($A128,Input_Raw!$A:$A,Input_Raw!AO:AO),"")</f>
        <v>0</v>
      </c>
      <c r="L128" s="237">
        <f>IFERROR(_xlfn.XLOOKUP($A128,Input_Raw!$A:$A,Input_Raw!AP:AP),"")</f>
        <v>0</v>
      </c>
      <c r="M128" s="237">
        <f>IFERROR(_xlfn.XLOOKUP($A128,Input_Raw!$A:$A,Input_Raw!AS:AS),"")</f>
        <v>0</v>
      </c>
      <c r="N128" s="237">
        <f>IFERROR(_xlfn.XLOOKUP($A128,Input_Raw!$A:$A,Input_Raw!AT:AT),"")</f>
        <v>0</v>
      </c>
      <c r="O128" s="238" t="str">
        <f>IFERROR(1-(SUMIF(Plant_BD!$B:$B,$A128,Plant_BD!$AL:$AL)/($AA128+SUMIF(Plant_BD!$B:$B,$A128,Plant_BD!$AL:$AL))),"")</f>
        <v/>
      </c>
      <c r="P128" s="238"/>
      <c r="Q128" s="239"/>
      <c r="R128" s="238" t="str">
        <f>IFERROR(1-(SUMIF(Grid_BD!$B:$B,$A128,Grid_BD!$V:$V)/($AA128+SUMIF(Grid_BD!$B:$B,$A128,Grid_BD!$V:$V))),"")</f>
        <v/>
      </c>
      <c r="S128" s="234"/>
      <c r="T128" s="239"/>
      <c r="U128" s="240" t="str">
        <f t="shared" si="11"/>
        <v/>
      </c>
      <c r="V128" s="240" t="str">
        <f>IFERROR(_xlfn.XLOOKUP($A128,Input_Raw!$A:$A,Input_Raw!$BS:$BS),"")</f>
        <v/>
      </c>
      <c r="W128" s="241">
        <f t="shared" si="12"/>
        <v>0</v>
      </c>
      <c r="X128" s="233">
        <f>IFERROR(_xlfn.XLOOKUP($A128,Input_Raw!$A:$A,Input_Raw!$AW:$AW),"")</f>
        <v>0</v>
      </c>
      <c r="Y128" s="233">
        <f>IFERROR(_xlfn.XLOOKUP($A128,Input_Raw!$A:$A,Input_Raw!$BN:$BN),"")</f>
        <v>0</v>
      </c>
      <c r="Z128" s="233"/>
      <c r="AA128" s="233">
        <f>IFERROR(_xlfn.XLOOKUP($A128,Input_Raw!$A:$A,Input_Raw!$BO:$BO),"")</f>
        <v>0</v>
      </c>
      <c r="AB128" s="233">
        <f>IFERROR(_xlfn.XLOOKUP($A128,Input_Raw!$A:$A,Input_Raw!$BP:$BP),"")</f>
        <v>0</v>
      </c>
      <c r="AC128" s="242">
        <f>IFERROR(_xlfn.XLOOKUP($D128,'Modelling New'!$D:$D,'Modelling New'!P:P),"")</f>
        <v>5.58</v>
      </c>
      <c r="AD128" s="233">
        <f>IFERROR(_xlfn.XLOOKUP($D128,'Modelling New'!$D:$D,'Modelling New'!T:T)*1000,"")</f>
        <v>416394.03312492924</v>
      </c>
      <c r="AE128" s="243">
        <f>IFERROR(_xlfn.XLOOKUP($D128,'Modelling New'!$D:$D,'Modelling New'!$O:$O),"")</f>
        <v>0.84991556470989227</v>
      </c>
      <c r="AF128" s="243">
        <f>IFERROR(_xlfn.XLOOKUP($D128,'Modelling New'!$D:$D,'Modelling New'!$W:$W),"")</f>
        <v>0.19760536879504997</v>
      </c>
      <c r="AG128" s="243">
        <f>IFERROR(_xlfn.XLOOKUP($D128,'Modelling New'!$D:$D,'Modelling New'!$AE:$AE),"")</f>
        <v>0.995</v>
      </c>
      <c r="AH128" s="243">
        <f>IFERROR(_xlfn.XLOOKUP($D128,'Modelling New'!$D:$D,'Modelling New'!$AF:$AF),"")</f>
        <v>0.995</v>
      </c>
      <c r="AI128" s="234"/>
      <c r="AJ128" s="234"/>
      <c r="AK128" s="234"/>
      <c r="AL128" s="234"/>
      <c r="AM128" s="234"/>
      <c r="AN128" s="244"/>
      <c r="AO128" s="241"/>
      <c r="AP128" s="241"/>
      <c r="AQ128" s="241"/>
      <c r="AR128" s="233">
        <f>_xlfn.XLOOKUP($D128,'Modelling New'!$D:$D,'Modelling New'!$N:$N)</f>
        <v>87.8</v>
      </c>
      <c r="AS128" s="233">
        <f t="shared" si="13"/>
        <v>0</v>
      </c>
    </row>
    <row r="129" spans="1:45">
      <c r="A129" s="232">
        <f t="shared" si="14"/>
        <v>45966</v>
      </c>
      <c r="B129" s="233">
        <f>YEAR(Daily_KPI[[#This Row],[Date]])+IF(MONTH(Daily_KPI[[#This Row],[Date]])&gt;=4,1,0)</f>
        <v>2026</v>
      </c>
      <c r="C129" s="234">
        <f>YEAR(Daily_KPI[[#This Row],[Date]])</f>
        <v>2025</v>
      </c>
      <c r="D129" s="235">
        <f>Daily_KPI[[#This Row],[Date]]-DAY(Daily_KPI[[#This Row],[Date]])+1</f>
        <v>45962</v>
      </c>
      <c r="E129" s="234">
        <f t="shared" si="10"/>
        <v>30</v>
      </c>
      <c r="F129" s="236">
        <f>IFERROR(_xlfn.XLOOKUP($A129,Input_Raw!$A:$A,Input_Raw!$BM:$BM),"")</f>
        <v>0</v>
      </c>
      <c r="G129" s="237">
        <f>IFERROR(_xlfn.XLOOKUP($A129,Input_Raw!$A:$A,Input_Raw!$AN:$AN),"")</f>
        <v>0</v>
      </c>
      <c r="H129" s="237"/>
      <c r="I129" s="237">
        <f>IFERROR(_xlfn.XLOOKUP($A129,Input_Raw!$A:$A,Input_Raw!$AM:$AM),"")</f>
        <v>0</v>
      </c>
      <c r="J129" s="237"/>
      <c r="K129" s="237">
        <f>IFERROR(_xlfn.XLOOKUP($A129,Input_Raw!$A:$A,Input_Raw!AO:AO),"")</f>
        <v>0</v>
      </c>
      <c r="L129" s="237">
        <f>IFERROR(_xlfn.XLOOKUP($A129,Input_Raw!$A:$A,Input_Raw!AP:AP),"")</f>
        <v>0</v>
      </c>
      <c r="M129" s="237">
        <f>IFERROR(_xlfn.XLOOKUP($A129,Input_Raw!$A:$A,Input_Raw!AS:AS),"")</f>
        <v>0</v>
      </c>
      <c r="N129" s="237">
        <f>IFERROR(_xlfn.XLOOKUP($A129,Input_Raw!$A:$A,Input_Raw!AT:AT),"")</f>
        <v>0</v>
      </c>
      <c r="O129" s="238" t="str">
        <f>IFERROR(1-(SUMIF(Plant_BD!$B:$B,$A129,Plant_BD!$AL:$AL)/($AA129+SUMIF(Plant_BD!$B:$B,$A129,Plant_BD!$AL:$AL))),"")</f>
        <v/>
      </c>
      <c r="P129" s="238"/>
      <c r="Q129" s="239"/>
      <c r="R129" s="238" t="str">
        <f>IFERROR(1-(SUMIF(Grid_BD!$B:$B,$A129,Grid_BD!$V:$V)/($AA129+SUMIF(Grid_BD!$B:$B,$A129,Grid_BD!$V:$V))),"")</f>
        <v/>
      </c>
      <c r="S129" s="234"/>
      <c r="T129" s="239"/>
      <c r="U129" s="240" t="str">
        <f t="shared" si="11"/>
        <v/>
      </c>
      <c r="V129" s="240" t="str">
        <f>IFERROR(_xlfn.XLOOKUP($A129,Input_Raw!$A:$A,Input_Raw!$BS:$BS),"")</f>
        <v/>
      </c>
      <c r="W129" s="241">
        <f t="shared" si="12"/>
        <v>0</v>
      </c>
      <c r="X129" s="233">
        <f>IFERROR(_xlfn.XLOOKUP($A129,Input_Raw!$A:$A,Input_Raw!$AW:$AW),"")</f>
        <v>0</v>
      </c>
      <c r="Y129" s="233">
        <f>IFERROR(_xlfn.XLOOKUP($A129,Input_Raw!$A:$A,Input_Raw!$BN:$BN),"")</f>
        <v>0</v>
      </c>
      <c r="Z129" s="233"/>
      <c r="AA129" s="233">
        <f>IFERROR(_xlfn.XLOOKUP($A129,Input_Raw!$A:$A,Input_Raw!$BO:$BO),"")</f>
        <v>0</v>
      </c>
      <c r="AB129" s="233">
        <f>IFERROR(_xlfn.XLOOKUP($A129,Input_Raw!$A:$A,Input_Raw!$BP:$BP),"")</f>
        <v>0</v>
      </c>
      <c r="AC129" s="242">
        <f>IFERROR(_xlfn.XLOOKUP($D129,'Modelling New'!$D:$D,'Modelling New'!P:P),"")</f>
        <v>5.58</v>
      </c>
      <c r="AD129" s="233">
        <f>IFERROR(_xlfn.XLOOKUP($D129,'Modelling New'!$D:$D,'Modelling New'!T:T)*1000,"")</f>
        <v>416394.03312492924</v>
      </c>
      <c r="AE129" s="243">
        <f>IFERROR(_xlfn.XLOOKUP($D129,'Modelling New'!$D:$D,'Modelling New'!$O:$O),"")</f>
        <v>0.84991556470989227</v>
      </c>
      <c r="AF129" s="243">
        <f>IFERROR(_xlfn.XLOOKUP($D129,'Modelling New'!$D:$D,'Modelling New'!$W:$W),"")</f>
        <v>0.19760536879504997</v>
      </c>
      <c r="AG129" s="243">
        <f>IFERROR(_xlfn.XLOOKUP($D129,'Modelling New'!$D:$D,'Modelling New'!$AE:$AE),"")</f>
        <v>0.995</v>
      </c>
      <c r="AH129" s="243">
        <f>IFERROR(_xlfn.XLOOKUP($D129,'Modelling New'!$D:$D,'Modelling New'!$AF:$AF),"")</f>
        <v>0.995</v>
      </c>
      <c r="AI129" s="234"/>
      <c r="AJ129" s="234"/>
      <c r="AK129" s="234"/>
      <c r="AL129" s="234"/>
      <c r="AM129" s="234"/>
      <c r="AN129" s="244"/>
      <c r="AO129" s="241"/>
      <c r="AP129" s="241"/>
      <c r="AQ129" s="241"/>
      <c r="AR129" s="233">
        <f>_xlfn.XLOOKUP($D129,'Modelling New'!$D:$D,'Modelling New'!$N:$N)</f>
        <v>87.8</v>
      </c>
      <c r="AS129" s="233">
        <f t="shared" si="13"/>
        <v>0</v>
      </c>
    </row>
    <row r="130" spans="1:45">
      <c r="A130" s="232">
        <f t="shared" si="14"/>
        <v>45967</v>
      </c>
      <c r="B130" s="233">
        <f>YEAR(Daily_KPI[[#This Row],[Date]])+IF(MONTH(Daily_KPI[[#This Row],[Date]])&gt;=4,1,0)</f>
        <v>2026</v>
      </c>
      <c r="C130" s="234">
        <f>YEAR(Daily_KPI[[#This Row],[Date]])</f>
        <v>2025</v>
      </c>
      <c r="D130" s="235">
        <f>Daily_KPI[[#This Row],[Date]]-DAY(Daily_KPI[[#This Row],[Date]])+1</f>
        <v>45962</v>
      </c>
      <c r="E130" s="234">
        <f t="shared" si="10"/>
        <v>30</v>
      </c>
      <c r="F130" s="236">
        <f>IFERROR(_xlfn.XLOOKUP($A130,Input_Raw!$A:$A,Input_Raw!$BM:$BM),"")</f>
        <v>0</v>
      </c>
      <c r="G130" s="237">
        <f>IFERROR(_xlfn.XLOOKUP($A130,Input_Raw!$A:$A,Input_Raw!$AN:$AN),"")</f>
        <v>0</v>
      </c>
      <c r="H130" s="237"/>
      <c r="I130" s="237">
        <f>IFERROR(_xlfn.XLOOKUP($A130,Input_Raw!$A:$A,Input_Raw!$AM:$AM),"")</f>
        <v>0</v>
      </c>
      <c r="J130" s="237"/>
      <c r="K130" s="237">
        <f>IFERROR(_xlfn.XLOOKUP($A130,Input_Raw!$A:$A,Input_Raw!AO:AO),"")</f>
        <v>0</v>
      </c>
      <c r="L130" s="237">
        <f>IFERROR(_xlfn.XLOOKUP($A130,Input_Raw!$A:$A,Input_Raw!AP:AP),"")</f>
        <v>0</v>
      </c>
      <c r="M130" s="237">
        <f>IFERROR(_xlfn.XLOOKUP($A130,Input_Raw!$A:$A,Input_Raw!AS:AS),"")</f>
        <v>0</v>
      </c>
      <c r="N130" s="237">
        <f>IFERROR(_xlfn.XLOOKUP($A130,Input_Raw!$A:$A,Input_Raw!AT:AT),"")</f>
        <v>0</v>
      </c>
      <c r="O130" s="238" t="str">
        <f>IFERROR(1-(SUMIF(Plant_BD!$B:$B,$A130,Plant_BD!$AL:$AL)/($AA130+SUMIF(Plant_BD!$B:$B,$A130,Plant_BD!$AL:$AL))),"")</f>
        <v/>
      </c>
      <c r="P130" s="238"/>
      <c r="Q130" s="239"/>
      <c r="R130" s="238" t="str">
        <f>IFERROR(1-(SUMIF(Grid_BD!$B:$B,$A130,Grid_BD!$V:$V)/($AA130+SUMIF(Grid_BD!$B:$B,$A130,Grid_BD!$V:$V))),"")</f>
        <v/>
      </c>
      <c r="S130" s="234"/>
      <c r="T130" s="239"/>
      <c r="U130" s="240" t="str">
        <f t="shared" si="11"/>
        <v/>
      </c>
      <c r="V130" s="240" t="str">
        <f>IFERROR(_xlfn.XLOOKUP($A130,Input_Raw!$A:$A,Input_Raw!$BS:$BS),"")</f>
        <v/>
      </c>
      <c r="W130" s="241">
        <f t="shared" si="12"/>
        <v>0</v>
      </c>
      <c r="X130" s="233">
        <f>IFERROR(_xlfn.XLOOKUP($A130,Input_Raw!$A:$A,Input_Raw!$AW:$AW),"")</f>
        <v>0</v>
      </c>
      <c r="Y130" s="233">
        <f>IFERROR(_xlfn.XLOOKUP($A130,Input_Raw!$A:$A,Input_Raw!$BN:$BN),"")</f>
        <v>0</v>
      </c>
      <c r="Z130" s="233"/>
      <c r="AA130" s="233">
        <f>IFERROR(_xlfn.XLOOKUP($A130,Input_Raw!$A:$A,Input_Raw!$BO:$BO),"")</f>
        <v>0</v>
      </c>
      <c r="AB130" s="233">
        <f>IFERROR(_xlfn.XLOOKUP($A130,Input_Raw!$A:$A,Input_Raw!$BP:$BP),"")</f>
        <v>0</v>
      </c>
      <c r="AC130" s="242">
        <f>IFERROR(_xlfn.XLOOKUP($D130,'Modelling New'!$D:$D,'Modelling New'!P:P),"")</f>
        <v>5.58</v>
      </c>
      <c r="AD130" s="233">
        <f>IFERROR(_xlfn.XLOOKUP($D130,'Modelling New'!$D:$D,'Modelling New'!T:T)*1000,"")</f>
        <v>416394.03312492924</v>
      </c>
      <c r="AE130" s="243">
        <f>IFERROR(_xlfn.XLOOKUP($D130,'Modelling New'!$D:$D,'Modelling New'!$O:$O),"")</f>
        <v>0.84991556470989227</v>
      </c>
      <c r="AF130" s="243">
        <f>IFERROR(_xlfn.XLOOKUP($D130,'Modelling New'!$D:$D,'Modelling New'!$W:$W),"")</f>
        <v>0.19760536879504997</v>
      </c>
      <c r="AG130" s="243">
        <f>IFERROR(_xlfn.XLOOKUP($D130,'Modelling New'!$D:$D,'Modelling New'!$AE:$AE),"")</f>
        <v>0.995</v>
      </c>
      <c r="AH130" s="243">
        <f>IFERROR(_xlfn.XLOOKUP($D130,'Modelling New'!$D:$D,'Modelling New'!$AF:$AF),"")</f>
        <v>0.995</v>
      </c>
      <c r="AI130" s="234"/>
      <c r="AJ130" s="234"/>
      <c r="AK130" s="234"/>
      <c r="AL130" s="234"/>
      <c r="AM130" s="234"/>
      <c r="AN130" s="244"/>
      <c r="AO130" s="241"/>
      <c r="AP130" s="241"/>
      <c r="AQ130" s="241"/>
      <c r="AR130" s="233">
        <f>_xlfn.XLOOKUP($D130,'Modelling New'!$D:$D,'Modelling New'!$N:$N)</f>
        <v>87.8</v>
      </c>
      <c r="AS130" s="233">
        <f t="shared" si="13"/>
        <v>0</v>
      </c>
    </row>
    <row r="131" spans="1:45">
      <c r="A131" s="232">
        <f t="shared" si="14"/>
        <v>45968</v>
      </c>
      <c r="B131" s="233">
        <f>YEAR(Daily_KPI[[#This Row],[Date]])+IF(MONTH(Daily_KPI[[#This Row],[Date]])&gt;=4,1,0)</f>
        <v>2026</v>
      </c>
      <c r="C131" s="234">
        <f>YEAR(Daily_KPI[[#This Row],[Date]])</f>
        <v>2025</v>
      </c>
      <c r="D131" s="235">
        <f>Daily_KPI[[#This Row],[Date]]-DAY(Daily_KPI[[#This Row],[Date]])+1</f>
        <v>45962</v>
      </c>
      <c r="E131" s="234">
        <f t="shared" si="10"/>
        <v>30</v>
      </c>
      <c r="F131" s="236">
        <f>IFERROR(_xlfn.XLOOKUP($A131,Input_Raw!$A:$A,Input_Raw!$BM:$BM),"")</f>
        <v>0</v>
      </c>
      <c r="G131" s="237">
        <f>IFERROR(_xlfn.XLOOKUP($A131,Input_Raw!$A:$A,Input_Raw!$AN:$AN),"")</f>
        <v>0</v>
      </c>
      <c r="H131" s="237"/>
      <c r="I131" s="237">
        <f>IFERROR(_xlfn.XLOOKUP($A131,Input_Raw!$A:$A,Input_Raw!$AM:$AM),"")</f>
        <v>0</v>
      </c>
      <c r="J131" s="237"/>
      <c r="K131" s="237">
        <f>IFERROR(_xlfn.XLOOKUP($A131,Input_Raw!$A:$A,Input_Raw!AO:AO),"")</f>
        <v>0</v>
      </c>
      <c r="L131" s="237">
        <f>IFERROR(_xlfn.XLOOKUP($A131,Input_Raw!$A:$A,Input_Raw!AP:AP),"")</f>
        <v>0</v>
      </c>
      <c r="M131" s="237">
        <f>IFERROR(_xlfn.XLOOKUP($A131,Input_Raw!$A:$A,Input_Raw!AS:AS),"")</f>
        <v>0</v>
      </c>
      <c r="N131" s="237">
        <f>IFERROR(_xlfn.XLOOKUP($A131,Input_Raw!$A:$A,Input_Raw!AT:AT),"")</f>
        <v>0</v>
      </c>
      <c r="O131" s="238" t="str">
        <f>IFERROR(1-(SUMIF(Plant_BD!$B:$B,$A131,Plant_BD!$AL:$AL)/($AA131+SUMIF(Plant_BD!$B:$B,$A131,Plant_BD!$AL:$AL))),"")</f>
        <v/>
      </c>
      <c r="P131" s="238"/>
      <c r="Q131" s="239"/>
      <c r="R131" s="238" t="str">
        <f>IFERROR(1-(SUMIF(Grid_BD!$B:$B,$A131,Grid_BD!$V:$V)/($AA131+SUMIF(Grid_BD!$B:$B,$A131,Grid_BD!$V:$V))),"")</f>
        <v/>
      </c>
      <c r="S131" s="234"/>
      <c r="T131" s="239"/>
      <c r="U131" s="240" t="str">
        <f t="shared" si="11"/>
        <v/>
      </c>
      <c r="V131" s="240" t="str">
        <f>IFERROR(_xlfn.XLOOKUP($A131,Input_Raw!$A:$A,Input_Raw!$BS:$BS),"")</f>
        <v/>
      </c>
      <c r="W131" s="241">
        <f t="shared" si="12"/>
        <v>0</v>
      </c>
      <c r="X131" s="233">
        <f>IFERROR(_xlfn.XLOOKUP($A131,Input_Raw!$A:$A,Input_Raw!$AW:$AW),"")</f>
        <v>0</v>
      </c>
      <c r="Y131" s="233">
        <f>IFERROR(_xlfn.XLOOKUP($A131,Input_Raw!$A:$A,Input_Raw!$BN:$BN),"")</f>
        <v>0</v>
      </c>
      <c r="Z131" s="233"/>
      <c r="AA131" s="233">
        <f>IFERROR(_xlfn.XLOOKUP($A131,Input_Raw!$A:$A,Input_Raw!$BO:$BO),"")</f>
        <v>0</v>
      </c>
      <c r="AB131" s="233">
        <f>IFERROR(_xlfn.XLOOKUP($A131,Input_Raw!$A:$A,Input_Raw!$BP:$BP),"")</f>
        <v>0</v>
      </c>
      <c r="AC131" s="242">
        <f>IFERROR(_xlfn.XLOOKUP($D131,'Modelling New'!$D:$D,'Modelling New'!P:P),"")</f>
        <v>5.58</v>
      </c>
      <c r="AD131" s="233">
        <f>IFERROR(_xlfn.XLOOKUP($D131,'Modelling New'!$D:$D,'Modelling New'!T:T)*1000,"")</f>
        <v>416394.03312492924</v>
      </c>
      <c r="AE131" s="243">
        <f>IFERROR(_xlfn.XLOOKUP($D131,'Modelling New'!$D:$D,'Modelling New'!$O:$O),"")</f>
        <v>0.84991556470989227</v>
      </c>
      <c r="AF131" s="243">
        <f>IFERROR(_xlfn.XLOOKUP($D131,'Modelling New'!$D:$D,'Modelling New'!$W:$W),"")</f>
        <v>0.19760536879504997</v>
      </c>
      <c r="AG131" s="243">
        <f>IFERROR(_xlfn.XLOOKUP($D131,'Modelling New'!$D:$D,'Modelling New'!$AE:$AE),"")</f>
        <v>0.995</v>
      </c>
      <c r="AH131" s="243">
        <f>IFERROR(_xlfn.XLOOKUP($D131,'Modelling New'!$D:$D,'Modelling New'!$AF:$AF),"")</f>
        <v>0.995</v>
      </c>
      <c r="AI131" s="234"/>
      <c r="AJ131" s="234"/>
      <c r="AK131" s="234"/>
      <c r="AL131" s="234"/>
      <c r="AM131" s="234"/>
      <c r="AN131" s="244"/>
      <c r="AO131" s="241"/>
      <c r="AP131" s="241"/>
      <c r="AQ131" s="241"/>
      <c r="AR131" s="233">
        <f>_xlfn.XLOOKUP($D131,'Modelling New'!$D:$D,'Modelling New'!$N:$N)</f>
        <v>87.8</v>
      </c>
      <c r="AS131" s="233">
        <f t="shared" si="13"/>
        <v>0</v>
      </c>
    </row>
    <row r="132" spans="1:45">
      <c r="A132" s="232">
        <f t="shared" si="14"/>
        <v>45969</v>
      </c>
      <c r="B132" s="233">
        <f>YEAR(Daily_KPI[[#This Row],[Date]])+IF(MONTH(Daily_KPI[[#This Row],[Date]])&gt;=4,1,0)</f>
        <v>2026</v>
      </c>
      <c r="C132" s="234">
        <f>YEAR(Daily_KPI[[#This Row],[Date]])</f>
        <v>2025</v>
      </c>
      <c r="D132" s="235">
        <f>Daily_KPI[[#This Row],[Date]]-DAY(Daily_KPI[[#This Row],[Date]])+1</f>
        <v>45962</v>
      </c>
      <c r="E132" s="234">
        <f t="shared" si="10"/>
        <v>30</v>
      </c>
      <c r="F132" s="236">
        <f>IFERROR(_xlfn.XLOOKUP($A132,Input_Raw!$A:$A,Input_Raw!$BM:$BM),"")</f>
        <v>0</v>
      </c>
      <c r="G132" s="237">
        <f>IFERROR(_xlfn.XLOOKUP($A132,Input_Raw!$A:$A,Input_Raw!$AN:$AN),"")</f>
        <v>0</v>
      </c>
      <c r="H132" s="237"/>
      <c r="I132" s="237">
        <f>IFERROR(_xlfn.XLOOKUP($A132,Input_Raw!$A:$A,Input_Raw!$AM:$AM),"")</f>
        <v>0</v>
      </c>
      <c r="J132" s="237"/>
      <c r="K132" s="237">
        <f>IFERROR(_xlfn.XLOOKUP($A132,Input_Raw!$A:$A,Input_Raw!AO:AO),"")</f>
        <v>0</v>
      </c>
      <c r="L132" s="237">
        <f>IFERROR(_xlfn.XLOOKUP($A132,Input_Raw!$A:$A,Input_Raw!AP:AP),"")</f>
        <v>0</v>
      </c>
      <c r="M132" s="237">
        <f>IFERROR(_xlfn.XLOOKUP($A132,Input_Raw!$A:$A,Input_Raw!AS:AS),"")</f>
        <v>0</v>
      </c>
      <c r="N132" s="237">
        <f>IFERROR(_xlfn.XLOOKUP($A132,Input_Raw!$A:$A,Input_Raw!AT:AT),"")</f>
        <v>0</v>
      </c>
      <c r="O132" s="238" t="str">
        <f>IFERROR(1-(SUMIF(Plant_BD!$B:$B,$A132,Plant_BD!$AL:$AL)/($AA132+SUMIF(Plant_BD!$B:$B,$A132,Plant_BD!$AL:$AL))),"")</f>
        <v/>
      </c>
      <c r="P132" s="238"/>
      <c r="Q132" s="239"/>
      <c r="R132" s="238" t="str">
        <f>IFERROR(1-(SUMIF(Grid_BD!$B:$B,$A132,Grid_BD!$V:$V)/($AA132+SUMIF(Grid_BD!$B:$B,$A132,Grid_BD!$V:$V))),"")</f>
        <v/>
      </c>
      <c r="S132" s="234"/>
      <c r="T132" s="239"/>
      <c r="U132" s="240" t="str">
        <f t="shared" si="11"/>
        <v/>
      </c>
      <c r="V132" s="240" t="str">
        <f>IFERROR(_xlfn.XLOOKUP($A132,Input_Raw!$A:$A,Input_Raw!$BS:$BS),"")</f>
        <v/>
      </c>
      <c r="W132" s="241">
        <f t="shared" si="12"/>
        <v>0</v>
      </c>
      <c r="X132" s="233">
        <f>IFERROR(_xlfn.XLOOKUP($A132,Input_Raw!$A:$A,Input_Raw!$AW:$AW),"")</f>
        <v>0</v>
      </c>
      <c r="Y132" s="233">
        <f>IFERROR(_xlfn.XLOOKUP($A132,Input_Raw!$A:$A,Input_Raw!$BN:$BN),"")</f>
        <v>0</v>
      </c>
      <c r="Z132" s="233"/>
      <c r="AA132" s="233">
        <f>IFERROR(_xlfn.XLOOKUP($A132,Input_Raw!$A:$A,Input_Raw!$BO:$BO),"")</f>
        <v>0</v>
      </c>
      <c r="AB132" s="233">
        <f>IFERROR(_xlfn.XLOOKUP($A132,Input_Raw!$A:$A,Input_Raw!$BP:$BP),"")</f>
        <v>0</v>
      </c>
      <c r="AC132" s="242">
        <f>IFERROR(_xlfn.XLOOKUP($D132,'Modelling New'!$D:$D,'Modelling New'!P:P),"")</f>
        <v>5.58</v>
      </c>
      <c r="AD132" s="233">
        <f>IFERROR(_xlfn.XLOOKUP($D132,'Modelling New'!$D:$D,'Modelling New'!T:T)*1000,"")</f>
        <v>416394.03312492924</v>
      </c>
      <c r="AE132" s="243">
        <f>IFERROR(_xlfn.XLOOKUP($D132,'Modelling New'!$D:$D,'Modelling New'!$O:$O),"")</f>
        <v>0.84991556470989227</v>
      </c>
      <c r="AF132" s="243">
        <f>IFERROR(_xlfn.XLOOKUP($D132,'Modelling New'!$D:$D,'Modelling New'!$W:$W),"")</f>
        <v>0.19760536879504997</v>
      </c>
      <c r="AG132" s="243">
        <f>IFERROR(_xlfn.XLOOKUP($D132,'Modelling New'!$D:$D,'Modelling New'!$AE:$AE),"")</f>
        <v>0.995</v>
      </c>
      <c r="AH132" s="243">
        <f>IFERROR(_xlfn.XLOOKUP($D132,'Modelling New'!$D:$D,'Modelling New'!$AF:$AF),"")</f>
        <v>0.995</v>
      </c>
      <c r="AI132" s="234"/>
      <c r="AJ132" s="234"/>
      <c r="AK132" s="234"/>
      <c r="AL132" s="234"/>
      <c r="AM132" s="234"/>
      <c r="AN132" s="244"/>
      <c r="AO132" s="241"/>
      <c r="AP132" s="241"/>
      <c r="AQ132" s="241"/>
      <c r="AR132" s="233">
        <f>_xlfn.XLOOKUP($D132,'Modelling New'!$D:$D,'Modelling New'!$N:$N)</f>
        <v>87.8</v>
      </c>
      <c r="AS132" s="233">
        <f t="shared" si="13"/>
        <v>0</v>
      </c>
    </row>
    <row r="133" spans="1:45">
      <c r="A133" s="232">
        <f t="shared" si="14"/>
        <v>45970</v>
      </c>
      <c r="B133" s="233">
        <f>YEAR(Daily_KPI[[#This Row],[Date]])+IF(MONTH(Daily_KPI[[#This Row],[Date]])&gt;=4,1,0)</f>
        <v>2026</v>
      </c>
      <c r="C133" s="234">
        <f>YEAR(Daily_KPI[[#This Row],[Date]])</f>
        <v>2025</v>
      </c>
      <c r="D133" s="235">
        <f>Daily_KPI[[#This Row],[Date]]-DAY(Daily_KPI[[#This Row],[Date]])+1</f>
        <v>45962</v>
      </c>
      <c r="E133" s="234">
        <f t="shared" si="10"/>
        <v>30</v>
      </c>
      <c r="F133" s="236">
        <f>IFERROR(_xlfn.XLOOKUP($A133,Input_Raw!$A:$A,Input_Raw!$BM:$BM),"")</f>
        <v>0</v>
      </c>
      <c r="G133" s="237">
        <f>IFERROR(_xlfn.XLOOKUP($A133,Input_Raw!$A:$A,Input_Raw!$AN:$AN),"")</f>
        <v>0</v>
      </c>
      <c r="H133" s="237"/>
      <c r="I133" s="237">
        <f>IFERROR(_xlfn.XLOOKUP($A133,Input_Raw!$A:$A,Input_Raw!$AM:$AM),"")</f>
        <v>0</v>
      </c>
      <c r="J133" s="237"/>
      <c r="K133" s="237">
        <f>IFERROR(_xlfn.XLOOKUP($A133,Input_Raw!$A:$A,Input_Raw!AO:AO),"")</f>
        <v>0</v>
      </c>
      <c r="L133" s="237">
        <f>IFERROR(_xlfn.XLOOKUP($A133,Input_Raw!$A:$A,Input_Raw!AP:AP),"")</f>
        <v>0</v>
      </c>
      <c r="M133" s="237">
        <f>IFERROR(_xlfn.XLOOKUP($A133,Input_Raw!$A:$A,Input_Raw!AS:AS),"")</f>
        <v>0</v>
      </c>
      <c r="N133" s="237">
        <f>IFERROR(_xlfn.XLOOKUP($A133,Input_Raw!$A:$A,Input_Raw!AT:AT),"")</f>
        <v>0</v>
      </c>
      <c r="O133" s="238" t="str">
        <f>IFERROR(1-(SUMIF(Plant_BD!$B:$B,$A133,Plant_BD!$AL:$AL)/($AA133+SUMIF(Plant_BD!$B:$B,$A133,Plant_BD!$AL:$AL))),"")</f>
        <v/>
      </c>
      <c r="P133" s="238"/>
      <c r="Q133" s="239"/>
      <c r="R133" s="238" t="str">
        <f>IFERROR(1-(SUMIF(Grid_BD!$B:$B,$A133,Grid_BD!$V:$V)/($AA133+SUMIF(Grid_BD!$B:$B,$A133,Grid_BD!$V:$V))),"")</f>
        <v/>
      </c>
      <c r="S133" s="234"/>
      <c r="T133" s="239"/>
      <c r="U133" s="240" t="str">
        <f t="shared" si="11"/>
        <v/>
      </c>
      <c r="V133" s="240" t="str">
        <f>IFERROR(_xlfn.XLOOKUP($A133,Input_Raw!$A:$A,Input_Raw!$BS:$BS),"")</f>
        <v/>
      </c>
      <c r="W133" s="241">
        <f t="shared" si="12"/>
        <v>0</v>
      </c>
      <c r="X133" s="233">
        <f>IFERROR(_xlfn.XLOOKUP($A133,Input_Raw!$A:$A,Input_Raw!$AW:$AW),"")</f>
        <v>0</v>
      </c>
      <c r="Y133" s="233">
        <f>IFERROR(_xlfn.XLOOKUP($A133,Input_Raw!$A:$A,Input_Raw!$BN:$BN),"")</f>
        <v>0</v>
      </c>
      <c r="Z133" s="233"/>
      <c r="AA133" s="233">
        <f>IFERROR(_xlfn.XLOOKUP($A133,Input_Raw!$A:$A,Input_Raw!$BO:$BO),"")</f>
        <v>0</v>
      </c>
      <c r="AB133" s="233">
        <f>IFERROR(_xlfn.XLOOKUP($A133,Input_Raw!$A:$A,Input_Raw!$BP:$BP),"")</f>
        <v>0</v>
      </c>
      <c r="AC133" s="242">
        <f>IFERROR(_xlfn.XLOOKUP($D133,'Modelling New'!$D:$D,'Modelling New'!P:P),"")</f>
        <v>5.58</v>
      </c>
      <c r="AD133" s="233">
        <f>IFERROR(_xlfn.XLOOKUP($D133,'Modelling New'!$D:$D,'Modelling New'!T:T)*1000,"")</f>
        <v>416394.03312492924</v>
      </c>
      <c r="AE133" s="243">
        <f>IFERROR(_xlfn.XLOOKUP($D133,'Modelling New'!$D:$D,'Modelling New'!$O:$O),"")</f>
        <v>0.84991556470989227</v>
      </c>
      <c r="AF133" s="243">
        <f>IFERROR(_xlfn.XLOOKUP($D133,'Modelling New'!$D:$D,'Modelling New'!$W:$W),"")</f>
        <v>0.19760536879504997</v>
      </c>
      <c r="AG133" s="243">
        <f>IFERROR(_xlfn.XLOOKUP($D133,'Modelling New'!$D:$D,'Modelling New'!$AE:$AE),"")</f>
        <v>0.995</v>
      </c>
      <c r="AH133" s="243">
        <f>IFERROR(_xlfn.XLOOKUP($D133,'Modelling New'!$D:$D,'Modelling New'!$AF:$AF),"")</f>
        <v>0.995</v>
      </c>
      <c r="AI133" s="234"/>
      <c r="AJ133" s="234"/>
      <c r="AK133" s="234"/>
      <c r="AL133" s="234"/>
      <c r="AM133" s="234"/>
      <c r="AN133" s="244"/>
      <c r="AO133" s="241"/>
      <c r="AP133" s="241"/>
      <c r="AQ133" s="241"/>
      <c r="AR133" s="233">
        <f>_xlfn.XLOOKUP($D133,'Modelling New'!$D:$D,'Modelling New'!$N:$N)</f>
        <v>87.8</v>
      </c>
      <c r="AS133" s="233">
        <f t="shared" si="13"/>
        <v>0</v>
      </c>
    </row>
    <row r="134" spans="1:45">
      <c r="A134" s="232">
        <f t="shared" si="14"/>
        <v>45971</v>
      </c>
      <c r="B134" s="233">
        <f>YEAR(Daily_KPI[[#This Row],[Date]])+IF(MONTH(Daily_KPI[[#This Row],[Date]])&gt;=4,1,0)</f>
        <v>2026</v>
      </c>
      <c r="C134" s="234">
        <f>YEAR(Daily_KPI[[#This Row],[Date]])</f>
        <v>2025</v>
      </c>
      <c r="D134" s="235">
        <f>Daily_KPI[[#This Row],[Date]]-DAY(Daily_KPI[[#This Row],[Date]])+1</f>
        <v>45962</v>
      </c>
      <c r="E134" s="234">
        <f t="shared" si="10"/>
        <v>30</v>
      </c>
      <c r="F134" s="236">
        <f>IFERROR(_xlfn.XLOOKUP($A134,Input_Raw!$A:$A,Input_Raw!$BM:$BM),"")</f>
        <v>0</v>
      </c>
      <c r="G134" s="237">
        <f>IFERROR(_xlfn.XLOOKUP($A134,Input_Raw!$A:$A,Input_Raw!$AN:$AN),"")</f>
        <v>0</v>
      </c>
      <c r="H134" s="237"/>
      <c r="I134" s="237">
        <f>IFERROR(_xlfn.XLOOKUP($A134,Input_Raw!$A:$A,Input_Raw!$AM:$AM),"")</f>
        <v>0</v>
      </c>
      <c r="J134" s="237"/>
      <c r="K134" s="237">
        <f>IFERROR(_xlfn.XLOOKUP($A134,Input_Raw!$A:$A,Input_Raw!AO:AO),"")</f>
        <v>0</v>
      </c>
      <c r="L134" s="237">
        <f>IFERROR(_xlfn.XLOOKUP($A134,Input_Raw!$A:$A,Input_Raw!AP:AP),"")</f>
        <v>0</v>
      </c>
      <c r="M134" s="237">
        <f>IFERROR(_xlfn.XLOOKUP($A134,Input_Raw!$A:$A,Input_Raw!AS:AS),"")</f>
        <v>0</v>
      </c>
      <c r="N134" s="237">
        <f>IFERROR(_xlfn.XLOOKUP($A134,Input_Raw!$A:$A,Input_Raw!AT:AT),"")</f>
        <v>0</v>
      </c>
      <c r="O134" s="238" t="str">
        <f>IFERROR(1-(SUMIF(Plant_BD!$B:$B,$A134,Plant_BD!$AL:$AL)/($AA134+SUMIF(Plant_BD!$B:$B,$A134,Plant_BD!$AL:$AL))),"")</f>
        <v/>
      </c>
      <c r="P134" s="238"/>
      <c r="Q134" s="239"/>
      <c r="R134" s="238" t="str">
        <f>IFERROR(1-(SUMIF(Grid_BD!$B:$B,$A134,Grid_BD!$V:$V)/($AA134+SUMIF(Grid_BD!$B:$B,$A134,Grid_BD!$V:$V))),"")</f>
        <v/>
      </c>
      <c r="S134" s="234"/>
      <c r="T134" s="239"/>
      <c r="U134" s="240" t="str">
        <f t="shared" si="11"/>
        <v/>
      </c>
      <c r="V134" s="240" t="str">
        <f>IFERROR(_xlfn.XLOOKUP($A134,Input_Raw!$A:$A,Input_Raw!$BS:$BS),"")</f>
        <v/>
      </c>
      <c r="W134" s="241">
        <f t="shared" si="12"/>
        <v>0</v>
      </c>
      <c r="X134" s="233">
        <f>IFERROR(_xlfn.XLOOKUP($A134,Input_Raw!$A:$A,Input_Raw!$AW:$AW),"")</f>
        <v>0</v>
      </c>
      <c r="Y134" s="233">
        <f>IFERROR(_xlfn.XLOOKUP($A134,Input_Raw!$A:$A,Input_Raw!$BN:$BN),"")</f>
        <v>0</v>
      </c>
      <c r="Z134" s="233"/>
      <c r="AA134" s="233">
        <f>IFERROR(_xlfn.XLOOKUP($A134,Input_Raw!$A:$A,Input_Raw!$BO:$BO),"")</f>
        <v>0</v>
      </c>
      <c r="AB134" s="233">
        <f>IFERROR(_xlfn.XLOOKUP($A134,Input_Raw!$A:$A,Input_Raw!$BP:$BP),"")</f>
        <v>0</v>
      </c>
      <c r="AC134" s="242">
        <f>IFERROR(_xlfn.XLOOKUP($D134,'Modelling New'!$D:$D,'Modelling New'!P:P),"")</f>
        <v>5.58</v>
      </c>
      <c r="AD134" s="233">
        <f>IFERROR(_xlfn.XLOOKUP($D134,'Modelling New'!$D:$D,'Modelling New'!T:T)*1000,"")</f>
        <v>416394.03312492924</v>
      </c>
      <c r="AE134" s="243">
        <f>IFERROR(_xlfn.XLOOKUP($D134,'Modelling New'!$D:$D,'Modelling New'!$O:$O),"")</f>
        <v>0.84991556470989227</v>
      </c>
      <c r="AF134" s="243">
        <f>IFERROR(_xlfn.XLOOKUP($D134,'Modelling New'!$D:$D,'Modelling New'!$W:$W),"")</f>
        <v>0.19760536879504997</v>
      </c>
      <c r="AG134" s="243">
        <f>IFERROR(_xlfn.XLOOKUP($D134,'Modelling New'!$D:$D,'Modelling New'!$AE:$AE),"")</f>
        <v>0.995</v>
      </c>
      <c r="AH134" s="243">
        <f>IFERROR(_xlfn.XLOOKUP($D134,'Modelling New'!$D:$D,'Modelling New'!$AF:$AF),"")</f>
        <v>0.995</v>
      </c>
      <c r="AI134" s="234"/>
      <c r="AJ134" s="234"/>
      <c r="AK134" s="234"/>
      <c r="AL134" s="234"/>
      <c r="AM134" s="234"/>
      <c r="AN134" s="244"/>
      <c r="AO134" s="241"/>
      <c r="AP134" s="241"/>
      <c r="AQ134" s="241"/>
      <c r="AR134" s="233">
        <f>_xlfn.XLOOKUP($D134,'Modelling New'!$D:$D,'Modelling New'!$N:$N)</f>
        <v>87.8</v>
      </c>
      <c r="AS134" s="233">
        <f t="shared" si="13"/>
        <v>0</v>
      </c>
    </row>
    <row r="135" spans="1:45">
      <c r="A135" s="232">
        <f t="shared" si="14"/>
        <v>45972</v>
      </c>
      <c r="B135" s="233">
        <f>YEAR(Daily_KPI[[#This Row],[Date]])+IF(MONTH(Daily_KPI[[#This Row],[Date]])&gt;=4,1,0)</f>
        <v>2026</v>
      </c>
      <c r="C135" s="234">
        <f>YEAR(Daily_KPI[[#This Row],[Date]])</f>
        <v>2025</v>
      </c>
      <c r="D135" s="235">
        <f>Daily_KPI[[#This Row],[Date]]-DAY(Daily_KPI[[#This Row],[Date]])+1</f>
        <v>45962</v>
      </c>
      <c r="E135" s="234">
        <f t="shared" si="10"/>
        <v>30</v>
      </c>
      <c r="F135" s="236">
        <f>IFERROR(_xlfn.XLOOKUP($A135,Input_Raw!$A:$A,Input_Raw!$BM:$BM),"")</f>
        <v>0</v>
      </c>
      <c r="G135" s="237">
        <f>IFERROR(_xlfn.XLOOKUP($A135,Input_Raw!$A:$A,Input_Raw!$AN:$AN),"")</f>
        <v>0</v>
      </c>
      <c r="H135" s="237"/>
      <c r="I135" s="237">
        <f>IFERROR(_xlfn.XLOOKUP($A135,Input_Raw!$A:$A,Input_Raw!$AM:$AM),"")</f>
        <v>0</v>
      </c>
      <c r="J135" s="237"/>
      <c r="K135" s="237">
        <f>IFERROR(_xlfn.XLOOKUP($A135,Input_Raw!$A:$A,Input_Raw!AO:AO),"")</f>
        <v>0</v>
      </c>
      <c r="L135" s="237">
        <f>IFERROR(_xlfn.XLOOKUP($A135,Input_Raw!$A:$A,Input_Raw!AP:AP),"")</f>
        <v>0</v>
      </c>
      <c r="M135" s="237">
        <f>IFERROR(_xlfn.XLOOKUP($A135,Input_Raw!$A:$A,Input_Raw!AS:AS),"")</f>
        <v>0</v>
      </c>
      <c r="N135" s="237">
        <f>IFERROR(_xlfn.XLOOKUP($A135,Input_Raw!$A:$A,Input_Raw!AT:AT),"")</f>
        <v>0</v>
      </c>
      <c r="O135" s="238" t="str">
        <f>IFERROR(1-(SUMIF(Plant_BD!$B:$B,$A135,Plant_BD!$AL:$AL)/($AA135+SUMIF(Plant_BD!$B:$B,$A135,Plant_BD!$AL:$AL))),"")</f>
        <v/>
      </c>
      <c r="P135" s="238"/>
      <c r="Q135" s="239"/>
      <c r="R135" s="238" t="str">
        <f>IFERROR(1-(SUMIF(Grid_BD!$B:$B,$A135,Grid_BD!$V:$V)/($AA135+SUMIF(Grid_BD!$B:$B,$A135,Grid_BD!$V:$V))),"")</f>
        <v/>
      </c>
      <c r="S135" s="234"/>
      <c r="T135" s="239"/>
      <c r="U135" s="240" t="str">
        <f t="shared" si="11"/>
        <v/>
      </c>
      <c r="V135" s="240" t="str">
        <f>IFERROR(_xlfn.XLOOKUP($A135,Input_Raw!$A:$A,Input_Raw!$BS:$BS),"")</f>
        <v/>
      </c>
      <c r="W135" s="241">
        <f t="shared" si="12"/>
        <v>0</v>
      </c>
      <c r="X135" s="233">
        <f>IFERROR(_xlfn.XLOOKUP($A135,Input_Raw!$A:$A,Input_Raw!$AW:$AW),"")</f>
        <v>0</v>
      </c>
      <c r="Y135" s="233">
        <f>IFERROR(_xlfn.XLOOKUP($A135,Input_Raw!$A:$A,Input_Raw!$BN:$BN),"")</f>
        <v>0</v>
      </c>
      <c r="Z135" s="233"/>
      <c r="AA135" s="233">
        <f>IFERROR(_xlfn.XLOOKUP($A135,Input_Raw!$A:$A,Input_Raw!$BO:$BO),"")</f>
        <v>0</v>
      </c>
      <c r="AB135" s="233">
        <f>IFERROR(_xlfn.XLOOKUP($A135,Input_Raw!$A:$A,Input_Raw!$BP:$BP),"")</f>
        <v>0</v>
      </c>
      <c r="AC135" s="242">
        <f>IFERROR(_xlfn.XLOOKUP($D135,'Modelling New'!$D:$D,'Modelling New'!P:P),"")</f>
        <v>5.58</v>
      </c>
      <c r="AD135" s="233">
        <f>IFERROR(_xlfn.XLOOKUP($D135,'Modelling New'!$D:$D,'Modelling New'!T:T)*1000,"")</f>
        <v>416394.03312492924</v>
      </c>
      <c r="AE135" s="243">
        <f>IFERROR(_xlfn.XLOOKUP($D135,'Modelling New'!$D:$D,'Modelling New'!$O:$O),"")</f>
        <v>0.84991556470989227</v>
      </c>
      <c r="AF135" s="243">
        <f>IFERROR(_xlfn.XLOOKUP($D135,'Modelling New'!$D:$D,'Modelling New'!$W:$W),"")</f>
        <v>0.19760536879504997</v>
      </c>
      <c r="AG135" s="243">
        <f>IFERROR(_xlfn.XLOOKUP($D135,'Modelling New'!$D:$D,'Modelling New'!$AE:$AE),"")</f>
        <v>0.995</v>
      </c>
      <c r="AH135" s="243">
        <f>IFERROR(_xlfn.XLOOKUP($D135,'Modelling New'!$D:$D,'Modelling New'!$AF:$AF),"")</f>
        <v>0.995</v>
      </c>
      <c r="AI135" s="234"/>
      <c r="AJ135" s="234"/>
      <c r="AK135" s="234"/>
      <c r="AL135" s="234"/>
      <c r="AM135" s="234"/>
      <c r="AN135" s="244"/>
      <c r="AO135" s="241"/>
      <c r="AP135" s="241"/>
      <c r="AQ135" s="241"/>
      <c r="AR135" s="233">
        <f>_xlfn.XLOOKUP($D135,'Modelling New'!$D:$D,'Modelling New'!$N:$N)</f>
        <v>87.8</v>
      </c>
      <c r="AS135" s="233">
        <f t="shared" si="13"/>
        <v>0</v>
      </c>
    </row>
    <row r="136" spans="1:45">
      <c r="A136" s="232">
        <f t="shared" si="14"/>
        <v>45973</v>
      </c>
      <c r="B136" s="233">
        <f>YEAR(Daily_KPI[[#This Row],[Date]])+IF(MONTH(Daily_KPI[[#This Row],[Date]])&gt;=4,1,0)</f>
        <v>2026</v>
      </c>
      <c r="C136" s="234">
        <f>YEAR(Daily_KPI[[#This Row],[Date]])</f>
        <v>2025</v>
      </c>
      <c r="D136" s="235">
        <f>Daily_KPI[[#This Row],[Date]]-DAY(Daily_KPI[[#This Row],[Date]])+1</f>
        <v>45962</v>
      </c>
      <c r="E136" s="234">
        <f t="shared" si="10"/>
        <v>30</v>
      </c>
      <c r="F136" s="236">
        <f>IFERROR(_xlfn.XLOOKUP($A136,Input_Raw!$A:$A,Input_Raw!$BM:$BM),"")</f>
        <v>0</v>
      </c>
      <c r="G136" s="237">
        <f>IFERROR(_xlfn.XLOOKUP($A136,Input_Raw!$A:$A,Input_Raw!$AN:$AN),"")</f>
        <v>0</v>
      </c>
      <c r="H136" s="237"/>
      <c r="I136" s="237">
        <f>IFERROR(_xlfn.XLOOKUP($A136,Input_Raw!$A:$A,Input_Raw!$AM:$AM),"")</f>
        <v>0</v>
      </c>
      <c r="J136" s="237"/>
      <c r="K136" s="237">
        <f>IFERROR(_xlfn.XLOOKUP($A136,Input_Raw!$A:$A,Input_Raw!AO:AO),"")</f>
        <v>0</v>
      </c>
      <c r="L136" s="237">
        <f>IFERROR(_xlfn.XLOOKUP($A136,Input_Raw!$A:$A,Input_Raw!AP:AP),"")</f>
        <v>0</v>
      </c>
      <c r="M136" s="237">
        <f>IFERROR(_xlfn.XLOOKUP($A136,Input_Raw!$A:$A,Input_Raw!AS:AS),"")</f>
        <v>0</v>
      </c>
      <c r="N136" s="237">
        <f>IFERROR(_xlfn.XLOOKUP($A136,Input_Raw!$A:$A,Input_Raw!AT:AT),"")</f>
        <v>0</v>
      </c>
      <c r="O136" s="238" t="str">
        <f>IFERROR(1-(SUMIF(Plant_BD!$B:$B,$A136,Plant_BD!$AL:$AL)/($AA136+SUMIF(Plant_BD!$B:$B,$A136,Plant_BD!$AL:$AL))),"")</f>
        <v/>
      </c>
      <c r="P136" s="238"/>
      <c r="Q136" s="239"/>
      <c r="R136" s="238" t="str">
        <f>IFERROR(1-(SUMIF(Grid_BD!$B:$B,$A136,Grid_BD!$V:$V)/($AA136+SUMIF(Grid_BD!$B:$B,$A136,Grid_BD!$V:$V))),"")</f>
        <v/>
      </c>
      <c r="S136" s="234"/>
      <c r="T136" s="239"/>
      <c r="U136" s="240" t="str">
        <f t="shared" si="11"/>
        <v/>
      </c>
      <c r="V136" s="240" t="str">
        <f>IFERROR(_xlfn.XLOOKUP($A136,Input_Raw!$A:$A,Input_Raw!$BS:$BS),"")</f>
        <v/>
      </c>
      <c r="W136" s="241">
        <f t="shared" si="12"/>
        <v>0</v>
      </c>
      <c r="X136" s="233">
        <f>IFERROR(_xlfn.XLOOKUP($A136,Input_Raw!$A:$A,Input_Raw!$AW:$AW),"")</f>
        <v>0</v>
      </c>
      <c r="Y136" s="233">
        <f>IFERROR(_xlfn.XLOOKUP($A136,Input_Raw!$A:$A,Input_Raw!$BN:$BN),"")</f>
        <v>0</v>
      </c>
      <c r="Z136" s="233"/>
      <c r="AA136" s="233">
        <f>IFERROR(_xlfn.XLOOKUP($A136,Input_Raw!$A:$A,Input_Raw!$BO:$BO),"")</f>
        <v>0</v>
      </c>
      <c r="AB136" s="233">
        <f>IFERROR(_xlfn.XLOOKUP($A136,Input_Raw!$A:$A,Input_Raw!$BP:$BP),"")</f>
        <v>0</v>
      </c>
      <c r="AC136" s="242">
        <f>IFERROR(_xlfn.XLOOKUP($D136,'Modelling New'!$D:$D,'Modelling New'!P:P),"")</f>
        <v>5.58</v>
      </c>
      <c r="AD136" s="233">
        <f>IFERROR(_xlfn.XLOOKUP($D136,'Modelling New'!$D:$D,'Modelling New'!T:T)*1000,"")</f>
        <v>416394.03312492924</v>
      </c>
      <c r="AE136" s="243">
        <f>IFERROR(_xlfn.XLOOKUP($D136,'Modelling New'!$D:$D,'Modelling New'!$O:$O),"")</f>
        <v>0.84991556470989227</v>
      </c>
      <c r="AF136" s="243">
        <f>IFERROR(_xlfn.XLOOKUP($D136,'Modelling New'!$D:$D,'Modelling New'!$W:$W),"")</f>
        <v>0.19760536879504997</v>
      </c>
      <c r="AG136" s="243">
        <f>IFERROR(_xlfn.XLOOKUP($D136,'Modelling New'!$D:$D,'Modelling New'!$AE:$AE),"")</f>
        <v>0.995</v>
      </c>
      <c r="AH136" s="243">
        <f>IFERROR(_xlfn.XLOOKUP($D136,'Modelling New'!$D:$D,'Modelling New'!$AF:$AF),"")</f>
        <v>0.995</v>
      </c>
      <c r="AI136" s="234"/>
      <c r="AJ136" s="234"/>
      <c r="AK136" s="234"/>
      <c r="AL136" s="234"/>
      <c r="AM136" s="234"/>
      <c r="AN136" s="244"/>
      <c r="AO136" s="241"/>
      <c r="AP136" s="241"/>
      <c r="AQ136" s="241"/>
      <c r="AR136" s="233">
        <f>_xlfn.XLOOKUP($D136,'Modelling New'!$D:$D,'Modelling New'!$N:$N)</f>
        <v>87.8</v>
      </c>
      <c r="AS136" s="233">
        <f t="shared" si="13"/>
        <v>0</v>
      </c>
    </row>
    <row r="137" spans="1:45">
      <c r="A137" s="232">
        <f t="shared" si="14"/>
        <v>45974</v>
      </c>
      <c r="B137" s="233">
        <f>YEAR(Daily_KPI[[#This Row],[Date]])+IF(MONTH(Daily_KPI[[#This Row],[Date]])&gt;=4,1,0)</f>
        <v>2026</v>
      </c>
      <c r="C137" s="234">
        <f>YEAR(Daily_KPI[[#This Row],[Date]])</f>
        <v>2025</v>
      </c>
      <c r="D137" s="235">
        <f>Daily_KPI[[#This Row],[Date]]-DAY(Daily_KPI[[#This Row],[Date]])+1</f>
        <v>45962</v>
      </c>
      <c r="E137" s="234">
        <f t="shared" si="10"/>
        <v>30</v>
      </c>
      <c r="F137" s="236">
        <f>IFERROR(_xlfn.XLOOKUP($A137,Input_Raw!$A:$A,Input_Raw!$BM:$BM),"")</f>
        <v>0</v>
      </c>
      <c r="G137" s="237">
        <f>IFERROR(_xlfn.XLOOKUP($A137,Input_Raw!$A:$A,Input_Raw!$AN:$AN),"")</f>
        <v>0</v>
      </c>
      <c r="H137" s="237"/>
      <c r="I137" s="237">
        <f>IFERROR(_xlfn.XLOOKUP($A137,Input_Raw!$A:$A,Input_Raw!$AM:$AM),"")</f>
        <v>0</v>
      </c>
      <c r="J137" s="237"/>
      <c r="K137" s="237">
        <f>IFERROR(_xlfn.XLOOKUP($A137,Input_Raw!$A:$A,Input_Raw!AO:AO),"")</f>
        <v>0</v>
      </c>
      <c r="L137" s="237">
        <f>IFERROR(_xlfn.XLOOKUP($A137,Input_Raw!$A:$A,Input_Raw!AP:AP),"")</f>
        <v>0</v>
      </c>
      <c r="M137" s="237">
        <f>IFERROR(_xlfn.XLOOKUP($A137,Input_Raw!$A:$A,Input_Raw!AS:AS),"")</f>
        <v>0</v>
      </c>
      <c r="N137" s="237">
        <f>IFERROR(_xlfn.XLOOKUP($A137,Input_Raw!$A:$A,Input_Raw!AT:AT),"")</f>
        <v>0</v>
      </c>
      <c r="O137" s="238" t="str">
        <f>IFERROR(1-(SUMIF(Plant_BD!$B:$B,$A137,Plant_BD!$AL:$AL)/($AA137+SUMIF(Plant_BD!$B:$B,$A137,Plant_BD!$AL:$AL))),"")</f>
        <v/>
      </c>
      <c r="P137" s="238"/>
      <c r="Q137" s="239"/>
      <c r="R137" s="238" t="str">
        <f>IFERROR(1-(SUMIF(Grid_BD!$B:$B,$A137,Grid_BD!$V:$V)/($AA137+SUMIF(Grid_BD!$B:$B,$A137,Grid_BD!$V:$V))),"")</f>
        <v/>
      </c>
      <c r="S137" s="234"/>
      <c r="T137" s="239"/>
      <c r="U137" s="240" t="str">
        <f t="shared" si="11"/>
        <v/>
      </c>
      <c r="V137" s="240" t="str">
        <f>IFERROR(_xlfn.XLOOKUP($A137,Input_Raw!$A:$A,Input_Raw!$BS:$BS),"")</f>
        <v/>
      </c>
      <c r="W137" s="241">
        <f t="shared" si="12"/>
        <v>0</v>
      </c>
      <c r="X137" s="233">
        <f>IFERROR(_xlfn.XLOOKUP($A137,Input_Raw!$A:$A,Input_Raw!$AW:$AW),"")</f>
        <v>0</v>
      </c>
      <c r="Y137" s="233">
        <f>IFERROR(_xlfn.XLOOKUP($A137,Input_Raw!$A:$A,Input_Raw!$BN:$BN),"")</f>
        <v>0</v>
      </c>
      <c r="Z137" s="233"/>
      <c r="AA137" s="233">
        <f>IFERROR(_xlfn.XLOOKUP($A137,Input_Raw!$A:$A,Input_Raw!$BO:$BO),"")</f>
        <v>0</v>
      </c>
      <c r="AB137" s="233">
        <f>IFERROR(_xlfn.XLOOKUP($A137,Input_Raw!$A:$A,Input_Raw!$BP:$BP),"")</f>
        <v>0</v>
      </c>
      <c r="AC137" s="242">
        <f>IFERROR(_xlfn.XLOOKUP($D137,'Modelling New'!$D:$D,'Modelling New'!P:P),"")</f>
        <v>5.58</v>
      </c>
      <c r="AD137" s="233">
        <f>IFERROR(_xlfn.XLOOKUP($D137,'Modelling New'!$D:$D,'Modelling New'!T:T)*1000,"")</f>
        <v>416394.03312492924</v>
      </c>
      <c r="AE137" s="243">
        <f>IFERROR(_xlfn.XLOOKUP($D137,'Modelling New'!$D:$D,'Modelling New'!$O:$O),"")</f>
        <v>0.84991556470989227</v>
      </c>
      <c r="AF137" s="243">
        <f>IFERROR(_xlfn.XLOOKUP($D137,'Modelling New'!$D:$D,'Modelling New'!$W:$W),"")</f>
        <v>0.19760536879504997</v>
      </c>
      <c r="AG137" s="243">
        <f>IFERROR(_xlfn.XLOOKUP($D137,'Modelling New'!$D:$D,'Modelling New'!$AE:$AE),"")</f>
        <v>0.995</v>
      </c>
      <c r="AH137" s="243">
        <f>IFERROR(_xlfn.XLOOKUP($D137,'Modelling New'!$D:$D,'Modelling New'!$AF:$AF),"")</f>
        <v>0.995</v>
      </c>
      <c r="AI137" s="234"/>
      <c r="AJ137" s="234"/>
      <c r="AK137" s="234"/>
      <c r="AL137" s="234"/>
      <c r="AM137" s="234"/>
      <c r="AN137" s="244"/>
      <c r="AO137" s="241"/>
      <c r="AP137" s="241"/>
      <c r="AQ137" s="241"/>
      <c r="AR137" s="233">
        <f>_xlfn.XLOOKUP($D137,'Modelling New'!$D:$D,'Modelling New'!$N:$N)</f>
        <v>87.8</v>
      </c>
      <c r="AS137" s="233">
        <f t="shared" si="13"/>
        <v>0</v>
      </c>
    </row>
    <row r="138" spans="1:45">
      <c r="A138" s="232">
        <f t="shared" si="14"/>
        <v>45975</v>
      </c>
      <c r="B138" s="233">
        <f>YEAR(Daily_KPI[[#This Row],[Date]])+IF(MONTH(Daily_KPI[[#This Row],[Date]])&gt;=4,1,0)</f>
        <v>2026</v>
      </c>
      <c r="C138" s="234">
        <f>YEAR(Daily_KPI[[#This Row],[Date]])</f>
        <v>2025</v>
      </c>
      <c r="D138" s="235">
        <f>Daily_KPI[[#This Row],[Date]]-DAY(Daily_KPI[[#This Row],[Date]])+1</f>
        <v>45962</v>
      </c>
      <c r="E138" s="234">
        <f t="shared" ref="E138:E201" si="15">DAY(EOMONTH(A138,0))</f>
        <v>30</v>
      </c>
      <c r="F138" s="236">
        <f>IFERROR(_xlfn.XLOOKUP($A138,Input_Raw!$A:$A,Input_Raw!$BM:$BM),"")</f>
        <v>0</v>
      </c>
      <c r="G138" s="237">
        <f>IFERROR(_xlfn.XLOOKUP($A138,Input_Raw!$A:$A,Input_Raw!$AN:$AN),"")</f>
        <v>0</v>
      </c>
      <c r="H138" s="237"/>
      <c r="I138" s="237">
        <f>IFERROR(_xlfn.XLOOKUP($A138,Input_Raw!$A:$A,Input_Raw!$AM:$AM),"")</f>
        <v>0</v>
      </c>
      <c r="J138" s="237"/>
      <c r="K138" s="237">
        <f>IFERROR(_xlfn.XLOOKUP($A138,Input_Raw!$A:$A,Input_Raw!AO:AO),"")</f>
        <v>0</v>
      </c>
      <c r="L138" s="237">
        <f>IFERROR(_xlfn.XLOOKUP($A138,Input_Raw!$A:$A,Input_Raw!AP:AP),"")</f>
        <v>0</v>
      </c>
      <c r="M138" s="237">
        <f>IFERROR(_xlfn.XLOOKUP($A138,Input_Raw!$A:$A,Input_Raw!AS:AS),"")</f>
        <v>0</v>
      </c>
      <c r="N138" s="237">
        <f>IFERROR(_xlfn.XLOOKUP($A138,Input_Raw!$A:$A,Input_Raw!AT:AT),"")</f>
        <v>0</v>
      </c>
      <c r="O138" s="238" t="str">
        <f>IFERROR(1-(SUMIF(Plant_BD!$B:$B,$A138,Plant_BD!$AL:$AL)/($AA138+SUMIF(Plant_BD!$B:$B,$A138,Plant_BD!$AL:$AL))),"")</f>
        <v/>
      </c>
      <c r="P138" s="238"/>
      <c r="Q138" s="239"/>
      <c r="R138" s="238" t="str">
        <f>IFERROR(1-(SUMIF(Grid_BD!$B:$B,$A138,Grid_BD!$V:$V)/($AA138+SUMIF(Grid_BD!$B:$B,$A138,Grid_BD!$V:$V))),"")</f>
        <v/>
      </c>
      <c r="S138" s="234"/>
      <c r="T138" s="239"/>
      <c r="U138" s="240" t="str">
        <f t="shared" ref="U138:U201" si="16">IFERROR(AA138/I138/AB138/1000,"")</f>
        <v/>
      </c>
      <c r="V138" s="240" t="str">
        <f>IFERROR(_xlfn.XLOOKUP($A138,Input_Raw!$A:$A,Input_Raw!$BS:$BS),"")</f>
        <v/>
      </c>
      <c r="W138" s="241">
        <f t="shared" ref="W138:W201" si="17">IFERROR(AA138/(24*AR138*1000),"")</f>
        <v>0</v>
      </c>
      <c r="X138" s="233">
        <f>IFERROR(_xlfn.XLOOKUP($A138,Input_Raw!$A:$A,Input_Raw!$AW:$AW),"")</f>
        <v>0</v>
      </c>
      <c r="Y138" s="233">
        <f>IFERROR(_xlfn.XLOOKUP($A138,Input_Raw!$A:$A,Input_Raw!$BN:$BN),"")</f>
        <v>0</v>
      </c>
      <c r="Z138" s="233"/>
      <c r="AA138" s="233">
        <f>IFERROR(_xlfn.XLOOKUP($A138,Input_Raw!$A:$A,Input_Raw!$BO:$BO),"")</f>
        <v>0</v>
      </c>
      <c r="AB138" s="233">
        <f>IFERROR(_xlfn.XLOOKUP($A138,Input_Raw!$A:$A,Input_Raw!$BP:$BP),"")</f>
        <v>0</v>
      </c>
      <c r="AC138" s="242">
        <f>IFERROR(_xlfn.XLOOKUP($D138,'Modelling New'!$D:$D,'Modelling New'!P:P),"")</f>
        <v>5.58</v>
      </c>
      <c r="AD138" s="233">
        <f>IFERROR(_xlfn.XLOOKUP($D138,'Modelling New'!$D:$D,'Modelling New'!T:T)*1000,"")</f>
        <v>416394.03312492924</v>
      </c>
      <c r="AE138" s="243">
        <f>IFERROR(_xlfn.XLOOKUP($D138,'Modelling New'!$D:$D,'Modelling New'!$O:$O),"")</f>
        <v>0.84991556470989227</v>
      </c>
      <c r="AF138" s="243">
        <f>IFERROR(_xlfn.XLOOKUP($D138,'Modelling New'!$D:$D,'Modelling New'!$W:$W),"")</f>
        <v>0.19760536879504997</v>
      </c>
      <c r="AG138" s="243">
        <f>IFERROR(_xlfn.XLOOKUP($D138,'Modelling New'!$D:$D,'Modelling New'!$AE:$AE),"")</f>
        <v>0.995</v>
      </c>
      <c r="AH138" s="243">
        <f>IFERROR(_xlfn.XLOOKUP($D138,'Modelling New'!$D:$D,'Modelling New'!$AF:$AF),"")</f>
        <v>0.995</v>
      </c>
      <c r="AI138" s="234"/>
      <c r="AJ138" s="234"/>
      <c r="AK138" s="234"/>
      <c r="AL138" s="234"/>
      <c r="AM138" s="234"/>
      <c r="AN138" s="244"/>
      <c r="AO138" s="241"/>
      <c r="AP138" s="241"/>
      <c r="AQ138" s="241"/>
      <c r="AR138" s="233">
        <f>_xlfn.XLOOKUP($D138,'Modelling New'!$D:$D,'Modelling New'!$N:$N)</f>
        <v>87.8</v>
      </c>
      <c r="AS138" s="233">
        <f t="shared" ref="AS138:AS201" si="18">IFERROR((AD138/AR138)*AB138,"")</f>
        <v>0</v>
      </c>
    </row>
    <row r="139" spans="1:45">
      <c r="A139" s="232">
        <f t="shared" si="14"/>
        <v>45976</v>
      </c>
      <c r="B139" s="233">
        <f>YEAR(Daily_KPI[[#This Row],[Date]])+IF(MONTH(Daily_KPI[[#This Row],[Date]])&gt;=4,1,0)</f>
        <v>2026</v>
      </c>
      <c r="C139" s="234">
        <f>YEAR(Daily_KPI[[#This Row],[Date]])</f>
        <v>2025</v>
      </c>
      <c r="D139" s="235">
        <f>Daily_KPI[[#This Row],[Date]]-DAY(Daily_KPI[[#This Row],[Date]])+1</f>
        <v>45962</v>
      </c>
      <c r="E139" s="234">
        <f t="shared" si="15"/>
        <v>30</v>
      </c>
      <c r="F139" s="236">
        <f>IFERROR(_xlfn.XLOOKUP($A139,Input_Raw!$A:$A,Input_Raw!$BM:$BM),"")</f>
        <v>0</v>
      </c>
      <c r="G139" s="237">
        <f>IFERROR(_xlfn.XLOOKUP($A139,Input_Raw!$A:$A,Input_Raw!$AN:$AN),"")</f>
        <v>0</v>
      </c>
      <c r="H139" s="237"/>
      <c r="I139" s="237">
        <f>IFERROR(_xlfn.XLOOKUP($A139,Input_Raw!$A:$A,Input_Raw!$AM:$AM),"")</f>
        <v>0</v>
      </c>
      <c r="J139" s="237"/>
      <c r="K139" s="237">
        <f>IFERROR(_xlfn.XLOOKUP($A139,Input_Raw!$A:$A,Input_Raw!AO:AO),"")</f>
        <v>0</v>
      </c>
      <c r="L139" s="237">
        <f>IFERROR(_xlfn.XLOOKUP($A139,Input_Raw!$A:$A,Input_Raw!AP:AP),"")</f>
        <v>0</v>
      </c>
      <c r="M139" s="237">
        <f>IFERROR(_xlfn.XLOOKUP($A139,Input_Raw!$A:$A,Input_Raw!AS:AS),"")</f>
        <v>0</v>
      </c>
      <c r="N139" s="237">
        <f>IFERROR(_xlfn.XLOOKUP($A139,Input_Raw!$A:$A,Input_Raw!AT:AT),"")</f>
        <v>0</v>
      </c>
      <c r="O139" s="238" t="str">
        <f>IFERROR(1-(SUMIF(Plant_BD!$B:$B,$A139,Plant_BD!$AL:$AL)/($AA139+SUMIF(Plant_BD!$B:$B,$A139,Plant_BD!$AL:$AL))),"")</f>
        <v/>
      </c>
      <c r="P139" s="238"/>
      <c r="Q139" s="239"/>
      <c r="R139" s="238" t="str">
        <f>IFERROR(1-(SUMIF(Grid_BD!$B:$B,$A139,Grid_BD!$V:$V)/($AA139+SUMIF(Grid_BD!$B:$B,$A139,Grid_BD!$V:$V))),"")</f>
        <v/>
      </c>
      <c r="S139" s="234"/>
      <c r="T139" s="239"/>
      <c r="U139" s="240" t="str">
        <f t="shared" si="16"/>
        <v/>
      </c>
      <c r="V139" s="240" t="str">
        <f>IFERROR(_xlfn.XLOOKUP($A139,Input_Raw!$A:$A,Input_Raw!$BS:$BS),"")</f>
        <v/>
      </c>
      <c r="W139" s="241">
        <f t="shared" si="17"/>
        <v>0</v>
      </c>
      <c r="X139" s="233">
        <f>IFERROR(_xlfn.XLOOKUP($A139,Input_Raw!$A:$A,Input_Raw!$AW:$AW),"")</f>
        <v>0</v>
      </c>
      <c r="Y139" s="233">
        <f>IFERROR(_xlfn.XLOOKUP($A139,Input_Raw!$A:$A,Input_Raw!$BN:$BN),"")</f>
        <v>0</v>
      </c>
      <c r="Z139" s="233"/>
      <c r="AA139" s="233">
        <f>IFERROR(_xlfn.XLOOKUP($A139,Input_Raw!$A:$A,Input_Raw!$BO:$BO),"")</f>
        <v>0</v>
      </c>
      <c r="AB139" s="233">
        <f>IFERROR(_xlfn.XLOOKUP($A139,Input_Raw!$A:$A,Input_Raw!$BP:$BP),"")</f>
        <v>0</v>
      </c>
      <c r="AC139" s="242">
        <f>IFERROR(_xlfn.XLOOKUP($D139,'Modelling New'!$D:$D,'Modelling New'!P:P),"")</f>
        <v>5.58</v>
      </c>
      <c r="AD139" s="233">
        <f>IFERROR(_xlfn.XLOOKUP($D139,'Modelling New'!$D:$D,'Modelling New'!T:T)*1000,"")</f>
        <v>416394.03312492924</v>
      </c>
      <c r="AE139" s="243">
        <f>IFERROR(_xlfn.XLOOKUP($D139,'Modelling New'!$D:$D,'Modelling New'!$O:$O),"")</f>
        <v>0.84991556470989227</v>
      </c>
      <c r="AF139" s="243">
        <f>IFERROR(_xlfn.XLOOKUP($D139,'Modelling New'!$D:$D,'Modelling New'!$W:$W),"")</f>
        <v>0.19760536879504997</v>
      </c>
      <c r="AG139" s="243">
        <f>IFERROR(_xlfn.XLOOKUP($D139,'Modelling New'!$D:$D,'Modelling New'!$AE:$AE),"")</f>
        <v>0.995</v>
      </c>
      <c r="AH139" s="243">
        <f>IFERROR(_xlfn.XLOOKUP($D139,'Modelling New'!$D:$D,'Modelling New'!$AF:$AF),"")</f>
        <v>0.995</v>
      </c>
      <c r="AI139" s="234"/>
      <c r="AJ139" s="234"/>
      <c r="AK139" s="234"/>
      <c r="AL139" s="234"/>
      <c r="AM139" s="234"/>
      <c r="AN139" s="244"/>
      <c r="AO139" s="241"/>
      <c r="AP139" s="241"/>
      <c r="AQ139" s="241"/>
      <c r="AR139" s="233">
        <f>_xlfn.XLOOKUP($D139,'Modelling New'!$D:$D,'Modelling New'!$N:$N)</f>
        <v>87.8</v>
      </c>
      <c r="AS139" s="233">
        <f t="shared" si="18"/>
        <v>0</v>
      </c>
    </row>
    <row r="140" spans="1:45">
      <c r="A140" s="232">
        <f t="shared" ref="A140:A203" si="19">A139+1</f>
        <v>45977</v>
      </c>
      <c r="B140" s="233">
        <f>YEAR(Daily_KPI[[#This Row],[Date]])+IF(MONTH(Daily_KPI[[#This Row],[Date]])&gt;=4,1,0)</f>
        <v>2026</v>
      </c>
      <c r="C140" s="234">
        <f>YEAR(Daily_KPI[[#This Row],[Date]])</f>
        <v>2025</v>
      </c>
      <c r="D140" s="235">
        <f>Daily_KPI[[#This Row],[Date]]-DAY(Daily_KPI[[#This Row],[Date]])+1</f>
        <v>45962</v>
      </c>
      <c r="E140" s="234">
        <f t="shared" si="15"/>
        <v>30</v>
      </c>
      <c r="F140" s="236">
        <f>IFERROR(_xlfn.XLOOKUP($A140,Input_Raw!$A:$A,Input_Raw!$BM:$BM),"")</f>
        <v>0</v>
      </c>
      <c r="G140" s="237">
        <f>IFERROR(_xlfn.XLOOKUP($A140,Input_Raw!$A:$A,Input_Raw!$AN:$AN),"")</f>
        <v>0</v>
      </c>
      <c r="H140" s="237"/>
      <c r="I140" s="237">
        <f>IFERROR(_xlfn.XLOOKUP($A140,Input_Raw!$A:$A,Input_Raw!$AM:$AM),"")</f>
        <v>0</v>
      </c>
      <c r="J140" s="237"/>
      <c r="K140" s="237">
        <f>IFERROR(_xlfn.XLOOKUP($A140,Input_Raw!$A:$A,Input_Raw!AO:AO),"")</f>
        <v>0</v>
      </c>
      <c r="L140" s="237">
        <f>IFERROR(_xlfn.XLOOKUP($A140,Input_Raw!$A:$A,Input_Raw!AP:AP),"")</f>
        <v>0</v>
      </c>
      <c r="M140" s="237">
        <f>IFERROR(_xlfn.XLOOKUP($A140,Input_Raw!$A:$A,Input_Raw!AS:AS),"")</f>
        <v>0</v>
      </c>
      <c r="N140" s="237">
        <f>IFERROR(_xlfn.XLOOKUP($A140,Input_Raw!$A:$A,Input_Raw!AT:AT),"")</f>
        <v>0</v>
      </c>
      <c r="O140" s="238" t="str">
        <f>IFERROR(1-(SUMIF(Plant_BD!$B:$B,$A140,Plant_BD!$AL:$AL)/($AA140+SUMIF(Plant_BD!$B:$B,$A140,Plant_BD!$AL:$AL))),"")</f>
        <v/>
      </c>
      <c r="P140" s="238"/>
      <c r="Q140" s="239"/>
      <c r="R140" s="238" t="str">
        <f>IFERROR(1-(SUMIF(Grid_BD!$B:$B,$A140,Grid_BD!$V:$V)/($AA140+SUMIF(Grid_BD!$B:$B,$A140,Grid_BD!$V:$V))),"")</f>
        <v/>
      </c>
      <c r="S140" s="234"/>
      <c r="T140" s="239"/>
      <c r="U140" s="240" t="str">
        <f t="shared" si="16"/>
        <v/>
      </c>
      <c r="V140" s="240" t="str">
        <f>IFERROR(_xlfn.XLOOKUP($A140,Input_Raw!$A:$A,Input_Raw!$BS:$BS),"")</f>
        <v/>
      </c>
      <c r="W140" s="241">
        <f t="shared" si="17"/>
        <v>0</v>
      </c>
      <c r="X140" s="233">
        <f>IFERROR(_xlfn.XLOOKUP($A140,Input_Raw!$A:$A,Input_Raw!$AW:$AW),"")</f>
        <v>0</v>
      </c>
      <c r="Y140" s="233">
        <f>IFERROR(_xlfn.XLOOKUP($A140,Input_Raw!$A:$A,Input_Raw!$BN:$BN),"")</f>
        <v>0</v>
      </c>
      <c r="Z140" s="233"/>
      <c r="AA140" s="233">
        <f>IFERROR(_xlfn.XLOOKUP($A140,Input_Raw!$A:$A,Input_Raw!$BO:$BO),"")</f>
        <v>0</v>
      </c>
      <c r="AB140" s="233">
        <f>IFERROR(_xlfn.XLOOKUP($A140,Input_Raw!$A:$A,Input_Raw!$BP:$BP),"")</f>
        <v>0</v>
      </c>
      <c r="AC140" s="242">
        <f>IFERROR(_xlfn.XLOOKUP($D140,'Modelling New'!$D:$D,'Modelling New'!P:P),"")</f>
        <v>5.58</v>
      </c>
      <c r="AD140" s="233">
        <f>IFERROR(_xlfn.XLOOKUP($D140,'Modelling New'!$D:$D,'Modelling New'!T:T)*1000,"")</f>
        <v>416394.03312492924</v>
      </c>
      <c r="AE140" s="243">
        <f>IFERROR(_xlfn.XLOOKUP($D140,'Modelling New'!$D:$D,'Modelling New'!$O:$O),"")</f>
        <v>0.84991556470989227</v>
      </c>
      <c r="AF140" s="243">
        <f>IFERROR(_xlfn.XLOOKUP($D140,'Modelling New'!$D:$D,'Modelling New'!$W:$W),"")</f>
        <v>0.19760536879504997</v>
      </c>
      <c r="AG140" s="243">
        <f>IFERROR(_xlfn.XLOOKUP($D140,'Modelling New'!$D:$D,'Modelling New'!$AE:$AE),"")</f>
        <v>0.995</v>
      </c>
      <c r="AH140" s="243">
        <f>IFERROR(_xlfn.XLOOKUP($D140,'Modelling New'!$D:$D,'Modelling New'!$AF:$AF),"")</f>
        <v>0.995</v>
      </c>
      <c r="AI140" s="234"/>
      <c r="AJ140" s="234"/>
      <c r="AK140" s="234"/>
      <c r="AL140" s="234"/>
      <c r="AM140" s="234"/>
      <c r="AN140" s="244"/>
      <c r="AO140" s="241"/>
      <c r="AP140" s="241"/>
      <c r="AQ140" s="241"/>
      <c r="AR140" s="233">
        <f>_xlfn.XLOOKUP($D140,'Modelling New'!$D:$D,'Modelling New'!$N:$N)</f>
        <v>87.8</v>
      </c>
      <c r="AS140" s="233">
        <f t="shared" si="18"/>
        <v>0</v>
      </c>
    </row>
    <row r="141" spans="1:45">
      <c r="A141" s="232">
        <f t="shared" si="19"/>
        <v>45978</v>
      </c>
      <c r="B141" s="233">
        <f>YEAR(Daily_KPI[[#This Row],[Date]])+IF(MONTH(Daily_KPI[[#This Row],[Date]])&gt;=4,1,0)</f>
        <v>2026</v>
      </c>
      <c r="C141" s="234">
        <f>YEAR(Daily_KPI[[#This Row],[Date]])</f>
        <v>2025</v>
      </c>
      <c r="D141" s="235">
        <f>Daily_KPI[[#This Row],[Date]]-DAY(Daily_KPI[[#This Row],[Date]])+1</f>
        <v>45962</v>
      </c>
      <c r="E141" s="234">
        <f t="shared" si="15"/>
        <v>30</v>
      </c>
      <c r="F141" s="236">
        <f>IFERROR(_xlfn.XLOOKUP($A141,Input_Raw!$A:$A,Input_Raw!$BM:$BM),"")</f>
        <v>0</v>
      </c>
      <c r="G141" s="237">
        <f>IFERROR(_xlfn.XLOOKUP($A141,Input_Raw!$A:$A,Input_Raw!$AN:$AN),"")</f>
        <v>0</v>
      </c>
      <c r="H141" s="237"/>
      <c r="I141" s="237">
        <f>IFERROR(_xlfn.XLOOKUP($A141,Input_Raw!$A:$A,Input_Raw!$AM:$AM),"")</f>
        <v>0</v>
      </c>
      <c r="J141" s="237"/>
      <c r="K141" s="237">
        <f>IFERROR(_xlfn.XLOOKUP($A141,Input_Raw!$A:$A,Input_Raw!AO:AO),"")</f>
        <v>0</v>
      </c>
      <c r="L141" s="237">
        <f>IFERROR(_xlfn.XLOOKUP($A141,Input_Raw!$A:$A,Input_Raw!AP:AP),"")</f>
        <v>0</v>
      </c>
      <c r="M141" s="237">
        <f>IFERROR(_xlfn.XLOOKUP($A141,Input_Raw!$A:$A,Input_Raw!AS:AS),"")</f>
        <v>0</v>
      </c>
      <c r="N141" s="237">
        <f>IFERROR(_xlfn.XLOOKUP($A141,Input_Raw!$A:$A,Input_Raw!AT:AT),"")</f>
        <v>0</v>
      </c>
      <c r="O141" s="238" t="str">
        <f>IFERROR(1-(SUMIF(Plant_BD!$B:$B,$A141,Plant_BD!$AL:$AL)/($AA141+SUMIF(Plant_BD!$B:$B,$A141,Plant_BD!$AL:$AL))),"")</f>
        <v/>
      </c>
      <c r="P141" s="238"/>
      <c r="Q141" s="239"/>
      <c r="R141" s="238" t="str">
        <f>IFERROR(1-(SUMIF(Grid_BD!$B:$B,$A141,Grid_BD!$V:$V)/($AA141+SUMIF(Grid_BD!$B:$B,$A141,Grid_BD!$V:$V))),"")</f>
        <v/>
      </c>
      <c r="S141" s="234"/>
      <c r="T141" s="239"/>
      <c r="U141" s="240" t="str">
        <f t="shared" si="16"/>
        <v/>
      </c>
      <c r="V141" s="240" t="str">
        <f>IFERROR(_xlfn.XLOOKUP($A141,Input_Raw!$A:$A,Input_Raw!$BS:$BS),"")</f>
        <v/>
      </c>
      <c r="W141" s="241">
        <f t="shared" si="17"/>
        <v>0</v>
      </c>
      <c r="X141" s="233">
        <f>IFERROR(_xlfn.XLOOKUP($A141,Input_Raw!$A:$A,Input_Raw!$AW:$AW),"")</f>
        <v>0</v>
      </c>
      <c r="Y141" s="233">
        <f>IFERROR(_xlfn.XLOOKUP($A141,Input_Raw!$A:$A,Input_Raw!$BN:$BN),"")</f>
        <v>0</v>
      </c>
      <c r="Z141" s="233"/>
      <c r="AA141" s="233">
        <f>IFERROR(_xlfn.XLOOKUP($A141,Input_Raw!$A:$A,Input_Raw!$BO:$BO),"")</f>
        <v>0</v>
      </c>
      <c r="AB141" s="233">
        <f>IFERROR(_xlfn.XLOOKUP($A141,Input_Raw!$A:$A,Input_Raw!$BP:$BP),"")</f>
        <v>0</v>
      </c>
      <c r="AC141" s="242">
        <f>IFERROR(_xlfn.XLOOKUP($D141,'Modelling New'!$D:$D,'Modelling New'!P:P),"")</f>
        <v>5.58</v>
      </c>
      <c r="AD141" s="233">
        <f>IFERROR(_xlfn.XLOOKUP($D141,'Modelling New'!$D:$D,'Modelling New'!T:T)*1000,"")</f>
        <v>416394.03312492924</v>
      </c>
      <c r="AE141" s="243">
        <f>IFERROR(_xlfn.XLOOKUP($D141,'Modelling New'!$D:$D,'Modelling New'!$O:$O),"")</f>
        <v>0.84991556470989227</v>
      </c>
      <c r="AF141" s="243">
        <f>IFERROR(_xlfn.XLOOKUP($D141,'Modelling New'!$D:$D,'Modelling New'!$W:$W),"")</f>
        <v>0.19760536879504997</v>
      </c>
      <c r="AG141" s="243">
        <f>IFERROR(_xlfn.XLOOKUP($D141,'Modelling New'!$D:$D,'Modelling New'!$AE:$AE),"")</f>
        <v>0.995</v>
      </c>
      <c r="AH141" s="243">
        <f>IFERROR(_xlfn.XLOOKUP($D141,'Modelling New'!$D:$D,'Modelling New'!$AF:$AF),"")</f>
        <v>0.995</v>
      </c>
      <c r="AI141" s="234"/>
      <c r="AJ141" s="234"/>
      <c r="AK141" s="234"/>
      <c r="AL141" s="234"/>
      <c r="AM141" s="234"/>
      <c r="AN141" s="244"/>
      <c r="AO141" s="241"/>
      <c r="AP141" s="241"/>
      <c r="AQ141" s="241"/>
      <c r="AR141" s="233">
        <f>_xlfn.XLOOKUP($D141,'Modelling New'!$D:$D,'Modelling New'!$N:$N)</f>
        <v>87.8</v>
      </c>
      <c r="AS141" s="233">
        <f t="shared" si="18"/>
        <v>0</v>
      </c>
    </row>
    <row r="142" spans="1:45">
      <c r="A142" s="232">
        <f t="shared" si="19"/>
        <v>45979</v>
      </c>
      <c r="B142" s="233">
        <f>YEAR(Daily_KPI[[#This Row],[Date]])+IF(MONTH(Daily_KPI[[#This Row],[Date]])&gt;=4,1,0)</f>
        <v>2026</v>
      </c>
      <c r="C142" s="234">
        <f>YEAR(Daily_KPI[[#This Row],[Date]])</f>
        <v>2025</v>
      </c>
      <c r="D142" s="235">
        <f>Daily_KPI[[#This Row],[Date]]-DAY(Daily_KPI[[#This Row],[Date]])+1</f>
        <v>45962</v>
      </c>
      <c r="E142" s="234">
        <f t="shared" si="15"/>
        <v>30</v>
      </c>
      <c r="F142" s="236">
        <f>IFERROR(_xlfn.XLOOKUP($A142,Input_Raw!$A:$A,Input_Raw!$BM:$BM),"")</f>
        <v>0</v>
      </c>
      <c r="G142" s="237">
        <f>IFERROR(_xlfn.XLOOKUP($A142,Input_Raw!$A:$A,Input_Raw!$AN:$AN),"")</f>
        <v>0</v>
      </c>
      <c r="H142" s="237"/>
      <c r="I142" s="237">
        <f>IFERROR(_xlfn.XLOOKUP($A142,Input_Raw!$A:$A,Input_Raw!$AM:$AM),"")</f>
        <v>0</v>
      </c>
      <c r="J142" s="237"/>
      <c r="K142" s="237">
        <f>IFERROR(_xlfn.XLOOKUP($A142,Input_Raw!$A:$A,Input_Raw!AO:AO),"")</f>
        <v>0</v>
      </c>
      <c r="L142" s="237">
        <f>IFERROR(_xlfn.XLOOKUP($A142,Input_Raw!$A:$A,Input_Raw!AP:AP),"")</f>
        <v>0</v>
      </c>
      <c r="M142" s="237">
        <f>IFERROR(_xlfn.XLOOKUP($A142,Input_Raw!$A:$A,Input_Raw!AS:AS),"")</f>
        <v>0</v>
      </c>
      <c r="N142" s="237">
        <f>IFERROR(_xlfn.XLOOKUP($A142,Input_Raw!$A:$A,Input_Raw!AT:AT),"")</f>
        <v>0</v>
      </c>
      <c r="O142" s="238" t="str">
        <f>IFERROR(1-(SUMIF(Plant_BD!$B:$B,$A142,Plant_BD!$AL:$AL)/($AA142+SUMIF(Plant_BD!$B:$B,$A142,Plant_BD!$AL:$AL))),"")</f>
        <v/>
      </c>
      <c r="P142" s="238"/>
      <c r="Q142" s="239"/>
      <c r="R142" s="238" t="str">
        <f>IFERROR(1-(SUMIF(Grid_BD!$B:$B,$A142,Grid_BD!$V:$V)/($AA142+SUMIF(Grid_BD!$B:$B,$A142,Grid_BD!$V:$V))),"")</f>
        <v/>
      </c>
      <c r="S142" s="234"/>
      <c r="T142" s="239"/>
      <c r="U142" s="240" t="str">
        <f t="shared" si="16"/>
        <v/>
      </c>
      <c r="V142" s="240" t="str">
        <f>IFERROR(_xlfn.XLOOKUP($A142,Input_Raw!$A:$A,Input_Raw!$BS:$BS),"")</f>
        <v/>
      </c>
      <c r="W142" s="241">
        <f t="shared" si="17"/>
        <v>0</v>
      </c>
      <c r="X142" s="233">
        <f>IFERROR(_xlfn.XLOOKUP($A142,Input_Raw!$A:$A,Input_Raw!$AW:$AW),"")</f>
        <v>0</v>
      </c>
      <c r="Y142" s="233">
        <f>IFERROR(_xlfn.XLOOKUP($A142,Input_Raw!$A:$A,Input_Raw!$BN:$BN),"")</f>
        <v>0</v>
      </c>
      <c r="Z142" s="233"/>
      <c r="AA142" s="233">
        <f>IFERROR(_xlfn.XLOOKUP($A142,Input_Raw!$A:$A,Input_Raw!$BO:$BO),"")</f>
        <v>0</v>
      </c>
      <c r="AB142" s="233">
        <f>IFERROR(_xlfn.XLOOKUP($A142,Input_Raw!$A:$A,Input_Raw!$BP:$BP),"")</f>
        <v>0</v>
      </c>
      <c r="AC142" s="242">
        <f>IFERROR(_xlfn.XLOOKUP($D142,'Modelling New'!$D:$D,'Modelling New'!P:P),"")</f>
        <v>5.58</v>
      </c>
      <c r="AD142" s="233">
        <f>IFERROR(_xlfn.XLOOKUP($D142,'Modelling New'!$D:$D,'Modelling New'!T:T)*1000,"")</f>
        <v>416394.03312492924</v>
      </c>
      <c r="AE142" s="243">
        <f>IFERROR(_xlfn.XLOOKUP($D142,'Modelling New'!$D:$D,'Modelling New'!$O:$O),"")</f>
        <v>0.84991556470989227</v>
      </c>
      <c r="AF142" s="243">
        <f>IFERROR(_xlfn.XLOOKUP($D142,'Modelling New'!$D:$D,'Modelling New'!$W:$W),"")</f>
        <v>0.19760536879504997</v>
      </c>
      <c r="AG142" s="243">
        <f>IFERROR(_xlfn.XLOOKUP($D142,'Modelling New'!$D:$D,'Modelling New'!$AE:$AE),"")</f>
        <v>0.995</v>
      </c>
      <c r="AH142" s="243">
        <f>IFERROR(_xlfn.XLOOKUP($D142,'Modelling New'!$D:$D,'Modelling New'!$AF:$AF),"")</f>
        <v>0.995</v>
      </c>
      <c r="AI142" s="234"/>
      <c r="AJ142" s="234"/>
      <c r="AK142" s="234"/>
      <c r="AL142" s="234"/>
      <c r="AM142" s="234"/>
      <c r="AN142" s="244"/>
      <c r="AO142" s="241"/>
      <c r="AP142" s="241"/>
      <c r="AQ142" s="241"/>
      <c r="AR142" s="233">
        <f>_xlfn.XLOOKUP($D142,'Modelling New'!$D:$D,'Modelling New'!$N:$N)</f>
        <v>87.8</v>
      </c>
      <c r="AS142" s="233">
        <f t="shared" si="18"/>
        <v>0</v>
      </c>
    </row>
    <row r="143" spans="1:45">
      <c r="A143" s="232">
        <f t="shared" si="19"/>
        <v>45980</v>
      </c>
      <c r="B143" s="233">
        <f>YEAR(Daily_KPI[[#This Row],[Date]])+IF(MONTH(Daily_KPI[[#This Row],[Date]])&gt;=4,1,0)</f>
        <v>2026</v>
      </c>
      <c r="C143" s="234">
        <f>YEAR(Daily_KPI[[#This Row],[Date]])</f>
        <v>2025</v>
      </c>
      <c r="D143" s="235">
        <f>Daily_KPI[[#This Row],[Date]]-DAY(Daily_KPI[[#This Row],[Date]])+1</f>
        <v>45962</v>
      </c>
      <c r="E143" s="234">
        <f t="shared" si="15"/>
        <v>30</v>
      </c>
      <c r="F143" s="236">
        <f>IFERROR(_xlfn.XLOOKUP($A143,Input_Raw!$A:$A,Input_Raw!$BM:$BM),"")</f>
        <v>0</v>
      </c>
      <c r="G143" s="237">
        <f>IFERROR(_xlfn.XLOOKUP($A143,Input_Raw!$A:$A,Input_Raw!$AN:$AN),"")</f>
        <v>0</v>
      </c>
      <c r="H143" s="237"/>
      <c r="I143" s="237">
        <f>IFERROR(_xlfn.XLOOKUP($A143,Input_Raw!$A:$A,Input_Raw!$AM:$AM),"")</f>
        <v>0</v>
      </c>
      <c r="J143" s="237"/>
      <c r="K143" s="237">
        <f>IFERROR(_xlfn.XLOOKUP($A143,Input_Raw!$A:$A,Input_Raw!AO:AO),"")</f>
        <v>0</v>
      </c>
      <c r="L143" s="237">
        <f>IFERROR(_xlfn.XLOOKUP($A143,Input_Raw!$A:$A,Input_Raw!AP:AP),"")</f>
        <v>0</v>
      </c>
      <c r="M143" s="237">
        <f>IFERROR(_xlfn.XLOOKUP($A143,Input_Raw!$A:$A,Input_Raw!AS:AS),"")</f>
        <v>0</v>
      </c>
      <c r="N143" s="237">
        <f>IFERROR(_xlfn.XLOOKUP($A143,Input_Raw!$A:$A,Input_Raw!AT:AT),"")</f>
        <v>0</v>
      </c>
      <c r="O143" s="238" t="str">
        <f>IFERROR(1-(SUMIF(Plant_BD!$B:$B,$A143,Plant_BD!$AL:$AL)/($AA143+SUMIF(Plant_BD!$B:$B,$A143,Plant_BD!$AL:$AL))),"")</f>
        <v/>
      </c>
      <c r="P143" s="238"/>
      <c r="Q143" s="239"/>
      <c r="R143" s="238" t="str">
        <f>IFERROR(1-(SUMIF(Grid_BD!$B:$B,$A143,Grid_BD!$V:$V)/($AA143+SUMIF(Grid_BD!$B:$B,$A143,Grid_BD!$V:$V))),"")</f>
        <v/>
      </c>
      <c r="S143" s="234"/>
      <c r="T143" s="239"/>
      <c r="U143" s="240" t="str">
        <f t="shared" si="16"/>
        <v/>
      </c>
      <c r="V143" s="240" t="str">
        <f>IFERROR(_xlfn.XLOOKUP($A143,Input_Raw!$A:$A,Input_Raw!$BS:$BS),"")</f>
        <v/>
      </c>
      <c r="W143" s="241">
        <f t="shared" si="17"/>
        <v>0</v>
      </c>
      <c r="X143" s="233">
        <f>IFERROR(_xlfn.XLOOKUP($A143,Input_Raw!$A:$A,Input_Raw!$AW:$AW),"")</f>
        <v>0</v>
      </c>
      <c r="Y143" s="233">
        <f>IFERROR(_xlfn.XLOOKUP($A143,Input_Raw!$A:$A,Input_Raw!$BN:$BN),"")</f>
        <v>0</v>
      </c>
      <c r="Z143" s="233"/>
      <c r="AA143" s="233">
        <f>IFERROR(_xlfn.XLOOKUP($A143,Input_Raw!$A:$A,Input_Raw!$BO:$BO),"")</f>
        <v>0</v>
      </c>
      <c r="AB143" s="233">
        <f>IFERROR(_xlfn.XLOOKUP($A143,Input_Raw!$A:$A,Input_Raw!$BP:$BP),"")</f>
        <v>0</v>
      </c>
      <c r="AC143" s="242">
        <f>IFERROR(_xlfn.XLOOKUP($D143,'Modelling New'!$D:$D,'Modelling New'!P:P),"")</f>
        <v>5.58</v>
      </c>
      <c r="AD143" s="233">
        <f>IFERROR(_xlfn.XLOOKUP($D143,'Modelling New'!$D:$D,'Modelling New'!T:T)*1000,"")</f>
        <v>416394.03312492924</v>
      </c>
      <c r="AE143" s="243">
        <f>IFERROR(_xlfn.XLOOKUP($D143,'Modelling New'!$D:$D,'Modelling New'!$O:$O),"")</f>
        <v>0.84991556470989227</v>
      </c>
      <c r="AF143" s="243">
        <f>IFERROR(_xlfn.XLOOKUP($D143,'Modelling New'!$D:$D,'Modelling New'!$W:$W),"")</f>
        <v>0.19760536879504997</v>
      </c>
      <c r="AG143" s="243">
        <f>IFERROR(_xlfn.XLOOKUP($D143,'Modelling New'!$D:$D,'Modelling New'!$AE:$AE),"")</f>
        <v>0.995</v>
      </c>
      <c r="AH143" s="243">
        <f>IFERROR(_xlfn.XLOOKUP($D143,'Modelling New'!$D:$D,'Modelling New'!$AF:$AF),"")</f>
        <v>0.995</v>
      </c>
      <c r="AI143" s="234"/>
      <c r="AJ143" s="234"/>
      <c r="AK143" s="234"/>
      <c r="AL143" s="234"/>
      <c r="AM143" s="234"/>
      <c r="AN143" s="244"/>
      <c r="AO143" s="241"/>
      <c r="AP143" s="241"/>
      <c r="AQ143" s="241"/>
      <c r="AR143" s="233">
        <f>_xlfn.XLOOKUP($D143,'Modelling New'!$D:$D,'Modelling New'!$N:$N)</f>
        <v>87.8</v>
      </c>
      <c r="AS143" s="233">
        <f t="shared" si="18"/>
        <v>0</v>
      </c>
    </row>
    <row r="144" spans="1:45">
      <c r="A144" s="232">
        <f t="shared" si="19"/>
        <v>45981</v>
      </c>
      <c r="B144" s="233">
        <f>YEAR(Daily_KPI[[#This Row],[Date]])+IF(MONTH(Daily_KPI[[#This Row],[Date]])&gt;=4,1,0)</f>
        <v>2026</v>
      </c>
      <c r="C144" s="234">
        <f>YEAR(Daily_KPI[[#This Row],[Date]])</f>
        <v>2025</v>
      </c>
      <c r="D144" s="235">
        <f>Daily_KPI[[#This Row],[Date]]-DAY(Daily_KPI[[#This Row],[Date]])+1</f>
        <v>45962</v>
      </c>
      <c r="E144" s="234">
        <f t="shared" si="15"/>
        <v>30</v>
      </c>
      <c r="F144" s="236">
        <f>IFERROR(_xlfn.XLOOKUP($A144,Input_Raw!$A:$A,Input_Raw!$BM:$BM),"")</f>
        <v>0</v>
      </c>
      <c r="G144" s="237">
        <f>IFERROR(_xlfn.XLOOKUP($A144,Input_Raw!$A:$A,Input_Raw!$AN:$AN),"")</f>
        <v>0</v>
      </c>
      <c r="H144" s="237"/>
      <c r="I144" s="237">
        <f>IFERROR(_xlfn.XLOOKUP($A144,Input_Raw!$A:$A,Input_Raw!$AM:$AM),"")</f>
        <v>0</v>
      </c>
      <c r="J144" s="237"/>
      <c r="K144" s="237">
        <f>IFERROR(_xlfn.XLOOKUP($A144,Input_Raw!$A:$A,Input_Raw!AO:AO),"")</f>
        <v>0</v>
      </c>
      <c r="L144" s="237">
        <f>IFERROR(_xlfn.XLOOKUP($A144,Input_Raw!$A:$A,Input_Raw!AP:AP),"")</f>
        <v>0</v>
      </c>
      <c r="M144" s="237">
        <f>IFERROR(_xlfn.XLOOKUP($A144,Input_Raw!$A:$A,Input_Raw!AS:AS),"")</f>
        <v>0</v>
      </c>
      <c r="N144" s="237">
        <f>IFERROR(_xlfn.XLOOKUP($A144,Input_Raw!$A:$A,Input_Raw!AT:AT),"")</f>
        <v>0</v>
      </c>
      <c r="O144" s="238" t="str">
        <f>IFERROR(1-(SUMIF(Plant_BD!$B:$B,$A144,Plant_BD!$AL:$AL)/($AA144+SUMIF(Plant_BD!$B:$B,$A144,Plant_BD!$AL:$AL))),"")</f>
        <v/>
      </c>
      <c r="P144" s="238"/>
      <c r="Q144" s="239"/>
      <c r="R144" s="238" t="str">
        <f>IFERROR(1-(SUMIF(Grid_BD!$B:$B,$A144,Grid_BD!$V:$V)/($AA144+SUMIF(Grid_BD!$B:$B,$A144,Grid_BD!$V:$V))),"")</f>
        <v/>
      </c>
      <c r="S144" s="234"/>
      <c r="T144" s="239"/>
      <c r="U144" s="240" t="str">
        <f t="shared" si="16"/>
        <v/>
      </c>
      <c r="V144" s="240" t="str">
        <f>IFERROR(_xlfn.XLOOKUP($A144,Input_Raw!$A:$A,Input_Raw!$BS:$BS),"")</f>
        <v/>
      </c>
      <c r="W144" s="241">
        <f t="shared" si="17"/>
        <v>0</v>
      </c>
      <c r="X144" s="233">
        <f>IFERROR(_xlfn.XLOOKUP($A144,Input_Raw!$A:$A,Input_Raw!$AW:$AW),"")</f>
        <v>0</v>
      </c>
      <c r="Y144" s="233">
        <f>IFERROR(_xlfn.XLOOKUP($A144,Input_Raw!$A:$A,Input_Raw!$BN:$BN),"")</f>
        <v>0</v>
      </c>
      <c r="Z144" s="233"/>
      <c r="AA144" s="233">
        <f>IFERROR(_xlfn.XLOOKUP($A144,Input_Raw!$A:$A,Input_Raw!$BO:$BO),"")</f>
        <v>0</v>
      </c>
      <c r="AB144" s="233">
        <f>IFERROR(_xlfn.XLOOKUP($A144,Input_Raw!$A:$A,Input_Raw!$BP:$BP),"")</f>
        <v>0</v>
      </c>
      <c r="AC144" s="242">
        <f>IFERROR(_xlfn.XLOOKUP($D144,'Modelling New'!$D:$D,'Modelling New'!P:P),"")</f>
        <v>5.58</v>
      </c>
      <c r="AD144" s="233">
        <f>IFERROR(_xlfn.XLOOKUP($D144,'Modelling New'!$D:$D,'Modelling New'!T:T)*1000,"")</f>
        <v>416394.03312492924</v>
      </c>
      <c r="AE144" s="243">
        <f>IFERROR(_xlfn.XLOOKUP($D144,'Modelling New'!$D:$D,'Modelling New'!$O:$O),"")</f>
        <v>0.84991556470989227</v>
      </c>
      <c r="AF144" s="243">
        <f>IFERROR(_xlfn.XLOOKUP($D144,'Modelling New'!$D:$D,'Modelling New'!$W:$W),"")</f>
        <v>0.19760536879504997</v>
      </c>
      <c r="AG144" s="243">
        <f>IFERROR(_xlfn.XLOOKUP($D144,'Modelling New'!$D:$D,'Modelling New'!$AE:$AE),"")</f>
        <v>0.995</v>
      </c>
      <c r="AH144" s="243">
        <f>IFERROR(_xlfn.XLOOKUP($D144,'Modelling New'!$D:$D,'Modelling New'!$AF:$AF),"")</f>
        <v>0.995</v>
      </c>
      <c r="AI144" s="234"/>
      <c r="AJ144" s="234"/>
      <c r="AK144" s="234"/>
      <c r="AL144" s="234"/>
      <c r="AM144" s="234"/>
      <c r="AN144" s="244"/>
      <c r="AO144" s="241"/>
      <c r="AP144" s="241"/>
      <c r="AQ144" s="241"/>
      <c r="AR144" s="233">
        <f>_xlfn.XLOOKUP($D144,'Modelling New'!$D:$D,'Modelling New'!$N:$N)</f>
        <v>87.8</v>
      </c>
      <c r="AS144" s="233">
        <f t="shared" si="18"/>
        <v>0</v>
      </c>
    </row>
    <row r="145" spans="1:45">
      <c r="A145" s="232">
        <f t="shared" si="19"/>
        <v>45982</v>
      </c>
      <c r="B145" s="233">
        <f>YEAR(Daily_KPI[[#This Row],[Date]])+IF(MONTH(Daily_KPI[[#This Row],[Date]])&gt;=4,1,0)</f>
        <v>2026</v>
      </c>
      <c r="C145" s="234">
        <f>YEAR(Daily_KPI[[#This Row],[Date]])</f>
        <v>2025</v>
      </c>
      <c r="D145" s="235">
        <f>Daily_KPI[[#This Row],[Date]]-DAY(Daily_KPI[[#This Row],[Date]])+1</f>
        <v>45962</v>
      </c>
      <c r="E145" s="234">
        <f t="shared" si="15"/>
        <v>30</v>
      </c>
      <c r="F145" s="236">
        <f>IFERROR(_xlfn.XLOOKUP($A145,Input_Raw!$A:$A,Input_Raw!$BM:$BM),"")</f>
        <v>0</v>
      </c>
      <c r="G145" s="237">
        <f>IFERROR(_xlfn.XLOOKUP($A145,Input_Raw!$A:$A,Input_Raw!$AN:$AN),"")</f>
        <v>0</v>
      </c>
      <c r="H145" s="237"/>
      <c r="I145" s="237">
        <f>IFERROR(_xlfn.XLOOKUP($A145,Input_Raw!$A:$A,Input_Raw!$AM:$AM),"")</f>
        <v>0</v>
      </c>
      <c r="J145" s="237"/>
      <c r="K145" s="237">
        <f>IFERROR(_xlfn.XLOOKUP($A145,Input_Raw!$A:$A,Input_Raw!AO:AO),"")</f>
        <v>0</v>
      </c>
      <c r="L145" s="237">
        <f>IFERROR(_xlfn.XLOOKUP($A145,Input_Raw!$A:$A,Input_Raw!AP:AP),"")</f>
        <v>0</v>
      </c>
      <c r="M145" s="237">
        <f>IFERROR(_xlfn.XLOOKUP($A145,Input_Raw!$A:$A,Input_Raw!AS:AS),"")</f>
        <v>0</v>
      </c>
      <c r="N145" s="237">
        <f>IFERROR(_xlfn.XLOOKUP($A145,Input_Raw!$A:$A,Input_Raw!AT:AT),"")</f>
        <v>0</v>
      </c>
      <c r="O145" s="238" t="str">
        <f>IFERROR(1-(SUMIF(Plant_BD!$B:$B,$A145,Plant_BD!$AL:$AL)/($AA145+SUMIF(Plant_BD!$B:$B,$A145,Plant_BD!$AL:$AL))),"")</f>
        <v/>
      </c>
      <c r="P145" s="238"/>
      <c r="Q145" s="239"/>
      <c r="R145" s="238" t="str">
        <f>IFERROR(1-(SUMIF(Grid_BD!$B:$B,$A145,Grid_BD!$V:$V)/($AA145+SUMIF(Grid_BD!$B:$B,$A145,Grid_BD!$V:$V))),"")</f>
        <v/>
      </c>
      <c r="S145" s="234"/>
      <c r="T145" s="239"/>
      <c r="U145" s="240" t="str">
        <f t="shared" si="16"/>
        <v/>
      </c>
      <c r="V145" s="240" t="str">
        <f>IFERROR(_xlfn.XLOOKUP($A145,Input_Raw!$A:$A,Input_Raw!$BS:$BS),"")</f>
        <v/>
      </c>
      <c r="W145" s="241">
        <f t="shared" si="17"/>
        <v>0</v>
      </c>
      <c r="X145" s="233">
        <f>IFERROR(_xlfn.XLOOKUP($A145,Input_Raw!$A:$A,Input_Raw!$AW:$AW),"")</f>
        <v>0</v>
      </c>
      <c r="Y145" s="233">
        <f>IFERROR(_xlfn.XLOOKUP($A145,Input_Raw!$A:$A,Input_Raw!$BN:$BN),"")</f>
        <v>0</v>
      </c>
      <c r="Z145" s="233"/>
      <c r="AA145" s="233">
        <f>IFERROR(_xlfn.XLOOKUP($A145,Input_Raw!$A:$A,Input_Raw!$BO:$BO),"")</f>
        <v>0</v>
      </c>
      <c r="AB145" s="233">
        <f>IFERROR(_xlfn.XLOOKUP($A145,Input_Raw!$A:$A,Input_Raw!$BP:$BP),"")</f>
        <v>0</v>
      </c>
      <c r="AC145" s="242">
        <f>IFERROR(_xlfn.XLOOKUP($D145,'Modelling New'!$D:$D,'Modelling New'!P:P),"")</f>
        <v>5.58</v>
      </c>
      <c r="AD145" s="233">
        <f>IFERROR(_xlfn.XLOOKUP($D145,'Modelling New'!$D:$D,'Modelling New'!T:T)*1000,"")</f>
        <v>416394.03312492924</v>
      </c>
      <c r="AE145" s="243">
        <f>IFERROR(_xlfn.XLOOKUP($D145,'Modelling New'!$D:$D,'Modelling New'!$O:$O),"")</f>
        <v>0.84991556470989227</v>
      </c>
      <c r="AF145" s="243">
        <f>IFERROR(_xlfn.XLOOKUP($D145,'Modelling New'!$D:$D,'Modelling New'!$W:$W),"")</f>
        <v>0.19760536879504997</v>
      </c>
      <c r="AG145" s="243">
        <f>IFERROR(_xlfn.XLOOKUP($D145,'Modelling New'!$D:$D,'Modelling New'!$AE:$AE),"")</f>
        <v>0.995</v>
      </c>
      <c r="AH145" s="243">
        <f>IFERROR(_xlfn.XLOOKUP($D145,'Modelling New'!$D:$D,'Modelling New'!$AF:$AF),"")</f>
        <v>0.995</v>
      </c>
      <c r="AI145" s="234"/>
      <c r="AJ145" s="234"/>
      <c r="AK145" s="234"/>
      <c r="AL145" s="234"/>
      <c r="AM145" s="234"/>
      <c r="AN145" s="244"/>
      <c r="AO145" s="241"/>
      <c r="AP145" s="241"/>
      <c r="AQ145" s="241"/>
      <c r="AR145" s="233">
        <f>_xlfn.XLOOKUP($D145,'Modelling New'!$D:$D,'Modelling New'!$N:$N)</f>
        <v>87.8</v>
      </c>
      <c r="AS145" s="233">
        <f t="shared" si="18"/>
        <v>0</v>
      </c>
    </row>
    <row r="146" spans="1:45">
      <c r="A146" s="232">
        <f t="shared" si="19"/>
        <v>45983</v>
      </c>
      <c r="B146" s="233">
        <f>YEAR(Daily_KPI[[#This Row],[Date]])+IF(MONTH(Daily_KPI[[#This Row],[Date]])&gt;=4,1,0)</f>
        <v>2026</v>
      </c>
      <c r="C146" s="234">
        <f>YEAR(Daily_KPI[[#This Row],[Date]])</f>
        <v>2025</v>
      </c>
      <c r="D146" s="235">
        <f>Daily_KPI[[#This Row],[Date]]-DAY(Daily_KPI[[#This Row],[Date]])+1</f>
        <v>45962</v>
      </c>
      <c r="E146" s="234">
        <f t="shared" si="15"/>
        <v>30</v>
      </c>
      <c r="F146" s="236">
        <f>IFERROR(_xlfn.XLOOKUP($A146,Input_Raw!$A:$A,Input_Raw!$BM:$BM),"")</f>
        <v>0</v>
      </c>
      <c r="G146" s="237">
        <f>IFERROR(_xlfn.XLOOKUP($A146,Input_Raw!$A:$A,Input_Raw!$AN:$AN),"")</f>
        <v>0</v>
      </c>
      <c r="H146" s="237"/>
      <c r="I146" s="237">
        <f>IFERROR(_xlfn.XLOOKUP($A146,Input_Raw!$A:$A,Input_Raw!$AM:$AM),"")</f>
        <v>0</v>
      </c>
      <c r="J146" s="237"/>
      <c r="K146" s="237">
        <f>IFERROR(_xlfn.XLOOKUP($A146,Input_Raw!$A:$A,Input_Raw!AO:AO),"")</f>
        <v>0</v>
      </c>
      <c r="L146" s="237">
        <f>IFERROR(_xlfn.XLOOKUP($A146,Input_Raw!$A:$A,Input_Raw!AP:AP),"")</f>
        <v>0</v>
      </c>
      <c r="M146" s="237">
        <f>IFERROR(_xlfn.XLOOKUP($A146,Input_Raw!$A:$A,Input_Raw!AS:AS),"")</f>
        <v>0</v>
      </c>
      <c r="N146" s="237">
        <f>IFERROR(_xlfn.XLOOKUP($A146,Input_Raw!$A:$A,Input_Raw!AT:AT),"")</f>
        <v>0</v>
      </c>
      <c r="O146" s="238" t="str">
        <f>IFERROR(1-(SUMIF(Plant_BD!$B:$B,$A146,Plant_BD!$AL:$AL)/($AA146+SUMIF(Plant_BD!$B:$B,$A146,Plant_BD!$AL:$AL))),"")</f>
        <v/>
      </c>
      <c r="P146" s="238"/>
      <c r="Q146" s="239"/>
      <c r="R146" s="238" t="str">
        <f>IFERROR(1-(SUMIF(Grid_BD!$B:$B,$A146,Grid_BD!$V:$V)/($AA146+SUMIF(Grid_BD!$B:$B,$A146,Grid_BD!$V:$V))),"")</f>
        <v/>
      </c>
      <c r="S146" s="234"/>
      <c r="T146" s="239"/>
      <c r="U146" s="240" t="str">
        <f t="shared" si="16"/>
        <v/>
      </c>
      <c r="V146" s="240" t="str">
        <f>IFERROR(_xlfn.XLOOKUP($A146,Input_Raw!$A:$A,Input_Raw!$BS:$BS),"")</f>
        <v/>
      </c>
      <c r="W146" s="241">
        <f t="shared" si="17"/>
        <v>0</v>
      </c>
      <c r="X146" s="233">
        <f>IFERROR(_xlfn.XLOOKUP($A146,Input_Raw!$A:$A,Input_Raw!$AW:$AW),"")</f>
        <v>0</v>
      </c>
      <c r="Y146" s="233">
        <f>IFERROR(_xlfn.XLOOKUP($A146,Input_Raw!$A:$A,Input_Raw!$BN:$BN),"")</f>
        <v>0</v>
      </c>
      <c r="Z146" s="233"/>
      <c r="AA146" s="233">
        <f>IFERROR(_xlfn.XLOOKUP($A146,Input_Raw!$A:$A,Input_Raw!$BO:$BO),"")</f>
        <v>0</v>
      </c>
      <c r="AB146" s="233">
        <f>IFERROR(_xlfn.XLOOKUP($A146,Input_Raw!$A:$A,Input_Raw!$BP:$BP),"")</f>
        <v>0</v>
      </c>
      <c r="AC146" s="242">
        <f>IFERROR(_xlfn.XLOOKUP($D146,'Modelling New'!$D:$D,'Modelling New'!P:P),"")</f>
        <v>5.58</v>
      </c>
      <c r="AD146" s="233">
        <f>IFERROR(_xlfn.XLOOKUP($D146,'Modelling New'!$D:$D,'Modelling New'!T:T)*1000,"")</f>
        <v>416394.03312492924</v>
      </c>
      <c r="AE146" s="243">
        <f>IFERROR(_xlfn.XLOOKUP($D146,'Modelling New'!$D:$D,'Modelling New'!$O:$O),"")</f>
        <v>0.84991556470989227</v>
      </c>
      <c r="AF146" s="243">
        <f>IFERROR(_xlfn.XLOOKUP($D146,'Modelling New'!$D:$D,'Modelling New'!$W:$W),"")</f>
        <v>0.19760536879504997</v>
      </c>
      <c r="AG146" s="243">
        <f>IFERROR(_xlfn.XLOOKUP($D146,'Modelling New'!$D:$D,'Modelling New'!$AE:$AE),"")</f>
        <v>0.995</v>
      </c>
      <c r="AH146" s="243">
        <f>IFERROR(_xlfn.XLOOKUP($D146,'Modelling New'!$D:$D,'Modelling New'!$AF:$AF),"")</f>
        <v>0.995</v>
      </c>
      <c r="AI146" s="234"/>
      <c r="AJ146" s="234"/>
      <c r="AK146" s="234"/>
      <c r="AL146" s="234"/>
      <c r="AM146" s="234"/>
      <c r="AN146" s="244"/>
      <c r="AO146" s="241"/>
      <c r="AP146" s="241"/>
      <c r="AQ146" s="241"/>
      <c r="AR146" s="233">
        <f>_xlfn.XLOOKUP($D146,'Modelling New'!$D:$D,'Modelling New'!$N:$N)</f>
        <v>87.8</v>
      </c>
      <c r="AS146" s="233">
        <f t="shared" si="18"/>
        <v>0</v>
      </c>
    </row>
    <row r="147" spans="1:45">
      <c r="A147" s="232">
        <f t="shared" si="19"/>
        <v>45984</v>
      </c>
      <c r="B147" s="233">
        <f>YEAR(Daily_KPI[[#This Row],[Date]])+IF(MONTH(Daily_KPI[[#This Row],[Date]])&gt;=4,1,0)</f>
        <v>2026</v>
      </c>
      <c r="C147" s="234">
        <f>YEAR(Daily_KPI[[#This Row],[Date]])</f>
        <v>2025</v>
      </c>
      <c r="D147" s="235">
        <f>Daily_KPI[[#This Row],[Date]]-DAY(Daily_KPI[[#This Row],[Date]])+1</f>
        <v>45962</v>
      </c>
      <c r="E147" s="234">
        <f t="shared" si="15"/>
        <v>30</v>
      </c>
      <c r="F147" s="236">
        <f>IFERROR(_xlfn.XLOOKUP($A147,Input_Raw!$A:$A,Input_Raw!$BM:$BM),"")</f>
        <v>0</v>
      </c>
      <c r="G147" s="237">
        <f>IFERROR(_xlfn.XLOOKUP($A147,Input_Raw!$A:$A,Input_Raw!$AN:$AN),"")</f>
        <v>0</v>
      </c>
      <c r="H147" s="237"/>
      <c r="I147" s="237">
        <f>IFERROR(_xlfn.XLOOKUP($A147,Input_Raw!$A:$A,Input_Raw!$AM:$AM),"")</f>
        <v>0</v>
      </c>
      <c r="J147" s="237"/>
      <c r="K147" s="237">
        <f>IFERROR(_xlfn.XLOOKUP($A147,Input_Raw!$A:$A,Input_Raw!AO:AO),"")</f>
        <v>0</v>
      </c>
      <c r="L147" s="237">
        <f>IFERROR(_xlfn.XLOOKUP($A147,Input_Raw!$A:$A,Input_Raw!AP:AP),"")</f>
        <v>0</v>
      </c>
      <c r="M147" s="237">
        <f>IFERROR(_xlfn.XLOOKUP($A147,Input_Raw!$A:$A,Input_Raw!AS:AS),"")</f>
        <v>0</v>
      </c>
      <c r="N147" s="237">
        <f>IFERROR(_xlfn.XLOOKUP($A147,Input_Raw!$A:$A,Input_Raw!AT:AT),"")</f>
        <v>0</v>
      </c>
      <c r="O147" s="238" t="str">
        <f>IFERROR(1-(SUMIF(Plant_BD!$B:$B,$A147,Plant_BD!$AL:$AL)/($AA147+SUMIF(Plant_BD!$B:$B,$A147,Plant_BD!$AL:$AL))),"")</f>
        <v/>
      </c>
      <c r="P147" s="238"/>
      <c r="Q147" s="239"/>
      <c r="R147" s="238" t="str">
        <f>IFERROR(1-(SUMIF(Grid_BD!$B:$B,$A147,Grid_BD!$V:$V)/($AA147+SUMIF(Grid_BD!$B:$B,$A147,Grid_BD!$V:$V))),"")</f>
        <v/>
      </c>
      <c r="S147" s="234"/>
      <c r="T147" s="239"/>
      <c r="U147" s="240" t="str">
        <f t="shared" si="16"/>
        <v/>
      </c>
      <c r="V147" s="240" t="str">
        <f>IFERROR(_xlfn.XLOOKUP($A147,Input_Raw!$A:$A,Input_Raw!$BS:$BS),"")</f>
        <v/>
      </c>
      <c r="W147" s="241">
        <f t="shared" si="17"/>
        <v>0</v>
      </c>
      <c r="X147" s="233">
        <f>IFERROR(_xlfn.XLOOKUP($A147,Input_Raw!$A:$A,Input_Raw!$AW:$AW),"")</f>
        <v>0</v>
      </c>
      <c r="Y147" s="233">
        <f>IFERROR(_xlfn.XLOOKUP($A147,Input_Raw!$A:$A,Input_Raw!$BN:$BN),"")</f>
        <v>0</v>
      </c>
      <c r="Z147" s="233"/>
      <c r="AA147" s="233">
        <f>IFERROR(_xlfn.XLOOKUP($A147,Input_Raw!$A:$A,Input_Raw!$BO:$BO),"")</f>
        <v>0</v>
      </c>
      <c r="AB147" s="233">
        <f>IFERROR(_xlfn.XLOOKUP($A147,Input_Raw!$A:$A,Input_Raw!$BP:$BP),"")</f>
        <v>0</v>
      </c>
      <c r="AC147" s="242">
        <f>IFERROR(_xlfn.XLOOKUP($D147,'Modelling New'!$D:$D,'Modelling New'!P:P),"")</f>
        <v>5.58</v>
      </c>
      <c r="AD147" s="233">
        <f>IFERROR(_xlfn.XLOOKUP($D147,'Modelling New'!$D:$D,'Modelling New'!T:T)*1000,"")</f>
        <v>416394.03312492924</v>
      </c>
      <c r="AE147" s="243">
        <f>IFERROR(_xlfn.XLOOKUP($D147,'Modelling New'!$D:$D,'Modelling New'!$O:$O),"")</f>
        <v>0.84991556470989227</v>
      </c>
      <c r="AF147" s="243">
        <f>IFERROR(_xlfn.XLOOKUP($D147,'Modelling New'!$D:$D,'Modelling New'!$W:$W),"")</f>
        <v>0.19760536879504997</v>
      </c>
      <c r="AG147" s="243">
        <f>IFERROR(_xlfn.XLOOKUP($D147,'Modelling New'!$D:$D,'Modelling New'!$AE:$AE),"")</f>
        <v>0.995</v>
      </c>
      <c r="AH147" s="243">
        <f>IFERROR(_xlfn.XLOOKUP($D147,'Modelling New'!$D:$D,'Modelling New'!$AF:$AF),"")</f>
        <v>0.995</v>
      </c>
      <c r="AI147" s="234"/>
      <c r="AJ147" s="234"/>
      <c r="AK147" s="234"/>
      <c r="AL147" s="234"/>
      <c r="AM147" s="234"/>
      <c r="AN147" s="244"/>
      <c r="AO147" s="241"/>
      <c r="AP147" s="241"/>
      <c r="AQ147" s="241"/>
      <c r="AR147" s="233">
        <f>_xlfn.XLOOKUP($D147,'Modelling New'!$D:$D,'Modelling New'!$N:$N)</f>
        <v>87.8</v>
      </c>
      <c r="AS147" s="233">
        <f t="shared" si="18"/>
        <v>0</v>
      </c>
    </row>
    <row r="148" spans="1:45">
      <c r="A148" s="232">
        <f t="shared" si="19"/>
        <v>45985</v>
      </c>
      <c r="B148" s="233">
        <f>YEAR(Daily_KPI[[#This Row],[Date]])+IF(MONTH(Daily_KPI[[#This Row],[Date]])&gt;=4,1,0)</f>
        <v>2026</v>
      </c>
      <c r="C148" s="234">
        <f>YEAR(Daily_KPI[[#This Row],[Date]])</f>
        <v>2025</v>
      </c>
      <c r="D148" s="235">
        <f>Daily_KPI[[#This Row],[Date]]-DAY(Daily_KPI[[#This Row],[Date]])+1</f>
        <v>45962</v>
      </c>
      <c r="E148" s="234">
        <f t="shared" si="15"/>
        <v>30</v>
      </c>
      <c r="F148" s="236">
        <f>IFERROR(_xlfn.XLOOKUP($A148,Input_Raw!$A:$A,Input_Raw!$BM:$BM),"")</f>
        <v>0</v>
      </c>
      <c r="G148" s="237">
        <f>IFERROR(_xlfn.XLOOKUP($A148,Input_Raw!$A:$A,Input_Raw!$AN:$AN),"")</f>
        <v>0</v>
      </c>
      <c r="H148" s="237"/>
      <c r="I148" s="237">
        <f>IFERROR(_xlfn.XLOOKUP($A148,Input_Raw!$A:$A,Input_Raw!$AM:$AM),"")</f>
        <v>0</v>
      </c>
      <c r="J148" s="237"/>
      <c r="K148" s="237">
        <f>IFERROR(_xlfn.XLOOKUP($A148,Input_Raw!$A:$A,Input_Raw!AO:AO),"")</f>
        <v>0</v>
      </c>
      <c r="L148" s="237">
        <f>IFERROR(_xlfn.XLOOKUP($A148,Input_Raw!$A:$A,Input_Raw!AP:AP),"")</f>
        <v>0</v>
      </c>
      <c r="M148" s="237">
        <f>IFERROR(_xlfn.XLOOKUP($A148,Input_Raw!$A:$A,Input_Raw!AS:AS),"")</f>
        <v>0</v>
      </c>
      <c r="N148" s="237">
        <f>IFERROR(_xlfn.XLOOKUP($A148,Input_Raw!$A:$A,Input_Raw!AT:AT),"")</f>
        <v>0</v>
      </c>
      <c r="O148" s="238" t="str">
        <f>IFERROR(1-(SUMIF(Plant_BD!$B:$B,$A148,Plant_BD!$AL:$AL)/($AA148+SUMIF(Plant_BD!$B:$B,$A148,Plant_BD!$AL:$AL))),"")</f>
        <v/>
      </c>
      <c r="P148" s="238"/>
      <c r="Q148" s="239"/>
      <c r="R148" s="238" t="str">
        <f>IFERROR(1-(SUMIF(Grid_BD!$B:$B,$A148,Grid_BD!$V:$V)/($AA148+SUMIF(Grid_BD!$B:$B,$A148,Grid_BD!$V:$V))),"")</f>
        <v/>
      </c>
      <c r="S148" s="234"/>
      <c r="T148" s="239"/>
      <c r="U148" s="240" t="str">
        <f t="shared" si="16"/>
        <v/>
      </c>
      <c r="V148" s="240" t="str">
        <f>IFERROR(_xlfn.XLOOKUP($A148,Input_Raw!$A:$A,Input_Raw!$BS:$BS),"")</f>
        <v/>
      </c>
      <c r="W148" s="241">
        <f t="shared" si="17"/>
        <v>0</v>
      </c>
      <c r="X148" s="233">
        <f>IFERROR(_xlfn.XLOOKUP($A148,Input_Raw!$A:$A,Input_Raw!$AW:$AW),"")</f>
        <v>0</v>
      </c>
      <c r="Y148" s="233">
        <f>IFERROR(_xlfn.XLOOKUP($A148,Input_Raw!$A:$A,Input_Raw!$BN:$BN),"")</f>
        <v>0</v>
      </c>
      <c r="Z148" s="233"/>
      <c r="AA148" s="233">
        <f>IFERROR(_xlfn.XLOOKUP($A148,Input_Raw!$A:$A,Input_Raw!$BO:$BO),"")</f>
        <v>0</v>
      </c>
      <c r="AB148" s="233">
        <f>IFERROR(_xlfn.XLOOKUP($A148,Input_Raw!$A:$A,Input_Raw!$BP:$BP),"")</f>
        <v>0</v>
      </c>
      <c r="AC148" s="242">
        <f>IFERROR(_xlfn.XLOOKUP($D148,'Modelling New'!$D:$D,'Modelling New'!P:P),"")</f>
        <v>5.58</v>
      </c>
      <c r="AD148" s="233">
        <f>IFERROR(_xlfn.XLOOKUP($D148,'Modelling New'!$D:$D,'Modelling New'!T:T)*1000,"")</f>
        <v>416394.03312492924</v>
      </c>
      <c r="AE148" s="243">
        <f>IFERROR(_xlfn.XLOOKUP($D148,'Modelling New'!$D:$D,'Modelling New'!$O:$O),"")</f>
        <v>0.84991556470989227</v>
      </c>
      <c r="AF148" s="243">
        <f>IFERROR(_xlfn.XLOOKUP($D148,'Modelling New'!$D:$D,'Modelling New'!$W:$W),"")</f>
        <v>0.19760536879504997</v>
      </c>
      <c r="AG148" s="243">
        <f>IFERROR(_xlfn.XLOOKUP($D148,'Modelling New'!$D:$D,'Modelling New'!$AE:$AE),"")</f>
        <v>0.995</v>
      </c>
      <c r="AH148" s="243">
        <f>IFERROR(_xlfn.XLOOKUP($D148,'Modelling New'!$D:$D,'Modelling New'!$AF:$AF),"")</f>
        <v>0.995</v>
      </c>
      <c r="AI148" s="234"/>
      <c r="AJ148" s="234"/>
      <c r="AK148" s="234"/>
      <c r="AL148" s="234"/>
      <c r="AM148" s="234"/>
      <c r="AN148" s="244"/>
      <c r="AO148" s="241"/>
      <c r="AP148" s="241"/>
      <c r="AQ148" s="241"/>
      <c r="AR148" s="233">
        <f>_xlfn.XLOOKUP($D148,'Modelling New'!$D:$D,'Modelling New'!$N:$N)</f>
        <v>87.8</v>
      </c>
      <c r="AS148" s="233">
        <f t="shared" si="18"/>
        <v>0</v>
      </c>
    </row>
    <row r="149" spans="1:45">
      <c r="A149" s="232">
        <f t="shared" si="19"/>
        <v>45986</v>
      </c>
      <c r="B149" s="233">
        <f>YEAR(Daily_KPI[[#This Row],[Date]])+IF(MONTH(Daily_KPI[[#This Row],[Date]])&gt;=4,1,0)</f>
        <v>2026</v>
      </c>
      <c r="C149" s="234">
        <f>YEAR(Daily_KPI[[#This Row],[Date]])</f>
        <v>2025</v>
      </c>
      <c r="D149" s="235">
        <f>Daily_KPI[[#This Row],[Date]]-DAY(Daily_KPI[[#This Row],[Date]])+1</f>
        <v>45962</v>
      </c>
      <c r="E149" s="234">
        <f t="shared" si="15"/>
        <v>30</v>
      </c>
      <c r="F149" s="236">
        <f>IFERROR(_xlfn.XLOOKUP($A149,Input_Raw!$A:$A,Input_Raw!$BM:$BM),"")</f>
        <v>0</v>
      </c>
      <c r="G149" s="237">
        <f>IFERROR(_xlfn.XLOOKUP($A149,Input_Raw!$A:$A,Input_Raw!$AN:$AN),"")</f>
        <v>0</v>
      </c>
      <c r="H149" s="237"/>
      <c r="I149" s="237">
        <f>IFERROR(_xlfn.XLOOKUP($A149,Input_Raw!$A:$A,Input_Raw!$AM:$AM),"")</f>
        <v>0</v>
      </c>
      <c r="J149" s="237"/>
      <c r="K149" s="237">
        <f>IFERROR(_xlfn.XLOOKUP($A149,Input_Raw!$A:$A,Input_Raw!AO:AO),"")</f>
        <v>0</v>
      </c>
      <c r="L149" s="237">
        <f>IFERROR(_xlfn.XLOOKUP($A149,Input_Raw!$A:$A,Input_Raw!AP:AP),"")</f>
        <v>0</v>
      </c>
      <c r="M149" s="237">
        <f>IFERROR(_xlfn.XLOOKUP($A149,Input_Raw!$A:$A,Input_Raw!AS:AS),"")</f>
        <v>0</v>
      </c>
      <c r="N149" s="237">
        <f>IFERROR(_xlfn.XLOOKUP($A149,Input_Raw!$A:$A,Input_Raw!AT:AT),"")</f>
        <v>0</v>
      </c>
      <c r="O149" s="238" t="str">
        <f>IFERROR(1-(SUMIF(Plant_BD!$B:$B,$A149,Plant_BD!$AL:$AL)/($AA149+SUMIF(Plant_BD!$B:$B,$A149,Plant_BD!$AL:$AL))),"")</f>
        <v/>
      </c>
      <c r="P149" s="238"/>
      <c r="Q149" s="239"/>
      <c r="R149" s="238" t="str">
        <f>IFERROR(1-(SUMIF(Grid_BD!$B:$B,$A149,Grid_BD!$V:$V)/($AA149+SUMIF(Grid_BD!$B:$B,$A149,Grid_BD!$V:$V))),"")</f>
        <v/>
      </c>
      <c r="S149" s="234"/>
      <c r="T149" s="239"/>
      <c r="U149" s="240" t="str">
        <f t="shared" si="16"/>
        <v/>
      </c>
      <c r="V149" s="240" t="str">
        <f>IFERROR(_xlfn.XLOOKUP($A149,Input_Raw!$A:$A,Input_Raw!$BS:$BS),"")</f>
        <v/>
      </c>
      <c r="W149" s="241">
        <f t="shared" si="17"/>
        <v>0</v>
      </c>
      <c r="X149" s="233">
        <f>IFERROR(_xlfn.XLOOKUP($A149,Input_Raw!$A:$A,Input_Raw!$AW:$AW),"")</f>
        <v>0</v>
      </c>
      <c r="Y149" s="233">
        <f>IFERROR(_xlfn.XLOOKUP($A149,Input_Raw!$A:$A,Input_Raw!$BN:$BN),"")</f>
        <v>0</v>
      </c>
      <c r="Z149" s="233"/>
      <c r="AA149" s="233">
        <f>IFERROR(_xlfn.XLOOKUP($A149,Input_Raw!$A:$A,Input_Raw!$BO:$BO),"")</f>
        <v>0</v>
      </c>
      <c r="AB149" s="233">
        <f>IFERROR(_xlfn.XLOOKUP($A149,Input_Raw!$A:$A,Input_Raw!$BP:$BP),"")</f>
        <v>0</v>
      </c>
      <c r="AC149" s="242">
        <f>IFERROR(_xlfn.XLOOKUP($D149,'Modelling New'!$D:$D,'Modelling New'!P:P),"")</f>
        <v>5.58</v>
      </c>
      <c r="AD149" s="233">
        <f>IFERROR(_xlfn.XLOOKUP($D149,'Modelling New'!$D:$D,'Modelling New'!T:T)*1000,"")</f>
        <v>416394.03312492924</v>
      </c>
      <c r="AE149" s="243">
        <f>IFERROR(_xlfn.XLOOKUP($D149,'Modelling New'!$D:$D,'Modelling New'!$O:$O),"")</f>
        <v>0.84991556470989227</v>
      </c>
      <c r="AF149" s="243">
        <f>IFERROR(_xlfn.XLOOKUP($D149,'Modelling New'!$D:$D,'Modelling New'!$W:$W),"")</f>
        <v>0.19760536879504997</v>
      </c>
      <c r="AG149" s="243">
        <f>IFERROR(_xlfn.XLOOKUP($D149,'Modelling New'!$D:$D,'Modelling New'!$AE:$AE),"")</f>
        <v>0.995</v>
      </c>
      <c r="AH149" s="243">
        <f>IFERROR(_xlfn.XLOOKUP($D149,'Modelling New'!$D:$D,'Modelling New'!$AF:$AF),"")</f>
        <v>0.995</v>
      </c>
      <c r="AI149" s="234"/>
      <c r="AJ149" s="234"/>
      <c r="AK149" s="234"/>
      <c r="AL149" s="234"/>
      <c r="AM149" s="234"/>
      <c r="AN149" s="244"/>
      <c r="AO149" s="241"/>
      <c r="AP149" s="241"/>
      <c r="AQ149" s="241"/>
      <c r="AR149" s="233">
        <f>_xlfn.XLOOKUP($D149,'Modelling New'!$D:$D,'Modelling New'!$N:$N)</f>
        <v>87.8</v>
      </c>
      <c r="AS149" s="233">
        <f t="shared" si="18"/>
        <v>0</v>
      </c>
    </row>
    <row r="150" spans="1:45">
      <c r="A150" s="232">
        <f t="shared" si="19"/>
        <v>45987</v>
      </c>
      <c r="B150" s="233">
        <f>YEAR(Daily_KPI[[#This Row],[Date]])+IF(MONTH(Daily_KPI[[#This Row],[Date]])&gt;=4,1,0)</f>
        <v>2026</v>
      </c>
      <c r="C150" s="234">
        <f>YEAR(Daily_KPI[[#This Row],[Date]])</f>
        <v>2025</v>
      </c>
      <c r="D150" s="235">
        <f>Daily_KPI[[#This Row],[Date]]-DAY(Daily_KPI[[#This Row],[Date]])+1</f>
        <v>45962</v>
      </c>
      <c r="E150" s="234">
        <f t="shared" si="15"/>
        <v>30</v>
      </c>
      <c r="F150" s="236">
        <f>IFERROR(_xlfn.XLOOKUP($A150,Input_Raw!$A:$A,Input_Raw!$BM:$BM),"")</f>
        <v>0</v>
      </c>
      <c r="G150" s="237">
        <f>IFERROR(_xlfn.XLOOKUP($A150,Input_Raw!$A:$A,Input_Raw!$AN:$AN),"")</f>
        <v>0</v>
      </c>
      <c r="H150" s="237"/>
      <c r="I150" s="237">
        <f>IFERROR(_xlfn.XLOOKUP($A150,Input_Raw!$A:$A,Input_Raw!$AM:$AM),"")</f>
        <v>0</v>
      </c>
      <c r="J150" s="237"/>
      <c r="K150" s="237">
        <f>IFERROR(_xlfn.XLOOKUP($A150,Input_Raw!$A:$A,Input_Raw!AO:AO),"")</f>
        <v>0</v>
      </c>
      <c r="L150" s="237">
        <f>IFERROR(_xlfn.XLOOKUP($A150,Input_Raw!$A:$A,Input_Raw!AP:AP),"")</f>
        <v>0</v>
      </c>
      <c r="M150" s="237">
        <f>IFERROR(_xlfn.XLOOKUP($A150,Input_Raw!$A:$A,Input_Raw!AS:AS),"")</f>
        <v>0</v>
      </c>
      <c r="N150" s="237">
        <f>IFERROR(_xlfn.XLOOKUP($A150,Input_Raw!$A:$A,Input_Raw!AT:AT),"")</f>
        <v>0</v>
      </c>
      <c r="O150" s="238" t="str">
        <f>IFERROR(1-(SUMIF(Plant_BD!$B:$B,$A150,Plant_BD!$AL:$AL)/($AA150+SUMIF(Plant_BD!$B:$B,$A150,Plant_BD!$AL:$AL))),"")</f>
        <v/>
      </c>
      <c r="P150" s="238"/>
      <c r="Q150" s="239"/>
      <c r="R150" s="238" t="str">
        <f>IFERROR(1-(SUMIF(Grid_BD!$B:$B,$A150,Grid_BD!$V:$V)/($AA150+SUMIF(Grid_BD!$B:$B,$A150,Grid_BD!$V:$V))),"")</f>
        <v/>
      </c>
      <c r="S150" s="234"/>
      <c r="T150" s="239"/>
      <c r="U150" s="240" t="str">
        <f t="shared" si="16"/>
        <v/>
      </c>
      <c r="V150" s="240" t="str">
        <f>IFERROR(_xlfn.XLOOKUP($A150,Input_Raw!$A:$A,Input_Raw!$BS:$BS),"")</f>
        <v/>
      </c>
      <c r="W150" s="241">
        <f t="shared" si="17"/>
        <v>0</v>
      </c>
      <c r="X150" s="233">
        <f>IFERROR(_xlfn.XLOOKUP($A150,Input_Raw!$A:$A,Input_Raw!$AW:$AW),"")</f>
        <v>0</v>
      </c>
      <c r="Y150" s="233">
        <f>IFERROR(_xlfn.XLOOKUP($A150,Input_Raw!$A:$A,Input_Raw!$BN:$BN),"")</f>
        <v>0</v>
      </c>
      <c r="Z150" s="233"/>
      <c r="AA150" s="233">
        <f>IFERROR(_xlfn.XLOOKUP($A150,Input_Raw!$A:$A,Input_Raw!$BO:$BO),"")</f>
        <v>0</v>
      </c>
      <c r="AB150" s="233">
        <f>IFERROR(_xlfn.XLOOKUP($A150,Input_Raw!$A:$A,Input_Raw!$BP:$BP),"")</f>
        <v>0</v>
      </c>
      <c r="AC150" s="242">
        <f>IFERROR(_xlfn.XLOOKUP($D150,'Modelling New'!$D:$D,'Modelling New'!P:P),"")</f>
        <v>5.58</v>
      </c>
      <c r="AD150" s="233">
        <f>IFERROR(_xlfn.XLOOKUP($D150,'Modelling New'!$D:$D,'Modelling New'!T:T)*1000,"")</f>
        <v>416394.03312492924</v>
      </c>
      <c r="AE150" s="243">
        <f>IFERROR(_xlfn.XLOOKUP($D150,'Modelling New'!$D:$D,'Modelling New'!$O:$O),"")</f>
        <v>0.84991556470989227</v>
      </c>
      <c r="AF150" s="243">
        <f>IFERROR(_xlfn.XLOOKUP($D150,'Modelling New'!$D:$D,'Modelling New'!$W:$W),"")</f>
        <v>0.19760536879504997</v>
      </c>
      <c r="AG150" s="243">
        <f>IFERROR(_xlfn.XLOOKUP($D150,'Modelling New'!$D:$D,'Modelling New'!$AE:$AE),"")</f>
        <v>0.995</v>
      </c>
      <c r="AH150" s="243">
        <f>IFERROR(_xlfn.XLOOKUP($D150,'Modelling New'!$D:$D,'Modelling New'!$AF:$AF),"")</f>
        <v>0.995</v>
      </c>
      <c r="AI150" s="234"/>
      <c r="AJ150" s="234"/>
      <c r="AK150" s="234"/>
      <c r="AL150" s="234"/>
      <c r="AM150" s="234"/>
      <c r="AN150" s="244"/>
      <c r="AO150" s="241"/>
      <c r="AP150" s="241"/>
      <c r="AQ150" s="241"/>
      <c r="AR150" s="233">
        <f>_xlfn.XLOOKUP($D150,'Modelling New'!$D:$D,'Modelling New'!$N:$N)</f>
        <v>87.8</v>
      </c>
      <c r="AS150" s="233">
        <f t="shared" si="18"/>
        <v>0</v>
      </c>
    </row>
    <row r="151" spans="1:45">
      <c r="A151" s="232">
        <f t="shared" si="19"/>
        <v>45988</v>
      </c>
      <c r="B151" s="233">
        <f>YEAR(Daily_KPI[[#This Row],[Date]])+IF(MONTH(Daily_KPI[[#This Row],[Date]])&gt;=4,1,0)</f>
        <v>2026</v>
      </c>
      <c r="C151" s="234">
        <f>YEAR(Daily_KPI[[#This Row],[Date]])</f>
        <v>2025</v>
      </c>
      <c r="D151" s="235">
        <f>Daily_KPI[[#This Row],[Date]]-DAY(Daily_KPI[[#This Row],[Date]])+1</f>
        <v>45962</v>
      </c>
      <c r="E151" s="234">
        <f t="shared" si="15"/>
        <v>30</v>
      </c>
      <c r="F151" s="236">
        <f>IFERROR(_xlfn.XLOOKUP($A151,Input_Raw!$A:$A,Input_Raw!$BM:$BM),"")</f>
        <v>0</v>
      </c>
      <c r="G151" s="237">
        <f>IFERROR(_xlfn.XLOOKUP($A151,Input_Raw!$A:$A,Input_Raw!$AN:$AN),"")</f>
        <v>0</v>
      </c>
      <c r="H151" s="237"/>
      <c r="I151" s="237">
        <f>IFERROR(_xlfn.XLOOKUP($A151,Input_Raw!$A:$A,Input_Raw!$AM:$AM),"")</f>
        <v>0</v>
      </c>
      <c r="J151" s="237"/>
      <c r="K151" s="237">
        <f>IFERROR(_xlfn.XLOOKUP($A151,Input_Raw!$A:$A,Input_Raw!AO:AO),"")</f>
        <v>0</v>
      </c>
      <c r="L151" s="237">
        <f>IFERROR(_xlfn.XLOOKUP($A151,Input_Raw!$A:$A,Input_Raw!AP:AP),"")</f>
        <v>0</v>
      </c>
      <c r="M151" s="237">
        <f>IFERROR(_xlfn.XLOOKUP($A151,Input_Raw!$A:$A,Input_Raw!AS:AS),"")</f>
        <v>0</v>
      </c>
      <c r="N151" s="237">
        <f>IFERROR(_xlfn.XLOOKUP($A151,Input_Raw!$A:$A,Input_Raw!AT:AT),"")</f>
        <v>0</v>
      </c>
      <c r="O151" s="238" t="str">
        <f>IFERROR(1-(SUMIF(Plant_BD!$B:$B,$A151,Plant_BD!$AL:$AL)/($AA151+SUMIF(Plant_BD!$B:$B,$A151,Plant_BD!$AL:$AL))),"")</f>
        <v/>
      </c>
      <c r="P151" s="238"/>
      <c r="Q151" s="239"/>
      <c r="R151" s="238" t="str">
        <f>IFERROR(1-(SUMIF(Grid_BD!$B:$B,$A151,Grid_BD!$V:$V)/($AA151+SUMIF(Grid_BD!$B:$B,$A151,Grid_BD!$V:$V))),"")</f>
        <v/>
      </c>
      <c r="S151" s="234"/>
      <c r="T151" s="239"/>
      <c r="U151" s="240" t="str">
        <f t="shared" si="16"/>
        <v/>
      </c>
      <c r="V151" s="240" t="str">
        <f>IFERROR(_xlfn.XLOOKUP($A151,Input_Raw!$A:$A,Input_Raw!$BS:$BS),"")</f>
        <v/>
      </c>
      <c r="W151" s="241">
        <f t="shared" si="17"/>
        <v>0</v>
      </c>
      <c r="X151" s="233">
        <f>IFERROR(_xlfn.XLOOKUP($A151,Input_Raw!$A:$A,Input_Raw!$AW:$AW),"")</f>
        <v>0</v>
      </c>
      <c r="Y151" s="233">
        <f>IFERROR(_xlfn.XLOOKUP($A151,Input_Raw!$A:$A,Input_Raw!$BN:$BN),"")</f>
        <v>0</v>
      </c>
      <c r="Z151" s="233"/>
      <c r="AA151" s="233">
        <f>IFERROR(_xlfn.XLOOKUP($A151,Input_Raw!$A:$A,Input_Raw!$BO:$BO),"")</f>
        <v>0</v>
      </c>
      <c r="AB151" s="233">
        <f>IFERROR(_xlfn.XLOOKUP($A151,Input_Raw!$A:$A,Input_Raw!$BP:$BP),"")</f>
        <v>0</v>
      </c>
      <c r="AC151" s="242">
        <f>IFERROR(_xlfn.XLOOKUP($D151,'Modelling New'!$D:$D,'Modelling New'!P:P),"")</f>
        <v>5.58</v>
      </c>
      <c r="AD151" s="233">
        <f>IFERROR(_xlfn.XLOOKUP($D151,'Modelling New'!$D:$D,'Modelling New'!T:T)*1000,"")</f>
        <v>416394.03312492924</v>
      </c>
      <c r="AE151" s="243">
        <f>IFERROR(_xlfn.XLOOKUP($D151,'Modelling New'!$D:$D,'Modelling New'!$O:$O),"")</f>
        <v>0.84991556470989227</v>
      </c>
      <c r="AF151" s="243">
        <f>IFERROR(_xlfn.XLOOKUP($D151,'Modelling New'!$D:$D,'Modelling New'!$W:$W),"")</f>
        <v>0.19760536879504997</v>
      </c>
      <c r="AG151" s="243">
        <f>IFERROR(_xlfn.XLOOKUP($D151,'Modelling New'!$D:$D,'Modelling New'!$AE:$AE),"")</f>
        <v>0.995</v>
      </c>
      <c r="AH151" s="243">
        <f>IFERROR(_xlfn.XLOOKUP($D151,'Modelling New'!$D:$D,'Modelling New'!$AF:$AF),"")</f>
        <v>0.995</v>
      </c>
      <c r="AI151" s="234"/>
      <c r="AJ151" s="234"/>
      <c r="AK151" s="234"/>
      <c r="AL151" s="234"/>
      <c r="AM151" s="234"/>
      <c r="AN151" s="244"/>
      <c r="AO151" s="241"/>
      <c r="AP151" s="241"/>
      <c r="AQ151" s="241"/>
      <c r="AR151" s="233">
        <f>_xlfn.XLOOKUP($D151,'Modelling New'!$D:$D,'Modelling New'!$N:$N)</f>
        <v>87.8</v>
      </c>
      <c r="AS151" s="233">
        <f t="shared" si="18"/>
        <v>0</v>
      </c>
    </row>
    <row r="152" spans="1:45">
      <c r="A152" s="232">
        <f t="shared" si="19"/>
        <v>45989</v>
      </c>
      <c r="B152" s="233">
        <f>YEAR(Daily_KPI[[#This Row],[Date]])+IF(MONTH(Daily_KPI[[#This Row],[Date]])&gt;=4,1,0)</f>
        <v>2026</v>
      </c>
      <c r="C152" s="234">
        <f>YEAR(Daily_KPI[[#This Row],[Date]])</f>
        <v>2025</v>
      </c>
      <c r="D152" s="235">
        <f>Daily_KPI[[#This Row],[Date]]-DAY(Daily_KPI[[#This Row],[Date]])+1</f>
        <v>45962</v>
      </c>
      <c r="E152" s="234">
        <f t="shared" si="15"/>
        <v>30</v>
      </c>
      <c r="F152" s="236">
        <f>IFERROR(_xlfn.XLOOKUP($A152,Input_Raw!$A:$A,Input_Raw!$BM:$BM),"")</f>
        <v>0</v>
      </c>
      <c r="G152" s="237">
        <f>IFERROR(_xlfn.XLOOKUP($A152,Input_Raw!$A:$A,Input_Raw!$AN:$AN),"")</f>
        <v>0</v>
      </c>
      <c r="H152" s="237"/>
      <c r="I152" s="237">
        <f>IFERROR(_xlfn.XLOOKUP($A152,Input_Raw!$A:$A,Input_Raw!$AM:$AM),"")</f>
        <v>0</v>
      </c>
      <c r="J152" s="237"/>
      <c r="K152" s="237">
        <f>IFERROR(_xlfn.XLOOKUP($A152,Input_Raw!$A:$A,Input_Raw!AO:AO),"")</f>
        <v>0</v>
      </c>
      <c r="L152" s="237">
        <f>IFERROR(_xlfn.XLOOKUP($A152,Input_Raw!$A:$A,Input_Raw!AP:AP),"")</f>
        <v>0</v>
      </c>
      <c r="M152" s="237">
        <f>IFERROR(_xlfn.XLOOKUP($A152,Input_Raw!$A:$A,Input_Raw!AS:AS),"")</f>
        <v>0</v>
      </c>
      <c r="N152" s="237">
        <f>IFERROR(_xlfn.XLOOKUP($A152,Input_Raw!$A:$A,Input_Raw!AT:AT),"")</f>
        <v>0</v>
      </c>
      <c r="O152" s="238" t="str">
        <f>IFERROR(1-(SUMIF(Plant_BD!$B:$B,$A152,Plant_BD!$AL:$AL)/($AA152+SUMIF(Plant_BD!$B:$B,$A152,Plant_BD!$AL:$AL))),"")</f>
        <v/>
      </c>
      <c r="P152" s="238"/>
      <c r="Q152" s="239"/>
      <c r="R152" s="238" t="str">
        <f>IFERROR(1-(SUMIF(Grid_BD!$B:$B,$A152,Grid_BD!$V:$V)/($AA152+SUMIF(Grid_BD!$B:$B,$A152,Grid_BD!$V:$V))),"")</f>
        <v/>
      </c>
      <c r="S152" s="234"/>
      <c r="T152" s="239"/>
      <c r="U152" s="240" t="str">
        <f t="shared" si="16"/>
        <v/>
      </c>
      <c r="V152" s="240" t="str">
        <f>IFERROR(_xlfn.XLOOKUP($A152,Input_Raw!$A:$A,Input_Raw!$BS:$BS),"")</f>
        <v/>
      </c>
      <c r="W152" s="241">
        <f t="shared" si="17"/>
        <v>0</v>
      </c>
      <c r="X152" s="233">
        <f>IFERROR(_xlfn.XLOOKUP($A152,Input_Raw!$A:$A,Input_Raw!$AW:$AW),"")</f>
        <v>0</v>
      </c>
      <c r="Y152" s="233">
        <f>IFERROR(_xlfn.XLOOKUP($A152,Input_Raw!$A:$A,Input_Raw!$BN:$BN),"")</f>
        <v>0</v>
      </c>
      <c r="Z152" s="233"/>
      <c r="AA152" s="233">
        <f>IFERROR(_xlfn.XLOOKUP($A152,Input_Raw!$A:$A,Input_Raw!$BO:$BO),"")</f>
        <v>0</v>
      </c>
      <c r="AB152" s="233">
        <f>IFERROR(_xlfn.XLOOKUP($A152,Input_Raw!$A:$A,Input_Raw!$BP:$BP),"")</f>
        <v>0</v>
      </c>
      <c r="AC152" s="242">
        <f>IFERROR(_xlfn.XLOOKUP($D152,'Modelling New'!$D:$D,'Modelling New'!P:P),"")</f>
        <v>5.58</v>
      </c>
      <c r="AD152" s="233">
        <f>IFERROR(_xlfn.XLOOKUP($D152,'Modelling New'!$D:$D,'Modelling New'!T:T)*1000,"")</f>
        <v>416394.03312492924</v>
      </c>
      <c r="AE152" s="243">
        <f>IFERROR(_xlfn.XLOOKUP($D152,'Modelling New'!$D:$D,'Modelling New'!$O:$O),"")</f>
        <v>0.84991556470989227</v>
      </c>
      <c r="AF152" s="243">
        <f>IFERROR(_xlfn.XLOOKUP($D152,'Modelling New'!$D:$D,'Modelling New'!$W:$W),"")</f>
        <v>0.19760536879504997</v>
      </c>
      <c r="AG152" s="243">
        <f>IFERROR(_xlfn.XLOOKUP($D152,'Modelling New'!$D:$D,'Modelling New'!$AE:$AE),"")</f>
        <v>0.995</v>
      </c>
      <c r="AH152" s="243">
        <f>IFERROR(_xlfn.XLOOKUP($D152,'Modelling New'!$D:$D,'Modelling New'!$AF:$AF),"")</f>
        <v>0.995</v>
      </c>
      <c r="AI152" s="234"/>
      <c r="AJ152" s="234"/>
      <c r="AK152" s="234"/>
      <c r="AL152" s="234"/>
      <c r="AM152" s="234"/>
      <c r="AN152" s="244"/>
      <c r="AO152" s="241"/>
      <c r="AP152" s="241"/>
      <c r="AQ152" s="241"/>
      <c r="AR152" s="233">
        <f>_xlfn.XLOOKUP($D152,'Modelling New'!$D:$D,'Modelling New'!$N:$N)</f>
        <v>87.8</v>
      </c>
      <c r="AS152" s="233">
        <f t="shared" si="18"/>
        <v>0</v>
      </c>
    </row>
    <row r="153" spans="1:45">
      <c r="A153" s="232">
        <f t="shared" si="19"/>
        <v>45990</v>
      </c>
      <c r="B153" s="233">
        <f>YEAR(Daily_KPI[[#This Row],[Date]])+IF(MONTH(Daily_KPI[[#This Row],[Date]])&gt;=4,1,0)</f>
        <v>2026</v>
      </c>
      <c r="C153" s="234">
        <f>YEAR(Daily_KPI[[#This Row],[Date]])</f>
        <v>2025</v>
      </c>
      <c r="D153" s="235">
        <f>Daily_KPI[[#This Row],[Date]]-DAY(Daily_KPI[[#This Row],[Date]])+1</f>
        <v>45962</v>
      </c>
      <c r="E153" s="234">
        <f t="shared" si="15"/>
        <v>30</v>
      </c>
      <c r="F153" s="236">
        <f>IFERROR(_xlfn.XLOOKUP($A153,Input_Raw!$A:$A,Input_Raw!$BM:$BM),"")</f>
        <v>0</v>
      </c>
      <c r="G153" s="237">
        <f>IFERROR(_xlfn.XLOOKUP($A153,Input_Raw!$A:$A,Input_Raw!$AN:$AN),"")</f>
        <v>0</v>
      </c>
      <c r="H153" s="237"/>
      <c r="I153" s="237">
        <f>IFERROR(_xlfn.XLOOKUP($A153,Input_Raw!$A:$A,Input_Raw!$AM:$AM),"")</f>
        <v>0</v>
      </c>
      <c r="J153" s="237"/>
      <c r="K153" s="237">
        <f>IFERROR(_xlfn.XLOOKUP($A153,Input_Raw!$A:$A,Input_Raw!AO:AO),"")</f>
        <v>0</v>
      </c>
      <c r="L153" s="237">
        <f>IFERROR(_xlfn.XLOOKUP($A153,Input_Raw!$A:$A,Input_Raw!AP:AP),"")</f>
        <v>0</v>
      </c>
      <c r="M153" s="237">
        <f>IFERROR(_xlfn.XLOOKUP($A153,Input_Raw!$A:$A,Input_Raw!AS:AS),"")</f>
        <v>0</v>
      </c>
      <c r="N153" s="237">
        <f>IFERROR(_xlfn.XLOOKUP($A153,Input_Raw!$A:$A,Input_Raw!AT:AT),"")</f>
        <v>0</v>
      </c>
      <c r="O153" s="238" t="str">
        <f>IFERROR(1-(SUMIF(Plant_BD!$B:$B,$A153,Plant_BD!$AL:$AL)/($AA153+SUMIF(Plant_BD!$B:$B,$A153,Plant_BD!$AL:$AL))),"")</f>
        <v/>
      </c>
      <c r="P153" s="238"/>
      <c r="Q153" s="239"/>
      <c r="R153" s="238" t="str">
        <f>IFERROR(1-(SUMIF(Grid_BD!$B:$B,$A153,Grid_BD!$V:$V)/($AA153+SUMIF(Grid_BD!$B:$B,$A153,Grid_BD!$V:$V))),"")</f>
        <v/>
      </c>
      <c r="S153" s="234"/>
      <c r="T153" s="239"/>
      <c r="U153" s="240" t="str">
        <f t="shared" si="16"/>
        <v/>
      </c>
      <c r="V153" s="240" t="str">
        <f>IFERROR(_xlfn.XLOOKUP($A153,Input_Raw!$A:$A,Input_Raw!$BS:$BS),"")</f>
        <v/>
      </c>
      <c r="W153" s="241">
        <f t="shared" si="17"/>
        <v>0</v>
      </c>
      <c r="X153" s="233">
        <f>IFERROR(_xlfn.XLOOKUP($A153,Input_Raw!$A:$A,Input_Raw!$AW:$AW),"")</f>
        <v>0</v>
      </c>
      <c r="Y153" s="233">
        <f>IFERROR(_xlfn.XLOOKUP($A153,Input_Raw!$A:$A,Input_Raw!$BN:$BN),"")</f>
        <v>0</v>
      </c>
      <c r="Z153" s="233"/>
      <c r="AA153" s="233">
        <f>IFERROR(_xlfn.XLOOKUP($A153,Input_Raw!$A:$A,Input_Raw!$BO:$BO),"")</f>
        <v>0</v>
      </c>
      <c r="AB153" s="233">
        <f>IFERROR(_xlfn.XLOOKUP($A153,Input_Raw!$A:$A,Input_Raw!$BP:$BP),"")</f>
        <v>0</v>
      </c>
      <c r="AC153" s="242">
        <f>IFERROR(_xlfn.XLOOKUP($D153,'Modelling New'!$D:$D,'Modelling New'!P:P),"")</f>
        <v>5.58</v>
      </c>
      <c r="AD153" s="233">
        <f>IFERROR(_xlfn.XLOOKUP($D153,'Modelling New'!$D:$D,'Modelling New'!T:T)*1000,"")</f>
        <v>416394.03312492924</v>
      </c>
      <c r="AE153" s="243">
        <f>IFERROR(_xlfn.XLOOKUP($D153,'Modelling New'!$D:$D,'Modelling New'!$O:$O),"")</f>
        <v>0.84991556470989227</v>
      </c>
      <c r="AF153" s="243">
        <f>IFERROR(_xlfn.XLOOKUP($D153,'Modelling New'!$D:$D,'Modelling New'!$W:$W),"")</f>
        <v>0.19760536879504997</v>
      </c>
      <c r="AG153" s="243">
        <f>IFERROR(_xlfn.XLOOKUP($D153,'Modelling New'!$D:$D,'Modelling New'!$AE:$AE),"")</f>
        <v>0.995</v>
      </c>
      <c r="AH153" s="243">
        <f>IFERROR(_xlfn.XLOOKUP($D153,'Modelling New'!$D:$D,'Modelling New'!$AF:$AF),"")</f>
        <v>0.995</v>
      </c>
      <c r="AI153" s="234"/>
      <c r="AJ153" s="234"/>
      <c r="AK153" s="234"/>
      <c r="AL153" s="234"/>
      <c r="AM153" s="234"/>
      <c r="AN153" s="244"/>
      <c r="AO153" s="241"/>
      <c r="AP153" s="241"/>
      <c r="AQ153" s="241"/>
      <c r="AR153" s="233">
        <f>_xlfn.XLOOKUP($D153,'Modelling New'!$D:$D,'Modelling New'!$N:$N)</f>
        <v>87.8</v>
      </c>
      <c r="AS153" s="233">
        <f t="shared" si="18"/>
        <v>0</v>
      </c>
    </row>
    <row r="154" spans="1:45">
      <c r="A154" s="232">
        <f t="shared" si="19"/>
        <v>45991</v>
      </c>
      <c r="B154" s="233">
        <f>YEAR(Daily_KPI[[#This Row],[Date]])+IF(MONTH(Daily_KPI[[#This Row],[Date]])&gt;=4,1,0)</f>
        <v>2026</v>
      </c>
      <c r="C154" s="234">
        <f>YEAR(Daily_KPI[[#This Row],[Date]])</f>
        <v>2025</v>
      </c>
      <c r="D154" s="235">
        <f>Daily_KPI[[#This Row],[Date]]-DAY(Daily_KPI[[#This Row],[Date]])+1</f>
        <v>45962</v>
      </c>
      <c r="E154" s="234">
        <f t="shared" si="15"/>
        <v>30</v>
      </c>
      <c r="F154" s="236">
        <f>IFERROR(_xlfn.XLOOKUP($A154,Input_Raw!$A:$A,Input_Raw!$BM:$BM),"")</f>
        <v>0</v>
      </c>
      <c r="G154" s="237">
        <f>IFERROR(_xlfn.XLOOKUP($A154,Input_Raw!$A:$A,Input_Raw!$AN:$AN),"")</f>
        <v>0</v>
      </c>
      <c r="H154" s="237"/>
      <c r="I154" s="237">
        <f>IFERROR(_xlfn.XLOOKUP($A154,Input_Raw!$A:$A,Input_Raw!$AM:$AM),"")</f>
        <v>0</v>
      </c>
      <c r="J154" s="237"/>
      <c r="K154" s="237">
        <f>IFERROR(_xlfn.XLOOKUP($A154,Input_Raw!$A:$A,Input_Raw!AO:AO),"")</f>
        <v>0</v>
      </c>
      <c r="L154" s="237">
        <f>IFERROR(_xlfn.XLOOKUP($A154,Input_Raw!$A:$A,Input_Raw!AP:AP),"")</f>
        <v>0</v>
      </c>
      <c r="M154" s="237">
        <f>IFERROR(_xlfn.XLOOKUP($A154,Input_Raw!$A:$A,Input_Raw!AS:AS),"")</f>
        <v>0</v>
      </c>
      <c r="N154" s="237">
        <f>IFERROR(_xlfn.XLOOKUP($A154,Input_Raw!$A:$A,Input_Raw!AT:AT),"")</f>
        <v>0</v>
      </c>
      <c r="O154" s="238" t="str">
        <f>IFERROR(1-(SUMIF(Plant_BD!$B:$B,$A154,Plant_BD!$AL:$AL)/($AA154+SUMIF(Plant_BD!$B:$B,$A154,Plant_BD!$AL:$AL))),"")</f>
        <v/>
      </c>
      <c r="P154" s="238"/>
      <c r="Q154" s="239"/>
      <c r="R154" s="238" t="str">
        <f>IFERROR(1-(SUMIF(Grid_BD!$B:$B,$A154,Grid_BD!$V:$V)/($AA154+SUMIF(Grid_BD!$B:$B,$A154,Grid_BD!$V:$V))),"")</f>
        <v/>
      </c>
      <c r="S154" s="234"/>
      <c r="T154" s="239"/>
      <c r="U154" s="240" t="str">
        <f t="shared" si="16"/>
        <v/>
      </c>
      <c r="V154" s="240" t="str">
        <f>IFERROR(_xlfn.XLOOKUP($A154,Input_Raw!$A:$A,Input_Raw!$BS:$BS),"")</f>
        <v/>
      </c>
      <c r="W154" s="241">
        <f t="shared" si="17"/>
        <v>0</v>
      </c>
      <c r="X154" s="233">
        <f>IFERROR(_xlfn.XLOOKUP($A154,Input_Raw!$A:$A,Input_Raw!$AW:$AW),"")</f>
        <v>0</v>
      </c>
      <c r="Y154" s="233">
        <f>IFERROR(_xlfn.XLOOKUP($A154,Input_Raw!$A:$A,Input_Raw!$BN:$BN),"")</f>
        <v>0</v>
      </c>
      <c r="Z154" s="233"/>
      <c r="AA154" s="233">
        <f>IFERROR(_xlfn.XLOOKUP($A154,Input_Raw!$A:$A,Input_Raw!$BO:$BO),"")</f>
        <v>0</v>
      </c>
      <c r="AB154" s="233">
        <f>IFERROR(_xlfn.XLOOKUP($A154,Input_Raw!$A:$A,Input_Raw!$BP:$BP),"")</f>
        <v>0</v>
      </c>
      <c r="AC154" s="242">
        <f>IFERROR(_xlfn.XLOOKUP($D154,'Modelling New'!$D:$D,'Modelling New'!P:P),"")</f>
        <v>5.58</v>
      </c>
      <c r="AD154" s="233">
        <f>IFERROR(_xlfn.XLOOKUP($D154,'Modelling New'!$D:$D,'Modelling New'!T:T)*1000,"")</f>
        <v>416394.03312492924</v>
      </c>
      <c r="AE154" s="243">
        <f>IFERROR(_xlfn.XLOOKUP($D154,'Modelling New'!$D:$D,'Modelling New'!$O:$O),"")</f>
        <v>0.84991556470989227</v>
      </c>
      <c r="AF154" s="243">
        <f>IFERROR(_xlfn.XLOOKUP($D154,'Modelling New'!$D:$D,'Modelling New'!$W:$W),"")</f>
        <v>0.19760536879504997</v>
      </c>
      <c r="AG154" s="243">
        <f>IFERROR(_xlfn.XLOOKUP($D154,'Modelling New'!$D:$D,'Modelling New'!$AE:$AE),"")</f>
        <v>0.995</v>
      </c>
      <c r="AH154" s="243">
        <f>IFERROR(_xlfn.XLOOKUP($D154,'Modelling New'!$D:$D,'Modelling New'!$AF:$AF),"")</f>
        <v>0.995</v>
      </c>
      <c r="AI154" s="234"/>
      <c r="AJ154" s="234"/>
      <c r="AK154" s="234"/>
      <c r="AL154" s="234"/>
      <c r="AM154" s="234"/>
      <c r="AN154" s="244"/>
      <c r="AO154" s="241"/>
      <c r="AP154" s="241"/>
      <c r="AQ154" s="241"/>
      <c r="AR154" s="233">
        <f>_xlfn.XLOOKUP($D154,'Modelling New'!$D:$D,'Modelling New'!$N:$N)</f>
        <v>87.8</v>
      </c>
      <c r="AS154" s="233">
        <f t="shared" si="18"/>
        <v>0</v>
      </c>
    </row>
    <row r="155" spans="1:45">
      <c r="A155" s="232">
        <f t="shared" si="19"/>
        <v>45992</v>
      </c>
      <c r="B155" s="233">
        <f>YEAR(Daily_KPI[[#This Row],[Date]])+IF(MONTH(Daily_KPI[[#This Row],[Date]])&gt;=4,1,0)</f>
        <v>2026</v>
      </c>
      <c r="C155" s="234">
        <f>YEAR(Daily_KPI[[#This Row],[Date]])</f>
        <v>2025</v>
      </c>
      <c r="D155" s="235">
        <f>Daily_KPI[[#This Row],[Date]]-DAY(Daily_KPI[[#This Row],[Date]])+1</f>
        <v>45992</v>
      </c>
      <c r="E155" s="234">
        <f t="shared" si="15"/>
        <v>31</v>
      </c>
      <c r="F155" s="236">
        <f>IFERROR(_xlfn.XLOOKUP($A155,Input_Raw!$A:$A,Input_Raw!$BM:$BM),"")</f>
        <v>0</v>
      </c>
      <c r="G155" s="237">
        <f>IFERROR(_xlfn.XLOOKUP($A155,Input_Raw!$A:$A,Input_Raw!$AN:$AN),"")</f>
        <v>0</v>
      </c>
      <c r="H155" s="237"/>
      <c r="I155" s="237">
        <f>IFERROR(_xlfn.XLOOKUP($A155,Input_Raw!$A:$A,Input_Raw!$AM:$AM),"")</f>
        <v>0</v>
      </c>
      <c r="J155" s="237"/>
      <c r="K155" s="237">
        <f>IFERROR(_xlfn.XLOOKUP($A155,Input_Raw!$A:$A,Input_Raw!AO:AO),"")</f>
        <v>0</v>
      </c>
      <c r="L155" s="237">
        <f>IFERROR(_xlfn.XLOOKUP($A155,Input_Raw!$A:$A,Input_Raw!AP:AP),"")</f>
        <v>0</v>
      </c>
      <c r="M155" s="237">
        <f>IFERROR(_xlfn.XLOOKUP($A155,Input_Raw!$A:$A,Input_Raw!AS:AS),"")</f>
        <v>0</v>
      </c>
      <c r="N155" s="237">
        <f>IFERROR(_xlfn.XLOOKUP($A155,Input_Raw!$A:$A,Input_Raw!AT:AT),"")</f>
        <v>0</v>
      </c>
      <c r="O155" s="238" t="str">
        <f>IFERROR(1-(SUMIF(Plant_BD!$B:$B,$A155,Plant_BD!$AL:$AL)/($AA155+SUMIF(Plant_BD!$B:$B,$A155,Plant_BD!$AL:$AL))),"")</f>
        <v/>
      </c>
      <c r="P155" s="238"/>
      <c r="Q155" s="239"/>
      <c r="R155" s="238" t="str">
        <f>IFERROR(1-(SUMIF(Grid_BD!$B:$B,$A155,Grid_BD!$V:$V)/($AA155+SUMIF(Grid_BD!$B:$B,$A155,Grid_BD!$V:$V))),"")</f>
        <v/>
      </c>
      <c r="S155" s="234"/>
      <c r="T155" s="239"/>
      <c r="U155" s="240" t="str">
        <f t="shared" si="16"/>
        <v/>
      </c>
      <c r="V155" s="240" t="str">
        <f>IFERROR(_xlfn.XLOOKUP($A155,Input_Raw!$A:$A,Input_Raw!$BS:$BS),"")</f>
        <v/>
      </c>
      <c r="W155" s="241">
        <f t="shared" si="17"/>
        <v>0</v>
      </c>
      <c r="X155" s="233">
        <f>IFERROR(_xlfn.XLOOKUP($A155,Input_Raw!$A:$A,Input_Raw!$AW:$AW),"")</f>
        <v>0</v>
      </c>
      <c r="Y155" s="233">
        <f>IFERROR(_xlfn.XLOOKUP($A155,Input_Raw!$A:$A,Input_Raw!$BN:$BN),"")</f>
        <v>0</v>
      </c>
      <c r="Z155" s="233"/>
      <c r="AA155" s="233">
        <f>IFERROR(_xlfn.XLOOKUP($A155,Input_Raw!$A:$A,Input_Raw!$BO:$BO),"")</f>
        <v>0</v>
      </c>
      <c r="AB155" s="233">
        <f>IFERROR(_xlfn.XLOOKUP($A155,Input_Raw!$A:$A,Input_Raw!$BP:$BP),"")</f>
        <v>0</v>
      </c>
      <c r="AC155" s="242">
        <f>IFERROR(_xlfn.XLOOKUP($D155,'Modelling New'!$D:$D,'Modelling New'!P:P),"")</f>
        <v>5.5677419354838706</v>
      </c>
      <c r="AD155" s="233">
        <f>IFERROR(_xlfn.XLOOKUP($D155,'Modelling New'!$D:$D,'Modelling New'!T:T)*1000,"")</f>
        <v>415898.7612063344</v>
      </c>
      <c r="AE155" s="243">
        <f>IFERROR(_xlfn.XLOOKUP($D155,'Modelling New'!$D:$D,'Modelling New'!$O:$O),"")</f>
        <v>0.85077361625866543</v>
      </c>
      <c r="AF155" s="243">
        <f>IFERROR(_xlfn.XLOOKUP($D155,'Modelling New'!$D:$D,'Modelling New'!$W:$W),"")</f>
        <v>0.19737033086860975</v>
      </c>
      <c r="AG155" s="243">
        <f>IFERROR(_xlfn.XLOOKUP($D155,'Modelling New'!$D:$D,'Modelling New'!$AE:$AE),"")</f>
        <v>0.995</v>
      </c>
      <c r="AH155" s="243">
        <f>IFERROR(_xlfn.XLOOKUP($D155,'Modelling New'!$D:$D,'Modelling New'!$AF:$AF),"")</f>
        <v>0.995</v>
      </c>
      <c r="AI155" s="234"/>
      <c r="AJ155" s="234"/>
      <c r="AK155" s="234"/>
      <c r="AL155" s="234"/>
      <c r="AM155" s="234"/>
      <c r="AN155" s="244"/>
      <c r="AO155" s="241"/>
      <c r="AP155" s="241"/>
      <c r="AQ155" s="241"/>
      <c r="AR155" s="233">
        <f>_xlfn.XLOOKUP($D155,'Modelling New'!$D:$D,'Modelling New'!$N:$N)</f>
        <v>87.8</v>
      </c>
      <c r="AS155" s="233">
        <f t="shared" si="18"/>
        <v>0</v>
      </c>
    </row>
    <row r="156" spans="1:45">
      <c r="A156" s="232">
        <f t="shared" si="19"/>
        <v>45993</v>
      </c>
      <c r="B156" s="233">
        <f>YEAR(Daily_KPI[[#This Row],[Date]])+IF(MONTH(Daily_KPI[[#This Row],[Date]])&gt;=4,1,0)</f>
        <v>2026</v>
      </c>
      <c r="C156" s="234">
        <f>YEAR(Daily_KPI[[#This Row],[Date]])</f>
        <v>2025</v>
      </c>
      <c r="D156" s="235">
        <f>Daily_KPI[[#This Row],[Date]]-DAY(Daily_KPI[[#This Row],[Date]])+1</f>
        <v>45992</v>
      </c>
      <c r="E156" s="234">
        <f t="shared" si="15"/>
        <v>31</v>
      </c>
      <c r="F156" s="236">
        <f>IFERROR(_xlfn.XLOOKUP($A156,Input_Raw!$A:$A,Input_Raw!$BM:$BM),"")</f>
        <v>0</v>
      </c>
      <c r="G156" s="237">
        <f>IFERROR(_xlfn.XLOOKUP($A156,Input_Raw!$A:$A,Input_Raw!$AN:$AN),"")</f>
        <v>0</v>
      </c>
      <c r="H156" s="237"/>
      <c r="I156" s="237">
        <f>IFERROR(_xlfn.XLOOKUP($A156,Input_Raw!$A:$A,Input_Raw!$AM:$AM),"")</f>
        <v>0</v>
      </c>
      <c r="J156" s="237"/>
      <c r="K156" s="237">
        <f>IFERROR(_xlfn.XLOOKUP($A156,Input_Raw!$A:$A,Input_Raw!AO:AO),"")</f>
        <v>0</v>
      </c>
      <c r="L156" s="237">
        <f>IFERROR(_xlfn.XLOOKUP($A156,Input_Raw!$A:$A,Input_Raw!AP:AP),"")</f>
        <v>0</v>
      </c>
      <c r="M156" s="237">
        <f>IFERROR(_xlfn.XLOOKUP($A156,Input_Raw!$A:$A,Input_Raw!AS:AS),"")</f>
        <v>0</v>
      </c>
      <c r="N156" s="237">
        <f>IFERROR(_xlfn.XLOOKUP($A156,Input_Raw!$A:$A,Input_Raw!AT:AT),"")</f>
        <v>0</v>
      </c>
      <c r="O156" s="238" t="str">
        <f>IFERROR(1-(SUMIF(Plant_BD!$B:$B,$A156,Plant_BD!$AL:$AL)/($AA156+SUMIF(Plant_BD!$B:$B,$A156,Plant_BD!$AL:$AL))),"")</f>
        <v/>
      </c>
      <c r="P156" s="238"/>
      <c r="Q156" s="239"/>
      <c r="R156" s="238" t="str">
        <f>IFERROR(1-(SUMIF(Grid_BD!$B:$B,$A156,Grid_BD!$V:$V)/($AA156+SUMIF(Grid_BD!$B:$B,$A156,Grid_BD!$V:$V))),"")</f>
        <v/>
      </c>
      <c r="S156" s="234"/>
      <c r="T156" s="239"/>
      <c r="U156" s="240" t="str">
        <f t="shared" si="16"/>
        <v/>
      </c>
      <c r="V156" s="240" t="str">
        <f>IFERROR(_xlfn.XLOOKUP($A156,Input_Raw!$A:$A,Input_Raw!$BS:$BS),"")</f>
        <v/>
      </c>
      <c r="W156" s="241">
        <f t="shared" si="17"/>
        <v>0</v>
      </c>
      <c r="X156" s="233">
        <f>IFERROR(_xlfn.XLOOKUP($A156,Input_Raw!$A:$A,Input_Raw!$AW:$AW),"")</f>
        <v>0</v>
      </c>
      <c r="Y156" s="233">
        <f>IFERROR(_xlfn.XLOOKUP($A156,Input_Raw!$A:$A,Input_Raw!$BN:$BN),"")</f>
        <v>0</v>
      </c>
      <c r="Z156" s="233"/>
      <c r="AA156" s="233">
        <f>IFERROR(_xlfn.XLOOKUP($A156,Input_Raw!$A:$A,Input_Raw!$BO:$BO),"")</f>
        <v>0</v>
      </c>
      <c r="AB156" s="233">
        <f>IFERROR(_xlfn.XLOOKUP($A156,Input_Raw!$A:$A,Input_Raw!$BP:$BP),"")</f>
        <v>0</v>
      </c>
      <c r="AC156" s="242">
        <f>IFERROR(_xlfn.XLOOKUP($D156,'Modelling New'!$D:$D,'Modelling New'!P:P),"")</f>
        <v>5.5677419354838706</v>
      </c>
      <c r="AD156" s="233">
        <f>IFERROR(_xlfn.XLOOKUP($D156,'Modelling New'!$D:$D,'Modelling New'!T:T)*1000,"")</f>
        <v>415898.7612063344</v>
      </c>
      <c r="AE156" s="243">
        <f>IFERROR(_xlfn.XLOOKUP($D156,'Modelling New'!$D:$D,'Modelling New'!$O:$O),"")</f>
        <v>0.85077361625866543</v>
      </c>
      <c r="AF156" s="243">
        <f>IFERROR(_xlfn.XLOOKUP($D156,'Modelling New'!$D:$D,'Modelling New'!$W:$W),"")</f>
        <v>0.19737033086860975</v>
      </c>
      <c r="AG156" s="243">
        <f>IFERROR(_xlfn.XLOOKUP($D156,'Modelling New'!$D:$D,'Modelling New'!$AE:$AE),"")</f>
        <v>0.995</v>
      </c>
      <c r="AH156" s="243">
        <f>IFERROR(_xlfn.XLOOKUP($D156,'Modelling New'!$D:$D,'Modelling New'!$AF:$AF),"")</f>
        <v>0.995</v>
      </c>
      <c r="AI156" s="234"/>
      <c r="AJ156" s="234"/>
      <c r="AK156" s="234"/>
      <c r="AL156" s="234"/>
      <c r="AM156" s="234"/>
      <c r="AN156" s="244"/>
      <c r="AO156" s="241"/>
      <c r="AP156" s="241"/>
      <c r="AQ156" s="241"/>
      <c r="AR156" s="233">
        <f>_xlfn.XLOOKUP($D156,'Modelling New'!$D:$D,'Modelling New'!$N:$N)</f>
        <v>87.8</v>
      </c>
      <c r="AS156" s="233">
        <f t="shared" si="18"/>
        <v>0</v>
      </c>
    </row>
    <row r="157" spans="1:45">
      <c r="A157" s="232">
        <f t="shared" si="19"/>
        <v>45994</v>
      </c>
      <c r="B157" s="233">
        <f>YEAR(Daily_KPI[[#This Row],[Date]])+IF(MONTH(Daily_KPI[[#This Row],[Date]])&gt;=4,1,0)</f>
        <v>2026</v>
      </c>
      <c r="C157" s="234">
        <f>YEAR(Daily_KPI[[#This Row],[Date]])</f>
        <v>2025</v>
      </c>
      <c r="D157" s="235">
        <f>Daily_KPI[[#This Row],[Date]]-DAY(Daily_KPI[[#This Row],[Date]])+1</f>
        <v>45992</v>
      </c>
      <c r="E157" s="234">
        <f t="shared" si="15"/>
        <v>31</v>
      </c>
      <c r="F157" s="236">
        <f>IFERROR(_xlfn.XLOOKUP($A157,Input_Raw!$A:$A,Input_Raw!$BM:$BM),"")</f>
        <v>0</v>
      </c>
      <c r="G157" s="237">
        <f>IFERROR(_xlfn.XLOOKUP($A157,Input_Raw!$A:$A,Input_Raw!$AN:$AN),"")</f>
        <v>0</v>
      </c>
      <c r="H157" s="237"/>
      <c r="I157" s="237">
        <f>IFERROR(_xlfn.XLOOKUP($A157,Input_Raw!$A:$A,Input_Raw!$AM:$AM),"")</f>
        <v>0</v>
      </c>
      <c r="J157" s="237"/>
      <c r="K157" s="237">
        <f>IFERROR(_xlfn.XLOOKUP($A157,Input_Raw!$A:$A,Input_Raw!AO:AO),"")</f>
        <v>0</v>
      </c>
      <c r="L157" s="237">
        <f>IFERROR(_xlfn.XLOOKUP($A157,Input_Raw!$A:$A,Input_Raw!AP:AP),"")</f>
        <v>0</v>
      </c>
      <c r="M157" s="237">
        <f>IFERROR(_xlfn.XLOOKUP($A157,Input_Raw!$A:$A,Input_Raw!AS:AS),"")</f>
        <v>0</v>
      </c>
      <c r="N157" s="237">
        <f>IFERROR(_xlfn.XLOOKUP($A157,Input_Raw!$A:$A,Input_Raw!AT:AT),"")</f>
        <v>0</v>
      </c>
      <c r="O157" s="238" t="str">
        <f>IFERROR(1-(SUMIF(Plant_BD!$B:$B,$A157,Plant_BD!$AL:$AL)/($AA157+SUMIF(Plant_BD!$B:$B,$A157,Plant_BD!$AL:$AL))),"")</f>
        <v/>
      </c>
      <c r="P157" s="238"/>
      <c r="Q157" s="239"/>
      <c r="R157" s="238" t="str">
        <f>IFERROR(1-(SUMIF(Grid_BD!$B:$B,$A157,Grid_BD!$V:$V)/($AA157+SUMIF(Grid_BD!$B:$B,$A157,Grid_BD!$V:$V))),"")</f>
        <v/>
      </c>
      <c r="S157" s="234"/>
      <c r="T157" s="239"/>
      <c r="U157" s="240" t="str">
        <f t="shared" si="16"/>
        <v/>
      </c>
      <c r="V157" s="240" t="str">
        <f>IFERROR(_xlfn.XLOOKUP($A157,Input_Raw!$A:$A,Input_Raw!$BS:$BS),"")</f>
        <v/>
      </c>
      <c r="W157" s="241">
        <f t="shared" si="17"/>
        <v>0</v>
      </c>
      <c r="X157" s="233">
        <f>IFERROR(_xlfn.XLOOKUP($A157,Input_Raw!$A:$A,Input_Raw!$AW:$AW),"")</f>
        <v>0</v>
      </c>
      <c r="Y157" s="233">
        <f>IFERROR(_xlfn.XLOOKUP($A157,Input_Raw!$A:$A,Input_Raw!$BN:$BN),"")</f>
        <v>0</v>
      </c>
      <c r="Z157" s="233"/>
      <c r="AA157" s="233">
        <f>IFERROR(_xlfn.XLOOKUP($A157,Input_Raw!$A:$A,Input_Raw!$BO:$BO),"")</f>
        <v>0</v>
      </c>
      <c r="AB157" s="233">
        <f>IFERROR(_xlfn.XLOOKUP($A157,Input_Raw!$A:$A,Input_Raw!$BP:$BP),"")</f>
        <v>0</v>
      </c>
      <c r="AC157" s="242">
        <f>IFERROR(_xlfn.XLOOKUP($D157,'Modelling New'!$D:$D,'Modelling New'!P:P),"")</f>
        <v>5.5677419354838706</v>
      </c>
      <c r="AD157" s="233">
        <f>IFERROR(_xlfn.XLOOKUP($D157,'Modelling New'!$D:$D,'Modelling New'!T:T)*1000,"")</f>
        <v>415898.7612063344</v>
      </c>
      <c r="AE157" s="243">
        <f>IFERROR(_xlfn.XLOOKUP($D157,'Modelling New'!$D:$D,'Modelling New'!$O:$O),"")</f>
        <v>0.85077361625866543</v>
      </c>
      <c r="AF157" s="243">
        <f>IFERROR(_xlfn.XLOOKUP($D157,'Modelling New'!$D:$D,'Modelling New'!$W:$W),"")</f>
        <v>0.19737033086860975</v>
      </c>
      <c r="AG157" s="243">
        <f>IFERROR(_xlfn.XLOOKUP($D157,'Modelling New'!$D:$D,'Modelling New'!$AE:$AE),"")</f>
        <v>0.995</v>
      </c>
      <c r="AH157" s="243">
        <f>IFERROR(_xlfn.XLOOKUP($D157,'Modelling New'!$D:$D,'Modelling New'!$AF:$AF),"")</f>
        <v>0.995</v>
      </c>
      <c r="AI157" s="234"/>
      <c r="AJ157" s="234"/>
      <c r="AK157" s="234"/>
      <c r="AL157" s="234"/>
      <c r="AM157" s="234"/>
      <c r="AN157" s="244"/>
      <c r="AO157" s="241"/>
      <c r="AP157" s="241"/>
      <c r="AQ157" s="241"/>
      <c r="AR157" s="233">
        <f>_xlfn.XLOOKUP($D157,'Modelling New'!$D:$D,'Modelling New'!$N:$N)</f>
        <v>87.8</v>
      </c>
      <c r="AS157" s="233">
        <f t="shared" si="18"/>
        <v>0</v>
      </c>
    </row>
    <row r="158" spans="1:45">
      <c r="A158" s="232">
        <f t="shared" si="19"/>
        <v>45995</v>
      </c>
      <c r="B158" s="233">
        <f>YEAR(Daily_KPI[[#This Row],[Date]])+IF(MONTH(Daily_KPI[[#This Row],[Date]])&gt;=4,1,0)</f>
        <v>2026</v>
      </c>
      <c r="C158" s="234">
        <f>YEAR(Daily_KPI[[#This Row],[Date]])</f>
        <v>2025</v>
      </c>
      <c r="D158" s="235">
        <f>Daily_KPI[[#This Row],[Date]]-DAY(Daily_KPI[[#This Row],[Date]])+1</f>
        <v>45992</v>
      </c>
      <c r="E158" s="234">
        <f t="shared" si="15"/>
        <v>31</v>
      </c>
      <c r="F158" s="236">
        <f>IFERROR(_xlfn.XLOOKUP($A158,Input_Raw!$A:$A,Input_Raw!$BM:$BM),"")</f>
        <v>0</v>
      </c>
      <c r="G158" s="237">
        <f>IFERROR(_xlfn.XLOOKUP($A158,Input_Raw!$A:$A,Input_Raw!$AN:$AN),"")</f>
        <v>0</v>
      </c>
      <c r="H158" s="237"/>
      <c r="I158" s="237">
        <f>IFERROR(_xlfn.XLOOKUP($A158,Input_Raw!$A:$A,Input_Raw!$AM:$AM),"")</f>
        <v>0</v>
      </c>
      <c r="J158" s="237"/>
      <c r="K158" s="237">
        <f>IFERROR(_xlfn.XLOOKUP($A158,Input_Raw!$A:$A,Input_Raw!AO:AO),"")</f>
        <v>0</v>
      </c>
      <c r="L158" s="237">
        <f>IFERROR(_xlfn.XLOOKUP($A158,Input_Raw!$A:$A,Input_Raw!AP:AP),"")</f>
        <v>0</v>
      </c>
      <c r="M158" s="237">
        <f>IFERROR(_xlfn.XLOOKUP($A158,Input_Raw!$A:$A,Input_Raw!AS:AS),"")</f>
        <v>0</v>
      </c>
      <c r="N158" s="237">
        <f>IFERROR(_xlfn.XLOOKUP($A158,Input_Raw!$A:$A,Input_Raw!AT:AT),"")</f>
        <v>0</v>
      </c>
      <c r="O158" s="238" t="str">
        <f>IFERROR(1-(SUMIF(Plant_BD!$B:$B,$A158,Plant_BD!$AL:$AL)/($AA158+SUMIF(Plant_BD!$B:$B,$A158,Plant_BD!$AL:$AL))),"")</f>
        <v/>
      </c>
      <c r="P158" s="238"/>
      <c r="Q158" s="239"/>
      <c r="R158" s="238" t="str">
        <f>IFERROR(1-(SUMIF(Grid_BD!$B:$B,$A158,Grid_BD!$V:$V)/($AA158+SUMIF(Grid_BD!$B:$B,$A158,Grid_BD!$V:$V))),"")</f>
        <v/>
      </c>
      <c r="S158" s="234"/>
      <c r="T158" s="239"/>
      <c r="U158" s="240" t="str">
        <f t="shared" si="16"/>
        <v/>
      </c>
      <c r="V158" s="240" t="str">
        <f>IFERROR(_xlfn.XLOOKUP($A158,Input_Raw!$A:$A,Input_Raw!$BS:$BS),"")</f>
        <v/>
      </c>
      <c r="W158" s="241">
        <f t="shared" si="17"/>
        <v>0</v>
      </c>
      <c r="X158" s="233">
        <f>IFERROR(_xlfn.XLOOKUP($A158,Input_Raw!$A:$A,Input_Raw!$AW:$AW),"")</f>
        <v>0</v>
      </c>
      <c r="Y158" s="233">
        <f>IFERROR(_xlfn.XLOOKUP($A158,Input_Raw!$A:$A,Input_Raw!$BN:$BN),"")</f>
        <v>0</v>
      </c>
      <c r="Z158" s="233"/>
      <c r="AA158" s="233">
        <f>IFERROR(_xlfn.XLOOKUP($A158,Input_Raw!$A:$A,Input_Raw!$BO:$BO),"")</f>
        <v>0</v>
      </c>
      <c r="AB158" s="233">
        <f>IFERROR(_xlfn.XLOOKUP($A158,Input_Raw!$A:$A,Input_Raw!$BP:$BP),"")</f>
        <v>0</v>
      </c>
      <c r="AC158" s="242">
        <f>IFERROR(_xlfn.XLOOKUP($D158,'Modelling New'!$D:$D,'Modelling New'!P:P),"")</f>
        <v>5.5677419354838706</v>
      </c>
      <c r="AD158" s="233">
        <f>IFERROR(_xlfn.XLOOKUP($D158,'Modelling New'!$D:$D,'Modelling New'!T:T)*1000,"")</f>
        <v>415898.7612063344</v>
      </c>
      <c r="AE158" s="243">
        <f>IFERROR(_xlfn.XLOOKUP($D158,'Modelling New'!$D:$D,'Modelling New'!$O:$O),"")</f>
        <v>0.85077361625866543</v>
      </c>
      <c r="AF158" s="243">
        <f>IFERROR(_xlfn.XLOOKUP($D158,'Modelling New'!$D:$D,'Modelling New'!$W:$W),"")</f>
        <v>0.19737033086860975</v>
      </c>
      <c r="AG158" s="243">
        <f>IFERROR(_xlfn.XLOOKUP($D158,'Modelling New'!$D:$D,'Modelling New'!$AE:$AE),"")</f>
        <v>0.995</v>
      </c>
      <c r="AH158" s="243">
        <f>IFERROR(_xlfn.XLOOKUP($D158,'Modelling New'!$D:$D,'Modelling New'!$AF:$AF),"")</f>
        <v>0.995</v>
      </c>
      <c r="AI158" s="234"/>
      <c r="AJ158" s="234"/>
      <c r="AK158" s="234"/>
      <c r="AL158" s="234"/>
      <c r="AM158" s="234"/>
      <c r="AN158" s="244"/>
      <c r="AO158" s="241"/>
      <c r="AP158" s="241"/>
      <c r="AQ158" s="241"/>
      <c r="AR158" s="233">
        <f>_xlfn.XLOOKUP($D158,'Modelling New'!$D:$D,'Modelling New'!$N:$N)</f>
        <v>87.8</v>
      </c>
      <c r="AS158" s="233">
        <f t="shared" si="18"/>
        <v>0</v>
      </c>
    </row>
    <row r="159" spans="1:45">
      <c r="A159" s="232">
        <f t="shared" si="19"/>
        <v>45996</v>
      </c>
      <c r="B159" s="233">
        <f>YEAR(Daily_KPI[[#This Row],[Date]])+IF(MONTH(Daily_KPI[[#This Row],[Date]])&gt;=4,1,0)</f>
        <v>2026</v>
      </c>
      <c r="C159" s="234">
        <f>YEAR(Daily_KPI[[#This Row],[Date]])</f>
        <v>2025</v>
      </c>
      <c r="D159" s="235">
        <f>Daily_KPI[[#This Row],[Date]]-DAY(Daily_KPI[[#This Row],[Date]])+1</f>
        <v>45992</v>
      </c>
      <c r="E159" s="234">
        <f t="shared" si="15"/>
        <v>31</v>
      </c>
      <c r="F159" s="236">
        <f>IFERROR(_xlfn.XLOOKUP($A159,Input_Raw!$A:$A,Input_Raw!$BM:$BM),"")</f>
        <v>0</v>
      </c>
      <c r="G159" s="237">
        <f>IFERROR(_xlfn.XLOOKUP($A159,Input_Raw!$A:$A,Input_Raw!$AN:$AN),"")</f>
        <v>0</v>
      </c>
      <c r="H159" s="237"/>
      <c r="I159" s="237">
        <f>IFERROR(_xlfn.XLOOKUP($A159,Input_Raw!$A:$A,Input_Raw!$AM:$AM),"")</f>
        <v>0</v>
      </c>
      <c r="J159" s="237"/>
      <c r="K159" s="237">
        <f>IFERROR(_xlfn.XLOOKUP($A159,Input_Raw!$A:$A,Input_Raw!AO:AO),"")</f>
        <v>0</v>
      </c>
      <c r="L159" s="237">
        <f>IFERROR(_xlfn.XLOOKUP($A159,Input_Raw!$A:$A,Input_Raw!AP:AP),"")</f>
        <v>0</v>
      </c>
      <c r="M159" s="237">
        <f>IFERROR(_xlfn.XLOOKUP($A159,Input_Raw!$A:$A,Input_Raw!AS:AS),"")</f>
        <v>0</v>
      </c>
      <c r="N159" s="237">
        <f>IFERROR(_xlfn.XLOOKUP($A159,Input_Raw!$A:$A,Input_Raw!AT:AT),"")</f>
        <v>0</v>
      </c>
      <c r="O159" s="238" t="str">
        <f>IFERROR(1-(SUMIF(Plant_BD!$B:$B,$A159,Plant_BD!$AL:$AL)/($AA159+SUMIF(Plant_BD!$B:$B,$A159,Plant_BD!$AL:$AL))),"")</f>
        <v/>
      </c>
      <c r="P159" s="238"/>
      <c r="Q159" s="239"/>
      <c r="R159" s="238" t="str">
        <f>IFERROR(1-(SUMIF(Grid_BD!$B:$B,$A159,Grid_BD!$V:$V)/($AA159+SUMIF(Grid_BD!$B:$B,$A159,Grid_BD!$V:$V))),"")</f>
        <v/>
      </c>
      <c r="S159" s="234"/>
      <c r="T159" s="239"/>
      <c r="U159" s="240" t="str">
        <f t="shared" si="16"/>
        <v/>
      </c>
      <c r="V159" s="240" t="str">
        <f>IFERROR(_xlfn.XLOOKUP($A159,Input_Raw!$A:$A,Input_Raw!$BS:$BS),"")</f>
        <v/>
      </c>
      <c r="W159" s="241">
        <f t="shared" si="17"/>
        <v>0</v>
      </c>
      <c r="X159" s="233">
        <f>IFERROR(_xlfn.XLOOKUP($A159,Input_Raw!$A:$A,Input_Raw!$AW:$AW),"")</f>
        <v>0</v>
      </c>
      <c r="Y159" s="233">
        <f>IFERROR(_xlfn.XLOOKUP($A159,Input_Raw!$A:$A,Input_Raw!$BN:$BN),"")</f>
        <v>0</v>
      </c>
      <c r="Z159" s="233"/>
      <c r="AA159" s="233">
        <f>IFERROR(_xlfn.XLOOKUP($A159,Input_Raw!$A:$A,Input_Raw!$BO:$BO),"")</f>
        <v>0</v>
      </c>
      <c r="AB159" s="233">
        <f>IFERROR(_xlfn.XLOOKUP($A159,Input_Raw!$A:$A,Input_Raw!$BP:$BP),"")</f>
        <v>0</v>
      </c>
      <c r="AC159" s="242">
        <f>IFERROR(_xlfn.XLOOKUP($D159,'Modelling New'!$D:$D,'Modelling New'!P:P),"")</f>
        <v>5.5677419354838706</v>
      </c>
      <c r="AD159" s="233">
        <f>IFERROR(_xlfn.XLOOKUP($D159,'Modelling New'!$D:$D,'Modelling New'!T:T)*1000,"")</f>
        <v>415898.7612063344</v>
      </c>
      <c r="AE159" s="243">
        <f>IFERROR(_xlfn.XLOOKUP($D159,'Modelling New'!$D:$D,'Modelling New'!$O:$O),"")</f>
        <v>0.85077361625866543</v>
      </c>
      <c r="AF159" s="243">
        <f>IFERROR(_xlfn.XLOOKUP($D159,'Modelling New'!$D:$D,'Modelling New'!$W:$W),"")</f>
        <v>0.19737033086860975</v>
      </c>
      <c r="AG159" s="243">
        <f>IFERROR(_xlfn.XLOOKUP($D159,'Modelling New'!$D:$D,'Modelling New'!$AE:$AE),"")</f>
        <v>0.995</v>
      </c>
      <c r="AH159" s="243">
        <f>IFERROR(_xlfn.XLOOKUP($D159,'Modelling New'!$D:$D,'Modelling New'!$AF:$AF),"")</f>
        <v>0.995</v>
      </c>
      <c r="AI159" s="234"/>
      <c r="AJ159" s="234"/>
      <c r="AK159" s="234"/>
      <c r="AL159" s="234"/>
      <c r="AM159" s="234"/>
      <c r="AN159" s="244"/>
      <c r="AO159" s="241"/>
      <c r="AP159" s="241"/>
      <c r="AQ159" s="241"/>
      <c r="AR159" s="233">
        <f>_xlfn.XLOOKUP($D159,'Modelling New'!$D:$D,'Modelling New'!$N:$N)</f>
        <v>87.8</v>
      </c>
      <c r="AS159" s="233">
        <f t="shared" si="18"/>
        <v>0</v>
      </c>
    </row>
    <row r="160" spans="1:45">
      <c r="A160" s="232">
        <f t="shared" si="19"/>
        <v>45997</v>
      </c>
      <c r="B160" s="233">
        <f>YEAR(Daily_KPI[[#This Row],[Date]])+IF(MONTH(Daily_KPI[[#This Row],[Date]])&gt;=4,1,0)</f>
        <v>2026</v>
      </c>
      <c r="C160" s="234">
        <f>YEAR(Daily_KPI[[#This Row],[Date]])</f>
        <v>2025</v>
      </c>
      <c r="D160" s="235">
        <f>Daily_KPI[[#This Row],[Date]]-DAY(Daily_KPI[[#This Row],[Date]])+1</f>
        <v>45992</v>
      </c>
      <c r="E160" s="234">
        <f t="shared" si="15"/>
        <v>31</v>
      </c>
      <c r="F160" s="236">
        <f>IFERROR(_xlfn.XLOOKUP($A160,Input_Raw!$A:$A,Input_Raw!$BM:$BM),"")</f>
        <v>0</v>
      </c>
      <c r="G160" s="237">
        <f>IFERROR(_xlfn.XLOOKUP($A160,Input_Raw!$A:$A,Input_Raw!$AN:$AN),"")</f>
        <v>0</v>
      </c>
      <c r="H160" s="237"/>
      <c r="I160" s="237">
        <f>IFERROR(_xlfn.XLOOKUP($A160,Input_Raw!$A:$A,Input_Raw!$AM:$AM),"")</f>
        <v>0</v>
      </c>
      <c r="J160" s="237"/>
      <c r="K160" s="237">
        <f>IFERROR(_xlfn.XLOOKUP($A160,Input_Raw!$A:$A,Input_Raw!AO:AO),"")</f>
        <v>0</v>
      </c>
      <c r="L160" s="237">
        <f>IFERROR(_xlfn.XLOOKUP($A160,Input_Raw!$A:$A,Input_Raw!AP:AP),"")</f>
        <v>0</v>
      </c>
      <c r="M160" s="237">
        <f>IFERROR(_xlfn.XLOOKUP($A160,Input_Raw!$A:$A,Input_Raw!AS:AS),"")</f>
        <v>0</v>
      </c>
      <c r="N160" s="237">
        <f>IFERROR(_xlfn.XLOOKUP($A160,Input_Raw!$A:$A,Input_Raw!AT:AT),"")</f>
        <v>0</v>
      </c>
      <c r="O160" s="238" t="str">
        <f>IFERROR(1-(SUMIF(Plant_BD!$B:$B,$A160,Plant_BD!$AL:$AL)/($AA160+SUMIF(Plant_BD!$B:$B,$A160,Plant_BD!$AL:$AL))),"")</f>
        <v/>
      </c>
      <c r="P160" s="238"/>
      <c r="Q160" s="239"/>
      <c r="R160" s="238" t="str">
        <f>IFERROR(1-(SUMIF(Grid_BD!$B:$B,$A160,Grid_BD!$V:$V)/($AA160+SUMIF(Grid_BD!$B:$B,$A160,Grid_BD!$V:$V))),"")</f>
        <v/>
      </c>
      <c r="S160" s="234"/>
      <c r="T160" s="239"/>
      <c r="U160" s="240" t="str">
        <f t="shared" si="16"/>
        <v/>
      </c>
      <c r="V160" s="240" t="str">
        <f>IFERROR(_xlfn.XLOOKUP($A160,Input_Raw!$A:$A,Input_Raw!$BS:$BS),"")</f>
        <v/>
      </c>
      <c r="W160" s="241">
        <f t="shared" si="17"/>
        <v>0</v>
      </c>
      <c r="X160" s="233">
        <f>IFERROR(_xlfn.XLOOKUP($A160,Input_Raw!$A:$A,Input_Raw!$AW:$AW),"")</f>
        <v>0</v>
      </c>
      <c r="Y160" s="233">
        <f>IFERROR(_xlfn.XLOOKUP($A160,Input_Raw!$A:$A,Input_Raw!$BN:$BN),"")</f>
        <v>0</v>
      </c>
      <c r="Z160" s="233"/>
      <c r="AA160" s="233">
        <f>IFERROR(_xlfn.XLOOKUP($A160,Input_Raw!$A:$A,Input_Raw!$BO:$BO),"")</f>
        <v>0</v>
      </c>
      <c r="AB160" s="233">
        <f>IFERROR(_xlfn.XLOOKUP($A160,Input_Raw!$A:$A,Input_Raw!$BP:$BP),"")</f>
        <v>0</v>
      </c>
      <c r="AC160" s="242">
        <f>IFERROR(_xlfn.XLOOKUP($D160,'Modelling New'!$D:$D,'Modelling New'!P:P),"")</f>
        <v>5.5677419354838706</v>
      </c>
      <c r="AD160" s="233">
        <f>IFERROR(_xlfn.XLOOKUP($D160,'Modelling New'!$D:$D,'Modelling New'!T:T)*1000,"")</f>
        <v>415898.7612063344</v>
      </c>
      <c r="AE160" s="243">
        <f>IFERROR(_xlfn.XLOOKUP($D160,'Modelling New'!$D:$D,'Modelling New'!$O:$O),"")</f>
        <v>0.85077361625866543</v>
      </c>
      <c r="AF160" s="243">
        <f>IFERROR(_xlfn.XLOOKUP($D160,'Modelling New'!$D:$D,'Modelling New'!$W:$W),"")</f>
        <v>0.19737033086860975</v>
      </c>
      <c r="AG160" s="243">
        <f>IFERROR(_xlfn.XLOOKUP($D160,'Modelling New'!$D:$D,'Modelling New'!$AE:$AE),"")</f>
        <v>0.995</v>
      </c>
      <c r="AH160" s="243">
        <f>IFERROR(_xlfn.XLOOKUP($D160,'Modelling New'!$D:$D,'Modelling New'!$AF:$AF),"")</f>
        <v>0.995</v>
      </c>
      <c r="AI160" s="234"/>
      <c r="AJ160" s="234"/>
      <c r="AK160" s="234"/>
      <c r="AL160" s="234"/>
      <c r="AM160" s="234"/>
      <c r="AN160" s="244"/>
      <c r="AO160" s="241"/>
      <c r="AP160" s="241"/>
      <c r="AQ160" s="241"/>
      <c r="AR160" s="233">
        <f>_xlfn.XLOOKUP($D160,'Modelling New'!$D:$D,'Modelling New'!$N:$N)</f>
        <v>87.8</v>
      </c>
      <c r="AS160" s="233">
        <f t="shared" si="18"/>
        <v>0</v>
      </c>
    </row>
    <row r="161" spans="1:45">
      <c r="A161" s="232">
        <f t="shared" si="19"/>
        <v>45998</v>
      </c>
      <c r="B161" s="233">
        <f>YEAR(Daily_KPI[[#This Row],[Date]])+IF(MONTH(Daily_KPI[[#This Row],[Date]])&gt;=4,1,0)</f>
        <v>2026</v>
      </c>
      <c r="C161" s="234">
        <f>YEAR(Daily_KPI[[#This Row],[Date]])</f>
        <v>2025</v>
      </c>
      <c r="D161" s="235">
        <f>Daily_KPI[[#This Row],[Date]]-DAY(Daily_KPI[[#This Row],[Date]])+1</f>
        <v>45992</v>
      </c>
      <c r="E161" s="234">
        <f t="shared" si="15"/>
        <v>31</v>
      </c>
      <c r="F161" s="236">
        <f>IFERROR(_xlfn.XLOOKUP($A161,Input_Raw!$A:$A,Input_Raw!$BM:$BM),"")</f>
        <v>0</v>
      </c>
      <c r="G161" s="237">
        <f>IFERROR(_xlfn.XLOOKUP($A161,Input_Raw!$A:$A,Input_Raw!$AN:$AN),"")</f>
        <v>0</v>
      </c>
      <c r="H161" s="237"/>
      <c r="I161" s="237">
        <f>IFERROR(_xlfn.XLOOKUP($A161,Input_Raw!$A:$A,Input_Raw!$AM:$AM),"")</f>
        <v>0</v>
      </c>
      <c r="J161" s="237"/>
      <c r="K161" s="237">
        <f>IFERROR(_xlfn.XLOOKUP($A161,Input_Raw!$A:$A,Input_Raw!AO:AO),"")</f>
        <v>0</v>
      </c>
      <c r="L161" s="237">
        <f>IFERROR(_xlfn.XLOOKUP($A161,Input_Raw!$A:$A,Input_Raw!AP:AP),"")</f>
        <v>0</v>
      </c>
      <c r="M161" s="237">
        <f>IFERROR(_xlfn.XLOOKUP($A161,Input_Raw!$A:$A,Input_Raw!AS:AS),"")</f>
        <v>0</v>
      </c>
      <c r="N161" s="237">
        <f>IFERROR(_xlfn.XLOOKUP($A161,Input_Raw!$A:$A,Input_Raw!AT:AT),"")</f>
        <v>0</v>
      </c>
      <c r="O161" s="238" t="str">
        <f>IFERROR(1-(SUMIF(Plant_BD!$B:$B,$A161,Plant_BD!$AL:$AL)/($AA161+SUMIF(Plant_BD!$B:$B,$A161,Plant_BD!$AL:$AL))),"")</f>
        <v/>
      </c>
      <c r="P161" s="238"/>
      <c r="Q161" s="239"/>
      <c r="R161" s="238" t="str">
        <f>IFERROR(1-(SUMIF(Grid_BD!$B:$B,$A161,Grid_BD!$V:$V)/($AA161+SUMIF(Grid_BD!$B:$B,$A161,Grid_BD!$V:$V))),"")</f>
        <v/>
      </c>
      <c r="S161" s="234"/>
      <c r="T161" s="239"/>
      <c r="U161" s="240" t="str">
        <f t="shared" si="16"/>
        <v/>
      </c>
      <c r="V161" s="240" t="str">
        <f>IFERROR(_xlfn.XLOOKUP($A161,Input_Raw!$A:$A,Input_Raw!$BS:$BS),"")</f>
        <v/>
      </c>
      <c r="W161" s="241">
        <f t="shared" si="17"/>
        <v>0</v>
      </c>
      <c r="X161" s="233">
        <f>IFERROR(_xlfn.XLOOKUP($A161,Input_Raw!$A:$A,Input_Raw!$AW:$AW),"")</f>
        <v>0</v>
      </c>
      <c r="Y161" s="233">
        <f>IFERROR(_xlfn.XLOOKUP($A161,Input_Raw!$A:$A,Input_Raw!$BN:$BN),"")</f>
        <v>0</v>
      </c>
      <c r="Z161" s="233"/>
      <c r="AA161" s="233">
        <f>IFERROR(_xlfn.XLOOKUP($A161,Input_Raw!$A:$A,Input_Raw!$BO:$BO),"")</f>
        <v>0</v>
      </c>
      <c r="AB161" s="233">
        <f>IFERROR(_xlfn.XLOOKUP($A161,Input_Raw!$A:$A,Input_Raw!$BP:$BP),"")</f>
        <v>0</v>
      </c>
      <c r="AC161" s="242">
        <f>IFERROR(_xlfn.XLOOKUP($D161,'Modelling New'!$D:$D,'Modelling New'!P:P),"")</f>
        <v>5.5677419354838706</v>
      </c>
      <c r="AD161" s="233">
        <f>IFERROR(_xlfn.XLOOKUP($D161,'Modelling New'!$D:$D,'Modelling New'!T:T)*1000,"")</f>
        <v>415898.7612063344</v>
      </c>
      <c r="AE161" s="243">
        <f>IFERROR(_xlfn.XLOOKUP($D161,'Modelling New'!$D:$D,'Modelling New'!$O:$O),"")</f>
        <v>0.85077361625866543</v>
      </c>
      <c r="AF161" s="243">
        <f>IFERROR(_xlfn.XLOOKUP($D161,'Modelling New'!$D:$D,'Modelling New'!$W:$W),"")</f>
        <v>0.19737033086860975</v>
      </c>
      <c r="AG161" s="243">
        <f>IFERROR(_xlfn.XLOOKUP($D161,'Modelling New'!$D:$D,'Modelling New'!$AE:$AE),"")</f>
        <v>0.995</v>
      </c>
      <c r="AH161" s="243">
        <f>IFERROR(_xlfn.XLOOKUP($D161,'Modelling New'!$D:$D,'Modelling New'!$AF:$AF),"")</f>
        <v>0.995</v>
      </c>
      <c r="AI161" s="234"/>
      <c r="AJ161" s="234"/>
      <c r="AK161" s="234"/>
      <c r="AL161" s="234"/>
      <c r="AM161" s="234"/>
      <c r="AN161" s="244"/>
      <c r="AO161" s="241"/>
      <c r="AP161" s="241"/>
      <c r="AQ161" s="241"/>
      <c r="AR161" s="233">
        <f>_xlfn.XLOOKUP($D161,'Modelling New'!$D:$D,'Modelling New'!$N:$N)</f>
        <v>87.8</v>
      </c>
      <c r="AS161" s="233">
        <f t="shared" si="18"/>
        <v>0</v>
      </c>
    </row>
    <row r="162" spans="1:45">
      <c r="A162" s="232">
        <f t="shared" si="19"/>
        <v>45999</v>
      </c>
      <c r="B162" s="233">
        <f>YEAR(Daily_KPI[[#This Row],[Date]])+IF(MONTH(Daily_KPI[[#This Row],[Date]])&gt;=4,1,0)</f>
        <v>2026</v>
      </c>
      <c r="C162" s="234">
        <f>YEAR(Daily_KPI[[#This Row],[Date]])</f>
        <v>2025</v>
      </c>
      <c r="D162" s="235">
        <f>Daily_KPI[[#This Row],[Date]]-DAY(Daily_KPI[[#This Row],[Date]])+1</f>
        <v>45992</v>
      </c>
      <c r="E162" s="234">
        <f t="shared" si="15"/>
        <v>31</v>
      </c>
      <c r="F162" s="236">
        <f>IFERROR(_xlfn.XLOOKUP($A162,Input_Raw!$A:$A,Input_Raw!$BM:$BM),"")</f>
        <v>0</v>
      </c>
      <c r="G162" s="237">
        <f>IFERROR(_xlfn.XLOOKUP($A162,Input_Raw!$A:$A,Input_Raw!$AN:$AN),"")</f>
        <v>0</v>
      </c>
      <c r="H162" s="237"/>
      <c r="I162" s="237">
        <f>IFERROR(_xlfn.XLOOKUP($A162,Input_Raw!$A:$A,Input_Raw!$AM:$AM),"")</f>
        <v>0</v>
      </c>
      <c r="J162" s="237"/>
      <c r="K162" s="237">
        <f>IFERROR(_xlfn.XLOOKUP($A162,Input_Raw!$A:$A,Input_Raw!AO:AO),"")</f>
        <v>0</v>
      </c>
      <c r="L162" s="237">
        <f>IFERROR(_xlfn.XLOOKUP($A162,Input_Raw!$A:$A,Input_Raw!AP:AP),"")</f>
        <v>0</v>
      </c>
      <c r="M162" s="237">
        <f>IFERROR(_xlfn.XLOOKUP($A162,Input_Raw!$A:$A,Input_Raw!AS:AS),"")</f>
        <v>0</v>
      </c>
      <c r="N162" s="237">
        <f>IFERROR(_xlfn.XLOOKUP($A162,Input_Raw!$A:$A,Input_Raw!AT:AT),"")</f>
        <v>0</v>
      </c>
      <c r="O162" s="238" t="str">
        <f>IFERROR(1-(SUMIF(Plant_BD!$B:$B,$A162,Plant_BD!$AL:$AL)/($AA162+SUMIF(Plant_BD!$B:$B,$A162,Plant_BD!$AL:$AL))),"")</f>
        <v/>
      </c>
      <c r="P162" s="238"/>
      <c r="Q162" s="239"/>
      <c r="R162" s="238" t="str">
        <f>IFERROR(1-(SUMIF(Grid_BD!$B:$B,$A162,Grid_BD!$V:$V)/($AA162+SUMIF(Grid_BD!$B:$B,$A162,Grid_BD!$V:$V))),"")</f>
        <v/>
      </c>
      <c r="S162" s="234"/>
      <c r="T162" s="239"/>
      <c r="U162" s="240" t="str">
        <f t="shared" si="16"/>
        <v/>
      </c>
      <c r="V162" s="240" t="str">
        <f>IFERROR(_xlfn.XLOOKUP($A162,Input_Raw!$A:$A,Input_Raw!$BS:$BS),"")</f>
        <v/>
      </c>
      <c r="W162" s="241">
        <f t="shared" si="17"/>
        <v>0</v>
      </c>
      <c r="X162" s="233">
        <f>IFERROR(_xlfn.XLOOKUP($A162,Input_Raw!$A:$A,Input_Raw!$AW:$AW),"")</f>
        <v>0</v>
      </c>
      <c r="Y162" s="233">
        <f>IFERROR(_xlfn.XLOOKUP($A162,Input_Raw!$A:$A,Input_Raw!$BN:$BN),"")</f>
        <v>0</v>
      </c>
      <c r="Z162" s="233"/>
      <c r="AA162" s="233">
        <f>IFERROR(_xlfn.XLOOKUP($A162,Input_Raw!$A:$A,Input_Raw!$BO:$BO),"")</f>
        <v>0</v>
      </c>
      <c r="AB162" s="233">
        <f>IFERROR(_xlfn.XLOOKUP($A162,Input_Raw!$A:$A,Input_Raw!$BP:$BP),"")</f>
        <v>0</v>
      </c>
      <c r="AC162" s="242">
        <f>IFERROR(_xlfn.XLOOKUP($D162,'Modelling New'!$D:$D,'Modelling New'!P:P),"")</f>
        <v>5.5677419354838706</v>
      </c>
      <c r="AD162" s="233">
        <f>IFERROR(_xlfn.XLOOKUP($D162,'Modelling New'!$D:$D,'Modelling New'!T:T)*1000,"")</f>
        <v>415898.7612063344</v>
      </c>
      <c r="AE162" s="243">
        <f>IFERROR(_xlfn.XLOOKUP($D162,'Modelling New'!$D:$D,'Modelling New'!$O:$O),"")</f>
        <v>0.85077361625866543</v>
      </c>
      <c r="AF162" s="243">
        <f>IFERROR(_xlfn.XLOOKUP($D162,'Modelling New'!$D:$D,'Modelling New'!$W:$W),"")</f>
        <v>0.19737033086860975</v>
      </c>
      <c r="AG162" s="243">
        <f>IFERROR(_xlfn.XLOOKUP($D162,'Modelling New'!$D:$D,'Modelling New'!$AE:$AE),"")</f>
        <v>0.995</v>
      </c>
      <c r="AH162" s="243">
        <f>IFERROR(_xlfn.XLOOKUP($D162,'Modelling New'!$D:$D,'Modelling New'!$AF:$AF),"")</f>
        <v>0.995</v>
      </c>
      <c r="AI162" s="234"/>
      <c r="AJ162" s="234"/>
      <c r="AK162" s="234"/>
      <c r="AL162" s="234"/>
      <c r="AM162" s="234"/>
      <c r="AN162" s="244"/>
      <c r="AO162" s="241"/>
      <c r="AP162" s="241"/>
      <c r="AQ162" s="241"/>
      <c r="AR162" s="233">
        <f>_xlfn.XLOOKUP($D162,'Modelling New'!$D:$D,'Modelling New'!$N:$N)</f>
        <v>87.8</v>
      </c>
      <c r="AS162" s="233">
        <f t="shared" si="18"/>
        <v>0</v>
      </c>
    </row>
    <row r="163" spans="1:45">
      <c r="A163" s="232">
        <f t="shared" si="19"/>
        <v>46000</v>
      </c>
      <c r="B163" s="233">
        <f>YEAR(Daily_KPI[[#This Row],[Date]])+IF(MONTH(Daily_KPI[[#This Row],[Date]])&gt;=4,1,0)</f>
        <v>2026</v>
      </c>
      <c r="C163" s="234">
        <f>YEAR(Daily_KPI[[#This Row],[Date]])</f>
        <v>2025</v>
      </c>
      <c r="D163" s="235">
        <f>Daily_KPI[[#This Row],[Date]]-DAY(Daily_KPI[[#This Row],[Date]])+1</f>
        <v>45992</v>
      </c>
      <c r="E163" s="234">
        <f t="shared" si="15"/>
        <v>31</v>
      </c>
      <c r="F163" s="236">
        <f>IFERROR(_xlfn.XLOOKUP($A163,Input_Raw!$A:$A,Input_Raw!$BM:$BM),"")</f>
        <v>0</v>
      </c>
      <c r="G163" s="237">
        <f>IFERROR(_xlfn.XLOOKUP($A163,Input_Raw!$A:$A,Input_Raw!$AN:$AN),"")</f>
        <v>0</v>
      </c>
      <c r="H163" s="237"/>
      <c r="I163" s="237">
        <f>IFERROR(_xlfn.XLOOKUP($A163,Input_Raw!$A:$A,Input_Raw!$AM:$AM),"")</f>
        <v>0</v>
      </c>
      <c r="J163" s="237"/>
      <c r="K163" s="237">
        <f>IFERROR(_xlfn.XLOOKUP($A163,Input_Raw!$A:$A,Input_Raw!AO:AO),"")</f>
        <v>0</v>
      </c>
      <c r="L163" s="237">
        <f>IFERROR(_xlfn.XLOOKUP($A163,Input_Raw!$A:$A,Input_Raw!AP:AP),"")</f>
        <v>0</v>
      </c>
      <c r="M163" s="237">
        <f>IFERROR(_xlfn.XLOOKUP($A163,Input_Raw!$A:$A,Input_Raw!AS:AS),"")</f>
        <v>0</v>
      </c>
      <c r="N163" s="237">
        <f>IFERROR(_xlfn.XLOOKUP($A163,Input_Raw!$A:$A,Input_Raw!AT:AT),"")</f>
        <v>0</v>
      </c>
      <c r="O163" s="238" t="str">
        <f>IFERROR(1-(SUMIF(Plant_BD!$B:$B,$A163,Plant_BD!$AL:$AL)/($AA163+SUMIF(Plant_BD!$B:$B,$A163,Plant_BD!$AL:$AL))),"")</f>
        <v/>
      </c>
      <c r="P163" s="238"/>
      <c r="Q163" s="239"/>
      <c r="R163" s="238" t="str">
        <f>IFERROR(1-(SUMIF(Grid_BD!$B:$B,$A163,Grid_BD!$V:$V)/($AA163+SUMIF(Grid_BD!$B:$B,$A163,Grid_BD!$V:$V))),"")</f>
        <v/>
      </c>
      <c r="S163" s="234"/>
      <c r="T163" s="239"/>
      <c r="U163" s="240" t="str">
        <f t="shared" si="16"/>
        <v/>
      </c>
      <c r="V163" s="240" t="str">
        <f>IFERROR(_xlfn.XLOOKUP($A163,Input_Raw!$A:$A,Input_Raw!$BS:$BS),"")</f>
        <v/>
      </c>
      <c r="W163" s="241">
        <f t="shared" si="17"/>
        <v>0</v>
      </c>
      <c r="X163" s="233">
        <f>IFERROR(_xlfn.XLOOKUP($A163,Input_Raw!$A:$A,Input_Raw!$AW:$AW),"")</f>
        <v>0</v>
      </c>
      <c r="Y163" s="233">
        <f>IFERROR(_xlfn.XLOOKUP($A163,Input_Raw!$A:$A,Input_Raw!$BN:$BN),"")</f>
        <v>0</v>
      </c>
      <c r="Z163" s="233"/>
      <c r="AA163" s="233">
        <f>IFERROR(_xlfn.XLOOKUP($A163,Input_Raw!$A:$A,Input_Raw!$BO:$BO),"")</f>
        <v>0</v>
      </c>
      <c r="AB163" s="233">
        <f>IFERROR(_xlfn.XLOOKUP($A163,Input_Raw!$A:$A,Input_Raw!$BP:$BP),"")</f>
        <v>0</v>
      </c>
      <c r="AC163" s="242">
        <f>IFERROR(_xlfn.XLOOKUP($D163,'Modelling New'!$D:$D,'Modelling New'!P:P),"")</f>
        <v>5.5677419354838706</v>
      </c>
      <c r="AD163" s="233">
        <f>IFERROR(_xlfn.XLOOKUP($D163,'Modelling New'!$D:$D,'Modelling New'!T:T)*1000,"")</f>
        <v>415898.7612063344</v>
      </c>
      <c r="AE163" s="243">
        <f>IFERROR(_xlfn.XLOOKUP($D163,'Modelling New'!$D:$D,'Modelling New'!$O:$O),"")</f>
        <v>0.85077361625866543</v>
      </c>
      <c r="AF163" s="243">
        <f>IFERROR(_xlfn.XLOOKUP($D163,'Modelling New'!$D:$D,'Modelling New'!$W:$W),"")</f>
        <v>0.19737033086860975</v>
      </c>
      <c r="AG163" s="243">
        <f>IFERROR(_xlfn.XLOOKUP($D163,'Modelling New'!$D:$D,'Modelling New'!$AE:$AE),"")</f>
        <v>0.995</v>
      </c>
      <c r="AH163" s="243">
        <f>IFERROR(_xlfn.XLOOKUP($D163,'Modelling New'!$D:$D,'Modelling New'!$AF:$AF),"")</f>
        <v>0.995</v>
      </c>
      <c r="AI163" s="234"/>
      <c r="AJ163" s="234"/>
      <c r="AK163" s="234"/>
      <c r="AL163" s="234"/>
      <c r="AM163" s="234"/>
      <c r="AN163" s="244"/>
      <c r="AO163" s="241"/>
      <c r="AP163" s="241"/>
      <c r="AQ163" s="241"/>
      <c r="AR163" s="233">
        <f>_xlfn.XLOOKUP($D163,'Modelling New'!$D:$D,'Modelling New'!$N:$N)</f>
        <v>87.8</v>
      </c>
      <c r="AS163" s="233">
        <f t="shared" si="18"/>
        <v>0</v>
      </c>
    </row>
    <row r="164" spans="1:45">
      <c r="A164" s="232">
        <f t="shared" si="19"/>
        <v>46001</v>
      </c>
      <c r="B164" s="233">
        <f>YEAR(Daily_KPI[[#This Row],[Date]])+IF(MONTH(Daily_KPI[[#This Row],[Date]])&gt;=4,1,0)</f>
        <v>2026</v>
      </c>
      <c r="C164" s="234">
        <f>YEAR(Daily_KPI[[#This Row],[Date]])</f>
        <v>2025</v>
      </c>
      <c r="D164" s="235">
        <f>Daily_KPI[[#This Row],[Date]]-DAY(Daily_KPI[[#This Row],[Date]])+1</f>
        <v>45992</v>
      </c>
      <c r="E164" s="234">
        <f t="shared" si="15"/>
        <v>31</v>
      </c>
      <c r="F164" s="236">
        <f>IFERROR(_xlfn.XLOOKUP($A164,Input_Raw!$A:$A,Input_Raw!$BM:$BM),"")</f>
        <v>0</v>
      </c>
      <c r="G164" s="237">
        <f>IFERROR(_xlfn.XLOOKUP($A164,Input_Raw!$A:$A,Input_Raw!$AN:$AN),"")</f>
        <v>0</v>
      </c>
      <c r="H164" s="237"/>
      <c r="I164" s="237">
        <f>IFERROR(_xlfn.XLOOKUP($A164,Input_Raw!$A:$A,Input_Raw!$AM:$AM),"")</f>
        <v>0</v>
      </c>
      <c r="J164" s="237"/>
      <c r="K164" s="237">
        <f>IFERROR(_xlfn.XLOOKUP($A164,Input_Raw!$A:$A,Input_Raw!AO:AO),"")</f>
        <v>0</v>
      </c>
      <c r="L164" s="237">
        <f>IFERROR(_xlfn.XLOOKUP($A164,Input_Raw!$A:$A,Input_Raw!AP:AP),"")</f>
        <v>0</v>
      </c>
      <c r="M164" s="237">
        <f>IFERROR(_xlfn.XLOOKUP($A164,Input_Raw!$A:$A,Input_Raw!AS:AS),"")</f>
        <v>0</v>
      </c>
      <c r="N164" s="237">
        <f>IFERROR(_xlfn.XLOOKUP($A164,Input_Raw!$A:$A,Input_Raw!AT:AT),"")</f>
        <v>0</v>
      </c>
      <c r="O164" s="238" t="str">
        <f>IFERROR(1-(SUMIF(Plant_BD!$B:$B,$A164,Plant_BD!$AL:$AL)/($AA164+SUMIF(Plant_BD!$B:$B,$A164,Plant_BD!$AL:$AL))),"")</f>
        <v/>
      </c>
      <c r="P164" s="238"/>
      <c r="Q164" s="239"/>
      <c r="R164" s="238" t="str">
        <f>IFERROR(1-(SUMIF(Grid_BD!$B:$B,$A164,Grid_BD!$V:$V)/($AA164+SUMIF(Grid_BD!$B:$B,$A164,Grid_BD!$V:$V))),"")</f>
        <v/>
      </c>
      <c r="S164" s="234"/>
      <c r="T164" s="239"/>
      <c r="U164" s="240" t="str">
        <f t="shared" si="16"/>
        <v/>
      </c>
      <c r="V164" s="240" t="str">
        <f>IFERROR(_xlfn.XLOOKUP($A164,Input_Raw!$A:$A,Input_Raw!$BS:$BS),"")</f>
        <v/>
      </c>
      <c r="W164" s="241">
        <f t="shared" si="17"/>
        <v>0</v>
      </c>
      <c r="X164" s="233">
        <f>IFERROR(_xlfn.XLOOKUP($A164,Input_Raw!$A:$A,Input_Raw!$AW:$AW),"")</f>
        <v>0</v>
      </c>
      <c r="Y164" s="233">
        <f>IFERROR(_xlfn.XLOOKUP($A164,Input_Raw!$A:$A,Input_Raw!$BN:$BN),"")</f>
        <v>0</v>
      </c>
      <c r="Z164" s="233"/>
      <c r="AA164" s="233">
        <f>IFERROR(_xlfn.XLOOKUP($A164,Input_Raw!$A:$A,Input_Raw!$BO:$BO),"")</f>
        <v>0</v>
      </c>
      <c r="AB164" s="233">
        <f>IFERROR(_xlfn.XLOOKUP($A164,Input_Raw!$A:$A,Input_Raw!$BP:$BP),"")</f>
        <v>0</v>
      </c>
      <c r="AC164" s="242">
        <f>IFERROR(_xlfn.XLOOKUP($D164,'Modelling New'!$D:$D,'Modelling New'!P:P),"")</f>
        <v>5.5677419354838706</v>
      </c>
      <c r="AD164" s="233">
        <f>IFERROR(_xlfn.XLOOKUP($D164,'Modelling New'!$D:$D,'Modelling New'!T:T)*1000,"")</f>
        <v>415898.7612063344</v>
      </c>
      <c r="AE164" s="243">
        <f>IFERROR(_xlfn.XLOOKUP($D164,'Modelling New'!$D:$D,'Modelling New'!$O:$O),"")</f>
        <v>0.85077361625866543</v>
      </c>
      <c r="AF164" s="243">
        <f>IFERROR(_xlfn.XLOOKUP($D164,'Modelling New'!$D:$D,'Modelling New'!$W:$W),"")</f>
        <v>0.19737033086860975</v>
      </c>
      <c r="AG164" s="243">
        <f>IFERROR(_xlfn.XLOOKUP($D164,'Modelling New'!$D:$D,'Modelling New'!$AE:$AE),"")</f>
        <v>0.995</v>
      </c>
      <c r="AH164" s="243">
        <f>IFERROR(_xlfn.XLOOKUP($D164,'Modelling New'!$D:$D,'Modelling New'!$AF:$AF),"")</f>
        <v>0.995</v>
      </c>
      <c r="AI164" s="234"/>
      <c r="AJ164" s="234"/>
      <c r="AK164" s="234"/>
      <c r="AL164" s="234"/>
      <c r="AM164" s="234"/>
      <c r="AN164" s="244"/>
      <c r="AO164" s="241"/>
      <c r="AP164" s="241"/>
      <c r="AQ164" s="241"/>
      <c r="AR164" s="233">
        <f>_xlfn.XLOOKUP($D164,'Modelling New'!$D:$D,'Modelling New'!$N:$N)</f>
        <v>87.8</v>
      </c>
      <c r="AS164" s="233">
        <f t="shared" si="18"/>
        <v>0</v>
      </c>
    </row>
    <row r="165" spans="1:45">
      <c r="A165" s="232">
        <f t="shared" si="19"/>
        <v>46002</v>
      </c>
      <c r="B165" s="233">
        <f>YEAR(Daily_KPI[[#This Row],[Date]])+IF(MONTH(Daily_KPI[[#This Row],[Date]])&gt;=4,1,0)</f>
        <v>2026</v>
      </c>
      <c r="C165" s="234">
        <f>YEAR(Daily_KPI[[#This Row],[Date]])</f>
        <v>2025</v>
      </c>
      <c r="D165" s="235">
        <f>Daily_KPI[[#This Row],[Date]]-DAY(Daily_KPI[[#This Row],[Date]])+1</f>
        <v>45992</v>
      </c>
      <c r="E165" s="234">
        <f t="shared" si="15"/>
        <v>31</v>
      </c>
      <c r="F165" s="236">
        <f>IFERROR(_xlfn.XLOOKUP($A165,Input_Raw!$A:$A,Input_Raw!$BM:$BM),"")</f>
        <v>0</v>
      </c>
      <c r="G165" s="237">
        <f>IFERROR(_xlfn.XLOOKUP($A165,Input_Raw!$A:$A,Input_Raw!$AN:$AN),"")</f>
        <v>0</v>
      </c>
      <c r="H165" s="237"/>
      <c r="I165" s="237">
        <f>IFERROR(_xlfn.XLOOKUP($A165,Input_Raw!$A:$A,Input_Raw!$AM:$AM),"")</f>
        <v>0</v>
      </c>
      <c r="J165" s="237"/>
      <c r="K165" s="237">
        <f>IFERROR(_xlfn.XLOOKUP($A165,Input_Raw!$A:$A,Input_Raw!AO:AO),"")</f>
        <v>0</v>
      </c>
      <c r="L165" s="237">
        <f>IFERROR(_xlfn.XLOOKUP($A165,Input_Raw!$A:$A,Input_Raw!AP:AP),"")</f>
        <v>0</v>
      </c>
      <c r="M165" s="237">
        <f>IFERROR(_xlfn.XLOOKUP($A165,Input_Raw!$A:$A,Input_Raw!AS:AS),"")</f>
        <v>0</v>
      </c>
      <c r="N165" s="237">
        <f>IFERROR(_xlfn.XLOOKUP($A165,Input_Raw!$A:$A,Input_Raw!AT:AT),"")</f>
        <v>0</v>
      </c>
      <c r="O165" s="238" t="str">
        <f>IFERROR(1-(SUMIF(Plant_BD!$B:$B,$A165,Plant_BD!$AL:$AL)/($AA165+SUMIF(Plant_BD!$B:$B,$A165,Plant_BD!$AL:$AL))),"")</f>
        <v/>
      </c>
      <c r="P165" s="238"/>
      <c r="Q165" s="239"/>
      <c r="R165" s="238" t="str">
        <f>IFERROR(1-(SUMIF(Grid_BD!$B:$B,$A165,Grid_BD!$V:$V)/($AA165+SUMIF(Grid_BD!$B:$B,$A165,Grid_BD!$V:$V))),"")</f>
        <v/>
      </c>
      <c r="S165" s="234"/>
      <c r="T165" s="239"/>
      <c r="U165" s="240" t="str">
        <f t="shared" si="16"/>
        <v/>
      </c>
      <c r="V165" s="240" t="str">
        <f>IFERROR(_xlfn.XLOOKUP($A165,Input_Raw!$A:$A,Input_Raw!$BS:$BS),"")</f>
        <v/>
      </c>
      <c r="W165" s="241">
        <f t="shared" si="17"/>
        <v>0</v>
      </c>
      <c r="X165" s="233">
        <f>IFERROR(_xlfn.XLOOKUP($A165,Input_Raw!$A:$A,Input_Raw!$AW:$AW),"")</f>
        <v>0</v>
      </c>
      <c r="Y165" s="233">
        <f>IFERROR(_xlfn.XLOOKUP($A165,Input_Raw!$A:$A,Input_Raw!$BN:$BN),"")</f>
        <v>0</v>
      </c>
      <c r="Z165" s="233"/>
      <c r="AA165" s="233">
        <f>IFERROR(_xlfn.XLOOKUP($A165,Input_Raw!$A:$A,Input_Raw!$BO:$BO),"")</f>
        <v>0</v>
      </c>
      <c r="AB165" s="233">
        <f>IFERROR(_xlfn.XLOOKUP($A165,Input_Raw!$A:$A,Input_Raw!$BP:$BP),"")</f>
        <v>0</v>
      </c>
      <c r="AC165" s="242">
        <f>IFERROR(_xlfn.XLOOKUP($D165,'Modelling New'!$D:$D,'Modelling New'!P:P),"")</f>
        <v>5.5677419354838706</v>
      </c>
      <c r="AD165" s="233">
        <f>IFERROR(_xlfn.XLOOKUP($D165,'Modelling New'!$D:$D,'Modelling New'!T:T)*1000,"")</f>
        <v>415898.7612063344</v>
      </c>
      <c r="AE165" s="243">
        <f>IFERROR(_xlfn.XLOOKUP($D165,'Modelling New'!$D:$D,'Modelling New'!$O:$O),"")</f>
        <v>0.85077361625866543</v>
      </c>
      <c r="AF165" s="243">
        <f>IFERROR(_xlfn.XLOOKUP($D165,'Modelling New'!$D:$D,'Modelling New'!$W:$W),"")</f>
        <v>0.19737033086860975</v>
      </c>
      <c r="AG165" s="243">
        <f>IFERROR(_xlfn.XLOOKUP($D165,'Modelling New'!$D:$D,'Modelling New'!$AE:$AE),"")</f>
        <v>0.995</v>
      </c>
      <c r="AH165" s="243">
        <f>IFERROR(_xlfn.XLOOKUP($D165,'Modelling New'!$D:$D,'Modelling New'!$AF:$AF),"")</f>
        <v>0.995</v>
      </c>
      <c r="AI165" s="234"/>
      <c r="AJ165" s="234"/>
      <c r="AK165" s="234"/>
      <c r="AL165" s="234"/>
      <c r="AM165" s="234"/>
      <c r="AN165" s="244"/>
      <c r="AO165" s="241"/>
      <c r="AP165" s="241"/>
      <c r="AQ165" s="241"/>
      <c r="AR165" s="233">
        <f>_xlfn.XLOOKUP($D165,'Modelling New'!$D:$D,'Modelling New'!$N:$N)</f>
        <v>87.8</v>
      </c>
      <c r="AS165" s="233">
        <f t="shared" si="18"/>
        <v>0</v>
      </c>
    </row>
    <row r="166" spans="1:45">
      <c r="A166" s="232">
        <f t="shared" si="19"/>
        <v>46003</v>
      </c>
      <c r="B166" s="233">
        <f>YEAR(Daily_KPI[[#This Row],[Date]])+IF(MONTH(Daily_KPI[[#This Row],[Date]])&gt;=4,1,0)</f>
        <v>2026</v>
      </c>
      <c r="C166" s="234">
        <f>YEAR(Daily_KPI[[#This Row],[Date]])</f>
        <v>2025</v>
      </c>
      <c r="D166" s="235">
        <f>Daily_KPI[[#This Row],[Date]]-DAY(Daily_KPI[[#This Row],[Date]])+1</f>
        <v>45992</v>
      </c>
      <c r="E166" s="234">
        <f t="shared" si="15"/>
        <v>31</v>
      </c>
      <c r="F166" s="236">
        <f>IFERROR(_xlfn.XLOOKUP($A166,Input_Raw!$A:$A,Input_Raw!$BM:$BM),"")</f>
        <v>0</v>
      </c>
      <c r="G166" s="237">
        <f>IFERROR(_xlfn.XLOOKUP($A166,Input_Raw!$A:$A,Input_Raw!$AN:$AN),"")</f>
        <v>0</v>
      </c>
      <c r="H166" s="237"/>
      <c r="I166" s="237">
        <f>IFERROR(_xlfn.XLOOKUP($A166,Input_Raw!$A:$A,Input_Raw!$AM:$AM),"")</f>
        <v>0</v>
      </c>
      <c r="J166" s="237"/>
      <c r="K166" s="237">
        <f>IFERROR(_xlfn.XLOOKUP($A166,Input_Raw!$A:$A,Input_Raw!AO:AO),"")</f>
        <v>0</v>
      </c>
      <c r="L166" s="237">
        <f>IFERROR(_xlfn.XLOOKUP($A166,Input_Raw!$A:$A,Input_Raw!AP:AP),"")</f>
        <v>0</v>
      </c>
      <c r="M166" s="237">
        <f>IFERROR(_xlfn.XLOOKUP($A166,Input_Raw!$A:$A,Input_Raw!AS:AS),"")</f>
        <v>0</v>
      </c>
      <c r="N166" s="237">
        <f>IFERROR(_xlfn.XLOOKUP($A166,Input_Raw!$A:$A,Input_Raw!AT:AT),"")</f>
        <v>0</v>
      </c>
      <c r="O166" s="238" t="str">
        <f>IFERROR(1-(SUMIF(Plant_BD!$B:$B,$A166,Plant_BD!$AL:$AL)/($AA166+SUMIF(Plant_BD!$B:$B,$A166,Plant_BD!$AL:$AL))),"")</f>
        <v/>
      </c>
      <c r="P166" s="238"/>
      <c r="Q166" s="239"/>
      <c r="R166" s="238" t="str">
        <f>IFERROR(1-(SUMIF(Grid_BD!$B:$B,$A166,Grid_BD!$V:$V)/($AA166+SUMIF(Grid_BD!$B:$B,$A166,Grid_BD!$V:$V))),"")</f>
        <v/>
      </c>
      <c r="S166" s="234"/>
      <c r="T166" s="239"/>
      <c r="U166" s="240" t="str">
        <f t="shared" si="16"/>
        <v/>
      </c>
      <c r="V166" s="240" t="str">
        <f>IFERROR(_xlfn.XLOOKUP($A166,Input_Raw!$A:$A,Input_Raw!$BS:$BS),"")</f>
        <v/>
      </c>
      <c r="W166" s="241">
        <f t="shared" si="17"/>
        <v>0</v>
      </c>
      <c r="X166" s="233">
        <f>IFERROR(_xlfn.XLOOKUP($A166,Input_Raw!$A:$A,Input_Raw!$AW:$AW),"")</f>
        <v>0</v>
      </c>
      <c r="Y166" s="233">
        <f>IFERROR(_xlfn.XLOOKUP($A166,Input_Raw!$A:$A,Input_Raw!$BN:$BN),"")</f>
        <v>0</v>
      </c>
      <c r="Z166" s="233"/>
      <c r="AA166" s="233">
        <f>IFERROR(_xlfn.XLOOKUP($A166,Input_Raw!$A:$A,Input_Raw!$BO:$BO),"")</f>
        <v>0</v>
      </c>
      <c r="AB166" s="233">
        <f>IFERROR(_xlfn.XLOOKUP($A166,Input_Raw!$A:$A,Input_Raw!$BP:$BP),"")</f>
        <v>0</v>
      </c>
      <c r="AC166" s="242">
        <f>IFERROR(_xlfn.XLOOKUP($D166,'Modelling New'!$D:$D,'Modelling New'!P:P),"")</f>
        <v>5.5677419354838706</v>
      </c>
      <c r="AD166" s="233">
        <f>IFERROR(_xlfn.XLOOKUP($D166,'Modelling New'!$D:$D,'Modelling New'!T:T)*1000,"")</f>
        <v>415898.7612063344</v>
      </c>
      <c r="AE166" s="243">
        <f>IFERROR(_xlfn.XLOOKUP($D166,'Modelling New'!$D:$D,'Modelling New'!$O:$O),"")</f>
        <v>0.85077361625866543</v>
      </c>
      <c r="AF166" s="243">
        <f>IFERROR(_xlfn.XLOOKUP($D166,'Modelling New'!$D:$D,'Modelling New'!$W:$W),"")</f>
        <v>0.19737033086860975</v>
      </c>
      <c r="AG166" s="243">
        <f>IFERROR(_xlfn.XLOOKUP($D166,'Modelling New'!$D:$D,'Modelling New'!$AE:$AE),"")</f>
        <v>0.995</v>
      </c>
      <c r="AH166" s="243">
        <f>IFERROR(_xlfn.XLOOKUP($D166,'Modelling New'!$D:$D,'Modelling New'!$AF:$AF),"")</f>
        <v>0.995</v>
      </c>
      <c r="AI166" s="234"/>
      <c r="AJ166" s="234"/>
      <c r="AK166" s="234"/>
      <c r="AL166" s="234"/>
      <c r="AM166" s="234"/>
      <c r="AN166" s="244"/>
      <c r="AO166" s="241"/>
      <c r="AP166" s="241"/>
      <c r="AQ166" s="241"/>
      <c r="AR166" s="233">
        <f>_xlfn.XLOOKUP($D166,'Modelling New'!$D:$D,'Modelling New'!$N:$N)</f>
        <v>87.8</v>
      </c>
      <c r="AS166" s="233">
        <f t="shared" si="18"/>
        <v>0</v>
      </c>
    </row>
    <row r="167" spans="1:45">
      <c r="A167" s="232">
        <f t="shared" si="19"/>
        <v>46004</v>
      </c>
      <c r="B167" s="233">
        <f>YEAR(Daily_KPI[[#This Row],[Date]])+IF(MONTH(Daily_KPI[[#This Row],[Date]])&gt;=4,1,0)</f>
        <v>2026</v>
      </c>
      <c r="C167" s="234">
        <f>YEAR(Daily_KPI[[#This Row],[Date]])</f>
        <v>2025</v>
      </c>
      <c r="D167" s="235">
        <f>Daily_KPI[[#This Row],[Date]]-DAY(Daily_KPI[[#This Row],[Date]])+1</f>
        <v>45992</v>
      </c>
      <c r="E167" s="234">
        <f t="shared" si="15"/>
        <v>31</v>
      </c>
      <c r="F167" s="236">
        <f>IFERROR(_xlfn.XLOOKUP($A167,Input_Raw!$A:$A,Input_Raw!$BM:$BM),"")</f>
        <v>0</v>
      </c>
      <c r="G167" s="237">
        <f>IFERROR(_xlfn.XLOOKUP($A167,Input_Raw!$A:$A,Input_Raw!$AN:$AN),"")</f>
        <v>0</v>
      </c>
      <c r="H167" s="237"/>
      <c r="I167" s="237">
        <f>IFERROR(_xlfn.XLOOKUP($A167,Input_Raw!$A:$A,Input_Raw!$AM:$AM),"")</f>
        <v>0</v>
      </c>
      <c r="J167" s="237"/>
      <c r="K167" s="237">
        <f>IFERROR(_xlfn.XLOOKUP($A167,Input_Raw!$A:$A,Input_Raw!AO:AO),"")</f>
        <v>0</v>
      </c>
      <c r="L167" s="237">
        <f>IFERROR(_xlfn.XLOOKUP($A167,Input_Raw!$A:$A,Input_Raw!AP:AP),"")</f>
        <v>0</v>
      </c>
      <c r="M167" s="237">
        <f>IFERROR(_xlfn.XLOOKUP($A167,Input_Raw!$A:$A,Input_Raw!AS:AS),"")</f>
        <v>0</v>
      </c>
      <c r="N167" s="237">
        <f>IFERROR(_xlfn.XLOOKUP($A167,Input_Raw!$A:$A,Input_Raw!AT:AT),"")</f>
        <v>0</v>
      </c>
      <c r="O167" s="238" t="str">
        <f>IFERROR(1-(SUMIF(Plant_BD!$B:$B,$A167,Plant_BD!$AL:$AL)/($AA167+SUMIF(Plant_BD!$B:$B,$A167,Plant_BD!$AL:$AL))),"")</f>
        <v/>
      </c>
      <c r="P167" s="238"/>
      <c r="Q167" s="239"/>
      <c r="R167" s="238" t="str">
        <f>IFERROR(1-(SUMIF(Grid_BD!$B:$B,$A167,Grid_BD!$V:$V)/($AA167+SUMIF(Grid_BD!$B:$B,$A167,Grid_BD!$V:$V))),"")</f>
        <v/>
      </c>
      <c r="S167" s="234"/>
      <c r="T167" s="239"/>
      <c r="U167" s="240" t="str">
        <f t="shared" si="16"/>
        <v/>
      </c>
      <c r="V167" s="240" t="str">
        <f>IFERROR(_xlfn.XLOOKUP($A167,Input_Raw!$A:$A,Input_Raw!$BS:$BS),"")</f>
        <v/>
      </c>
      <c r="W167" s="241">
        <f t="shared" si="17"/>
        <v>0</v>
      </c>
      <c r="X167" s="233">
        <f>IFERROR(_xlfn.XLOOKUP($A167,Input_Raw!$A:$A,Input_Raw!$AW:$AW),"")</f>
        <v>0</v>
      </c>
      <c r="Y167" s="233">
        <f>IFERROR(_xlfn.XLOOKUP($A167,Input_Raw!$A:$A,Input_Raw!$BN:$BN),"")</f>
        <v>0</v>
      </c>
      <c r="Z167" s="233"/>
      <c r="AA167" s="233">
        <f>IFERROR(_xlfn.XLOOKUP($A167,Input_Raw!$A:$A,Input_Raw!$BO:$BO),"")</f>
        <v>0</v>
      </c>
      <c r="AB167" s="233">
        <f>IFERROR(_xlfn.XLOOKUP($A167,Input_Raw!$A:$A,Input_Raw!$BP:$BP),"")</f>
        <v>0</v>
      </c>
      <c r="AC167" s="242">
        <f>IFERROR(_xlfn.XLOOKUP($D167,'Modelling New'!$D:$D,'Modelling New'!P:P),"")</f>
        <v>5.5677419354838706</v>
      </c>
      <c r="AD167" s="233">
        <f>IFERROR(_xlfn.XLOOKUP($D167,'Modelling New'!$D:$D,'Modelling New'!T:T)*1000,"")</f>
        <v>415898.7612063344</v>
      </c>
      <c r="AE167" s="243">
        <f>IFERROR(_xlfn.XLOOKUP($D167,'Modelling New'!$D:$D,'Modelling New'!$O:$O),"")</f>
        <v>0.85077361625866543</v>
      </c>
      <c r="AF167" s="243">
        <f>IFERROR(_xlfn.XLOOKUP($D167,'Modelling New'!$D:$D,'Modelling New'!$W:$W),"")</f>
        <v>0.19737033086860975</v>
      </c>
      <c r="AG167" s="243">
        <f>IFERROR(_xlfn.XLOOKUP($D167,'Modelling New'!$D:$D,'Modelling New'!$AE:$AE),"")</f>
        <v>0.995</v>
      </c>
      <c r="AH167" s="243">
        <f>IFERROR(_xlfn.XLOOKUP($D167,'Modelling New'!$D:$D,'Modelling New'!$AF:$AF),"")</f>
        <v>0.995</v>
      </c>
      <c r="AI167" s="234"/>
      <c r="AJ167" s="234"/>
      <c r="AK167" s="234"/>
      <c r="AL167" s="234"/>
      <c r="AM167" s="234"/>
      <c r="AN167" s="244"/>
      <c r="AO167" s="241"/>
      <c r="AP167" s="241"/>
      <c r="AQ167" s="241"/>
      <c r="AR167" s="233">
        <f>_xlfn.XLOOKUP($D167,'Modelling New'!$D:$D,'Modelling New'!$N:$N)</f>
        <v>87.8</v>
      </c>
      <c r="AS167" s="233">
        <f t="shared" si="18"/>
        <v>0</v>
      </c>
    </row>
    <row r="168" spans="1:45">
      <c r="A168" s="232">
        <f t="shared" si="19"/>
        <v>46005</v>
      </c>
      <c r="B168" s="233">
        <f>YEAR(Daily_KPI[[#This Row],[Date]])+IF(MONTH(Daily_KPI[[#This Row],[Date]])&gt;=4,1,0)</f>
        <v>2026</v>
      </c>
      <c r="C168" s="234">
        <f>YEAR(Daily_KPI[[#This Row],[Date]])</f>
        <v>2025</v>
      </c>
      <c r="D168" s="235">
        <f>Daily_KPI[[#This Row],[Date]]-DAY(Daily_KPI[[#This Row],[Date]])+1</f>
        <v>45992</v>
      </c>
      <c r="E168" s="234">
        <f t="shared" si="15"/>
        <v>31</v>
      </c>
      <c r="F168" s="236">
        <f>IFERROR(_xlfn.XLOOKUP($A168,Input_Raw!$A:$A,Input_Raw!$BM:$BM),"")</f>
        <v>0</v>
      </c>
      <c r="G168" s="237">
        <f>IFERROR(_xlfn.XLOOKUP($A168,Input_Raw!$A:$A,Input_Raw!$AN:$AN),"")</f>
        <v>0</v>
      </c>
      <c r="H168" s="237"/>
      <c r="I168" s="237">
        <f>IFERROR(_xlfn.XLOOKUP($A168,Input_Raw!$A:$A,Input_Raw!$AM:$AM),"")</f>
        <v>0</v>
      </c>
      <c r="J168" s="237"/>
      <c r="K168" s="237">
        <f>IFERROR(_xlfn.XLOOKUP($A168,Input_Raw!$A:$A,Input_Raw!AO:AO),"")</f>
        <v>0</v>
      </c>
      <c r="L168" s="237">
        <f>IFERROR(_xlfn.XLOOKUP($A168,Input_Raw!$A:$A,Input_Raw!AP:AP),"")</f>
        <v>0</v>
      </c>
      <c r="M168" s="237">
        <f>IFERROR(_xlfn.XLOOKUP($A168,Input_Raw!$A:$A,Input_Raw!AS:AS),"")</f>
        <v>0</v>
      </c>
      <c r="N168" s="237">
        <f>IFERROR(_xlfn.XLOOKUP($A168,Input_Raw!$A:$A,Input_Raw!AT:AT),"")</f>
        <v>0</v>
      </c>
      <c r="O168" s="238" t="str">
        <f>IFERROR(1-(SUMIF(Plant_BD!$B:$B,$A168,Plant_BD!$AL:$AL)/($AA168+SUMIF(Plant_BD!$B:$B,$A168,Plant_BD!$AL:$AL))),"")</f>
        <v/>
      </c>
      <c r="P168" s="238"/>
      <c r="Q168" s="239"/>
      <c r="R168" s="238" t="str">
        <f>IFERROR(1-(SUMIF(Grid_BD!$B:$B,$A168,Grid_BD!$V:$V)/($AA168+SUMIF(Grid_BD!$B:$B,$A168,Grid_BD!$V:$V))),"")</f>
        <v/>
      </c>
      <c r="S168" s="234"/>
      <c r="T168" s="239"/>
      <c r="U168" s="240" t="str">
        <f t="shared" si="16"/>
        <v/>
      </c>
      <c r="V168" s="240" t="str">
        <f>IFERROR(_xlfn.XLOOKUP($A168,Input_Raw!$A:$A,Input_Raw!$BS:$BS),"")</f>
        <v/>
      </c>
      <c r="W168" s="241">
        <f t="shared" si="17"/>
        <v>0</v>
      </c>
      <c r="X168" s="233">
        <f>IFERROR(_xlfn.XLOOKUP($A168,Input_Raw!$A:$A,Input_Raw!$AW:$AW),"")</f>
        <v>0</v>
      </c>
      <c r="Y168" s="233">
        <f>IFERROR(_xlfn.XLOOKUP($A168,Input_Raw!$A:$A,Input_Raw!$BN:$BN),"")</f>
        <v>0</v>
      </c>
      <c r="Z168" s="233"/>
      <c r="AA168" s="233">
        <f>IFERROR(_xlfn.XLOOKUP($A168,Input_Raw!$A:$A,Input_Raw!$BO:$BO),"")</f>
        <v>0</v>
      </c>
      <c r="AB168" s="233">
        <f>IFERROR(_xlfn.XLOOKUP($A168,Input_Raw!$A:$A,Input_Raw!$BP:$BP),"")</f>
        <v>0</v>
      </c>
      <c r="AC168" s="242">
        <f>IFERROR(_xlfn.XLOOKUP($D168,'Modelling New'!$D:$D,'Modelling New'!P:P),"")</f>
        <v>5.5677419354838706</v>
      </c>
      <c r="AD168" s="233">
        <f>IFERROR(_xlfn.XLOOKUP($D168,'Modelling New'!$D:$D,'Modelling New'!T:T)*1000,"")</f>
        <v>415898.7612063344</v>
      </c>
      <c r="AE168" s="243">
        <f>IFERROR(_xlfn.XLOOKUP($D168,'Modelling New'!$D:$D,'Modelling New'!$O:$O),"")</f>
        <v>0.85077361625866543</v>
      </c>
      <c r="AF168" s="243">
        <f>IFERROR(_xlfn.XLOOKUP($D168,'Modelling New'!$D:$D,'Modelling New'!$W:$W),"")</f>
        <v>0.19737033086860975</v>
      </c>
      <c r="AG168" s="243">
        <f>IFERROR(_xlfn.XLOOKUP($D168,'Modelling New'!$D:$D,'Modelling New'!$AE:$AE),"")</f>
        <v>0.995</v>
      </c>
      <c r="AH168" s="243">
        <f>IFERROR(_xlfn.XLOOKUP($D168,'Modelling New'!$D:$D,'Modelling New'!$AF:$AF),"")</f>
        <v>0.995</v>
      </c>
      <c r="AI168" s="234"/>
      <c r="AJ168" s="234"/>
      <c r="AK168" s="234"/>
      <c r="AL168" s="234"/>
      <c r="AM168" s="234"/>
      <c r="AN168" s="244"/>
      <c r="AO168" s="241"/>
      <c r="AP168" s="241"/>
      <c r="AQ168" s="241"/>
      <c r="AR168" s="233">
        <f>_xlfn.XLOOKUP($D168,'Modelling New'!$D:$D,'Modelling New'!$N:$N)</f>
        <v>87.8</v>
      </c>
      <c r="AS168" s="233">
        <f t="shared" si="18"/>
        <v>0</v>
      </c>
    </row>
    <row r="169" spans="1:45">
      <c r="A169" s="232">
        <f t="shared" si="19"/>
        <v>46006</v>
      </c>
      <c r="B169" s="233">
        <f>YEAR(Daily_KPI[[#This Row],[Date]])+IF(MONTH(Daily_KPI[[#This Row],[Date]])&gt;=4,1,0)</f>
        <v>2026</v>
      </c>
      <c r="C169" s="234">
        <f>YEAR(Daily_KPI[[#This Row],[Date]])</f>
        <v>2025</v>
      </c>
      <c r="D169" s="235">
        <f>Daily_KPI[[#This Row],[Date]]-DAY(Daily_KPI[[#This Row],[Date]])+1</f>
        <v>45992</v>
      </c>
      <c r="E169" s="234">
        <f t="shared" si="15"/>
        <v>31</v>
      </c>
      <c r="F169" s="236">
        <f>IFERROR(_xlfn.XLOOKUP($A169,Input_Raw!$A:$A,Input_Raw!$BM:$BM),"")</f>
        <v>0</v>
      </c>
      <c r="G169" s="237">
        <f>IFERROR(_xlfn.XLOOKUP($A169,Input_Raw!$A:$A,Input_Raw!$AN:$AN),"")</f>
        <v>0</v>
      </c>
      <c r="H169" s="237"/>
      <c r="I169" s="237">
        <f>IFERROR(_xlfn.XLOOKUP($A169,Input_Raw!$A:$A,Input_Raw!$AM:$AM),"")</f>
        <v>0</v>
      </c>
      <c r="J169" s="237"/>
      <c r="K169" s="237">
        <f>IFERROR(_xlfn.XLOOKUP($A169,Input_Raw!$A:$A,Input_Raw!AO:AO),"")</f>
        <v>0</v>
      </c>
      <c r="L169" s="237">
        <f>IFERROR(_xlfn.XLOOKUP($A169,Input_Raw!$A:$A,Input_Raw!AP:AP),"")</f>
        <v>0</v>
      </c>
      <c r="M169" s="237">
        <f>IFERROR(_xlfn.XLOOKUP($A169,Input_Raw!$A:$A,Input_Raw!AS:AS),"")</f>
        <v>0</v>
      </c>
      <c r="N169" s="237">
        <f>IFERROR(_xlfn.XLOOKUP($A169,Input_Raw!$A:$A,Input_Raw!AT:AT),"")</f>
        <v>0</v>
      </c>
      <c r="O169" s="238" t="str">
        <f>IFERROR(1-(SUMIF(Plant_BD!$B:$B,$A169,Plant_BD!$AL:$AL)/($AA169+SUMIF(Plant_BD!$B:$B,$A169,Plant_BD!$AL:$AL))),"")</f>
        <v/>
      </c>
      <c r="P169" s="238"/>
      <c r="Q169" s="239"/>
      <c r="R169" s="238" t="str">
        <f>IFERROR(1-(SUMIF(Grid_BD!$B:$B,$A169,Grid_BD!$V:$V)/($AA169+SUMIF(Grid_BD!$B:$B,$A169,Grid_BD!$V:$V))),"")</f>
        <v/>
      </c>
      <c r="S169" s="234"/>
      <c r="T169" s="239"/>
      <c r="U169" s="240" t="str">
        <f t="shared" si="16"/>
        <v/>
      </c>
      <c r="V169" s="240" t="str">
        <f>IFERROR(_xlfn.XLOOKUP($A169,Input_Raw!$A:$A,Input_Raw!$BS:$BS),"")</f>
        <v/>
      </c>
      <c r="W169" s="241">
        <f t="shared" si="17"/>
        <v>0</v>
      </c>
      <c r="X169" s="233">
        <f>IFERROR(_xlfn.XLOOKUP($A169,Input_Raw!$A:$A,Input_Raw!$AW:$AW),"")</f>
        <v>0</v>
      </c>
      <c r="Y169" s="233">
        <f>IFERROR(_xlfn.XLOOKUP($A169,Input_Raw!$A:$A,Input_Raw!$BN:$BN),"")</f>
        <v>0</v>
      </c>
      <c r="Z169" s="233"/>
      <c r="AA169" s="233">
        <f>IFERROR(_xlfn.XLOOKUP($A169,Input_Raw!$A:$A,Input_Raw!$BO:$BO),"")</f>
        <v>0</v>
      </c>
      <c r="AB169" s="233">
        <f>IFERROR(_xlfn.XLOOKUP($A169,Input_Raw!$A:$A,Input_Raw!$BP:$BP),"")</f>
        <v>0</v>
      </c>
      <c r="AC169" s="242">
        <f>IFERROR(_xlfn.XLOOKUP($D169,'Modelling New'!$D:$D,'Modelling New'!P:P),"")</f>
        <v>5.5677419354838706</v>
      </c>
      <c r="AD169" s="233">
        <f>IFERROR(_xlfn.XLOOKUP($D169,'Modelling New'!$D:$D,'Modelling New'!T:T)*1000,"")</f>
        <v>415898.7612063344</v>
      </c>
      <c r="AE169" s="243">
        <f>IFERROR(_xlfn.XLOOKUP($D169,'Modelling New'!$D:$D,'Modelling New'!$O:$O),"")</f>
        <v>0.85077361625866543</v>
      </c>
      <c r="AF169" s="243">
        <f>IFERROR(_xlfn.XLOOKUP($D169,'Modelling New'!$D:$D,'Modelling New'!$W:$W),"")</f>
        <v>0.19737033086860975</v>
      </c>
      <c r="AG169" s="243">
        <f>IFERROR(_xlfn.XLOOKUP($D169,'Modelling New'!$D:$D,'Modelling New'!$AE:$AE),"")</f>
        <v>0.995</v>
      </c>
      <c r="AH169" s="243">
        <f>IFERROR(_xlfn.XLOOKUP($D169,'Modelling New'!$D:$D,'Modelling New'!$AF:$AF),"")</f>
        <v>0.995</v>
      </c>
      <c r="AI169" s="234"/>
      <c r="AJ169" s="234"/>
      <c r="AK169" s="234"/>
      <c r="AL169" s="234"/>
      <c r="AM169" s="234"/>
      <c r="AN169" s="244"/>
      <c r="AO169" s="241"/>
      <c r="AP169" s="241"/>
      <c r="AQ169" s="241"/>
      <c r="AR169" s="233">
        <f>_xlfn.XLOOKUP($D169,'Modelling New'!$D:$D,'Modelling New'!$N:$N)</f>
        <v>87.8</v>
      </c>
      <c r="AS169" s="233">
        <f t="shared" si="18"/>
        <v>0</v>
      </c>
    </row>
    <row r="170" spans="1:45">
      <c r="A170" s="232">
        <f t="shared" si="19"/>
        <v>46007</v>
      </c>
      <c r="B170" s="233">
        <f>YEAR(Daily_KPI[[#This Row],[Date]])+IF(MONTH(Daily_KPI[[#This Row],[Date]])&gt;=4,1,0)</f>
        <v>2026</v>
      </c>
      <c r="C170" s="234">
        <f>YEAR(Daily_KPI[[#This Row],[Date]])</f>
        <v>2025</v>
      </c>
      <c r="D170" s="235">
        <f>Daily_KPI[[#This Row],[Date]]-DAY(Daily_KPI[[#This Row],[Date]])+1</f>
        <v>45992</v>
      </c>
      <c r="E170" s="234">
        <f t="shared" si="15"/>
        <v>31</v>
      </c>
      <c r="F170" s="236">
        <f>IFERROR(_xlfn.XLOOKUP($A170,Input_Raw!$A:$A,Input_Raw!$BM:$BM),"")</f>
        <v>0</v>
      </c>
      <c r="G170" s="237">
        <f>IFERROR(_xlfn.XLOOKUP($A170,Input_Raw!$A:$A,Input_Raw!$AN:$AN),"")</f>
        <v>0</v>
      </c>
      <c r="H170" s="237"/>
      <c r="I170" s="237">
        <f>IFERROR(_xlfn.XLOOKUP($A170,Input_Raw!$A:$A,Input_Raw!$AM:$AM),"")</f>
        <v>0</v>
      </c>
      <c r="J170" s="237"/>
      <c r="K170" s="237">
        <f>IFERROR(_xlfn.XLOOKUP($A170,Input_Raw!$A:$A,Input_Raw!AO:AO),"")</f>
        <v>0</v>
      </c>
      <c r="L170" s="237">
        <f>IFERROR(_xlfn.XLOOKUP($A170,Input_Raw!$A:$A,Input_Raw!AP:AP),"")</f>
        <v>0</v>
      </c>
      <c r="M170" s="237">
        <f>IFERROR(_xlfn.XLOOKUP($A170,Input_Raw!$A:$A,Input_Raw!AS:AS),"")</f>
        <v>0</v>
      </c>
      <c r="N170" s="237">
        <f>IFERROR(_xlfn.XLOOKUP($A170,Input_Raw!$A:$A,Input_Raw!AT:AT),"")</f>
        <v>0</v>
      </c>
      <c r="O170" s="238" t="str">
        <f>IFERROR(1-(SUMIF(Plant_BD!$B:$B,$A170,Plant_BD!$AL:$AL)/($AA170+SUMIF(Plant_BD!$B:$B,$A170,Plant_BD!$AL:$AL))),"")</f>
        <v/>
      </c>
      <c r="P170" s="238"/>
      <c r="Q170" s="239"/>
      <c r="R170" s="238" t="str">
        <f>IFERROR(1-(SUMIF(Grid_BD!$B:$B,$A170,Grid_BD!$V:$V)/($AA170+SUMIF(Grid_BD!$B:$B,$A170,Grid_BD!$V:$V))),"")</f>
        <v/>
      </c>
      <c r="S170" s="234"/>
      <c r="T170" s="239"/>
      <c r="U170" s="240" t="str">
        <f t="shared" si="16"/>
        <v/>
      </c>
      <c r="V170" s="240" t="str">
        <f>IFERROR(_xlfn.XLOOKUP($A170,Input_Raw!$A:$A,Input_Raw!$BS:$BS),"")</f>
        <v/>
      </c>
      <c r="W170" s="241">
        <f t="shared" si="17"/>
        <v>0</v>
      </c>
      <c r="X170" s="233">
        <f>IFERROR(_xlfn.XLOOKUP($A170,Input_Raw!$A:$A,Input_Raw!$AW:$AW),"")</f>
        <v>0</v>
      </c>
      <c r="Y170" s="233">
        <f>IFERROR(_xlfn.XLOOKUP($A170,Input_Raw!$A:$A,Input_Raw!$BN:$BN),"")</f>
        <v>0</v>
      </c>
      <c r="Z170" s="233"/>
      <c r="AA170" s="233">
        <f>IFERROR(_xlfn.XLOOKUP($A170,Input_Raw!$A:$A,Input_Raw!$BO:$BO),"")</f>
        <v>0</v>
      </c>
      <c r="AB170" s="233">
        <f>IFERROR(_xlfn.XLOOKUP($A170,Input_Raw!$A:$A,Input_Raw!$BP:$BP),"")</f>
        <v>0</v>
      </c>
      <c r="AC170" s="242">
        <f>IFERROR(_xlfn.XLOOKUP($D170,'Modelling New'!$D:$D,'Modelling New'!P:P),"")</f>
        <v>5.5677419354838706</v>
      </c>
      <c r="AD170" s="233">
        <f>IFERROR(_xlfn.XLOOKUP($D170,'Modelling New'!$D:$D,'Modelling New'!T:T)*1000,"")</f>
        <v>415898.7612063344</v>
      </c>
      <c r="AE170" s="243">
        <f>IFERROR(_xlfn.XLOOKUP($D170,'Modelling New'!$D:$D,'Modelling New'!$O:$O),"")</f>
        <v>0.85077361625866543</v>
      </c>
      <c r="AF170" s="243">
        <f>IFERROR(_xlfn.XLOOKUP($D170,'Modelling New'!$D:$D,'Modelling New'!$W:$W),"")</f>
        <v>0.19737033086860975</v>
      </c>
      <c r="AG170" s="243">
        <f>IFERROR(_xlfn.XLOOKUP($D170,'Modelling New'!$D:$D,'Modelling New'!$AE:$AE),"")</f>
        <v>0.995</v>
      </c>
      <c r="AH170" s="243">
        <f>IFERROR(_xlfn.XLOOKUP($D170,'Modelling New'!$D:$D,'Modelling New'!$AF:$AF),"")</f>
        <v>0.995</v>
      </c>
      <c r="AI170" s="234"/>
      <c r="AJ170" s="234"/>
      <c r="AK170" s="234"/>
      <c r="AL170" s="234"/>
      <c r="AM170" s="234"/>
      <c r="AN170" s="244"/>
      <c r="AO170" s="241"/>
      <c r="AP170" s="241"/>
      <c r="AQ170" s="241"/>
      <c r="AR170" s="233">
        <f>_xlfn.XLOOKUP($D170,'Modelling New'!$D:$D,'Modelling New'!$N:$N)</f>
        <v>87.8</v>
      </c>
      <c r="AS170" s="233">
        <f t="shared" si="18"/>
        <v>0</v>
      </c>
    </row>
    <row r="171" spans="1:45">
      <c r="A171" s="232">
        <f t="shared" si="19"/>
        <v>46008</v>
      </c>
      <c r="B171" s="233">
        <f>YEAR(Daily_KPI[[#This Row],[Date]])+IF(MONTH(Daily_KPI[[#This Row],[Date]])&gt;=4,1,0)</f>
        <v>2026</v>
      </c>
      <c r="C171" s="234">
        <f>YEAR(Daily_KPI[[#This Row],[Date]])</f>
        <v>2025</v>
      </c>
      <c r="D171" s="235">
        <f>Daily_KPI[[#This Row],[Date]]-DAY(Daily_KPI[[#This Row],[Date]])+1</f>
        <v>45992</v>
      </c>
      <c r="E171" s="234">
        <f t="shared" si="15"/>
        <v>31</v>
      </c>
      <c r="F171" s="236">
        <f>IFERROR(_xlfn.XLOOKUP($A171,Input_Raw!$A:$A,Input_Raw!$BM:$BM),"")</f>
        <v>0</v>
      </c>
      <c r="G171" s="237">
        <f>IFERROR(_xlfn.XLOOKUP($A171,Input_Raw!$A:$A,Input_Raw!$AN:$AN),"")</f>
        <v>0</v>
      </c>
      <c r="H171" s="237"/>
      <c r="I171" s="237">
        <f>IFERROR(_xlfn.XLOOKUP($A171,Input_Raw!$A:$A,Input_Raw!$AM:$AM),"")</f>
        <v>0</v>
      </c>
      <c r="J171" s="237"/>
      <c r="K171" s="237">
        <f>IFERROR(_xlfn.XLOOKUP($A171,Input_Raw!$A:$A,Input_Raw!AO:AO),"")</f>
        <v>0</v>
      </c>
      <c r="L171" s="237">
        <f>IFERROR(_xlfn.XLOOKUP($A171,Input_Raw!$A:$A,Input_Raw!AP:AP),"")</f>
        <v>0</v>
      </c>
      <c r="M171" s="237">
        <f>IFERROR(_xlfn.XLOOKUP($A171,Input_Raw!$A:$A,Input_Raw!AS:AS),"")</f>
        <v>0</v>
      </c>
      <c r="N171" s="237">
        <f>IFERROR(_xlfn.XLOOKUP($A171,Input_Raw!$A:$A,Input_Raw!AT:AT),"")</f>
        <v>0</v>
      </c>
      <c r="O171" s="238" t="str">
        <f>IFERROR(1-(SUMIF(Plant_BD!$B:$B,$A171,Plant_BD!$AL:$AL)/($AA171+SUMIF(Plant_BD!$B:$B,$A171,Plant_BD!$AL:$AL))),"")</f>
        <v/>
      </c>
      <c r="P171" s="238"/>
      <c r="Q171" s="239"/>
      <c r="R171" s="238" t="str">
        <f>IFERROR(1-(SUMIF(Grid_BD!$B:$B,$A171,Grid_BD!$V:$V)/($AA171+SUMIF(Grid_BD!$B:$B,$A171,Grid_BD!$V:$V))),"")</f>
        <v/>
      </c>
      <c r="S171" s="234"/>
      <c r="T171" s="239"/>
      <c r="U171" s="240" t="str">
        <f t="shared" si="16"/>
        <v/>
      </c>
      <c r="V171" s="240" t="str">
        <f>IFERROR(_xlfn.XLOOKUP($A171,Input_Raw!$A:$A,Input_Raw!$BS:$BS),"")</f>
        <v/>
      </c>
      <c r="W171" s="241">
        <f t="shared" si="17"/>
        <v>0</v>
      </c>
      <c r="X171" s="233">
        <f>IFERROR(_xlfn.XLOOKUP($A171,Input_Raw!$A:$A,Input_Raw!$AW:$AW),"")</f>
        <v>0</v>
      </c>
      <c r="Y171" s="233">
        <f>IFERROR(_xlfn.XLOOKUP($A171,Input_Raw!$A:$A,Input_Raw!$BN:$BN),"")</f>
        <v>0</v>
      </c>
      <c r="Z171" s="233"/>
      <c r="AA171" s="233">
        <f>IFERROR(_xlfn.XLOOKUP($A171,Input_Raw!$A:$A,Input_Raw!$BO:$BO),"")</f>
        <v>0</v>
      </c>
      <c r="AB171" s="233">
        <f>IFERROR(_xlfn.XLOOKUP($A171,Input_Raw!$A:$A,Input_Raw!$BP:$BP),"")</f>
        <v>0</v>
      </c>
      <c r="AC171" s="242">
        <f>IFERROR(_xlfn.XLOOKUP($D171,'Modelling New'!$D:$D,'Modelling New'!P:P),"")</f>
        <v>5.5677419354838706</v>
      </c>
      <c r="AD171" s="233">
        <f>IFERROR(_xlfn.XLOOKUP($D171,'Modelling New'!$D:$D,'Modelling New'!T:T)*1000,"")</f>
        <v>415898.7612063344</v>
      </c>
      <c r="AE171" s="243">
        <f>IFERROR(_xlfn.XLOOKUP($D171,'Modelling New'!$D:$D,'Modelling New'!$O:$O),"")</f>
        <v>0.85077361625866543</v>
      </c>
      <c r="AF171" s="243">
        <f>IFERROR(_xlfn.XLOOKUP($D171,'Modelling New'!$D:$D,'Modelling New'!$W:$W),"")</f>
        <v>0.19737033086860975</v>
      </c>
      <c r="AG171" s="243">
        <f>IFERROR(_xlfn.XLOOKUP($D171,'Modelling New'!$D:$D,'Modelling New'!$AE:$AE),"")</f>
        <v>0.995</v>
      </c>
      <c r="AH171" s="243">
        <f>IFERROR(_xlfn.XLOOKUP($D171,'Modelling New'!$D:$D,'Modelling New'!$AF:$AF),"")</f>
        <v>0.995</v>
      </c>
      <c r="AI171" s="234"/>
      <c r="AJ171" s="234"/>
      <c r="AK171" s="234"/>
      <c r="AL171" s="234"/>
      <c r="AM171" s="234"/>
      <c r="AN171" s="244"/>
      <c r="AO171" s="241"/>
      <c r="AP171" s="241"/>
      <c r="AQ171" s="241"/>
      <c r="AR171" s="233">
        <f>_xlfn.XLOOKUP($D171,'Modelling New'!$D:$D,'Modelling New'!$N:$N)</f>
        <v>87.8</v>
      </c>
      <c r="AS171" s="233">
        <f t="shared" si="18"/>
        <v>0</v>
      </c>
    </row>
    <row r="172" spans="1:45">
      <c r="A172" s="232">
        <f t="shared" si="19"/>
        <v>46009</v>
      </c>
      <c r="B172" s="233">
        <f>YEAR(Daily_KPI[[#This Row],[Date]])+IF(MONTH(Daily_KPI[[#This Row],[Date]])&gt;=4,1,0)</f>
        <v>2026</v>
      </c>
      <c r="C172" s="234">
        <f>YEAR(Daily_KPI[[#This Row],[Date]])</f>
        <v>2025</v>
      </c>
      <c r="D172" s="235">
        <f>Daily_KPI[[#This Row],[Date]]-DAY(Daily_KPI[[#This Row],[Date]])+1</f>
        <v>45992</v>
      </c>
      <c r="E172" s="234">
        <f t="shared" si="15"/>
        <v>31</v>
      </c>
      <c r="F172" s="236">
        <f>IFERROR(_xlfn.XLOOKUP($A172,Input_Raw!$A:$A,Input_Raw!$BM:$BM),"")</f>
        <v>0</v>
      </c>
      <c r="G172" s="237">
        <f>IFERROR(_xlfn.XLOOKUP($A172,Input_Raw!$A:$A,Input_Raw!$AN:$AN),"")</f>
        <v>0</v>
      </c>
      <c r="H172" s="237"/>
      <c r="I172" s="237">
        <f>IFERROR(_xlfn.XLOOKUP($A172,Input_Raw!$A:$A,Input_Raw!$AM:$AM),"")</f>
        <v>0</v>
      </c>
      <c r="J172" s="237"/>
      <c r="K172" s="237">
        <f>IFERROR(_xlfn.XLOOKUP($A172,Input_Raw!$A:$A,Input_Raw!AO:AO),"")</f>
        <v>0</v>
      </c>
      <c r="L172" s="237">
        <f>IFERROR(_xlfn.XLOOKUP($A172,Input_Raw!$A:$A,Input_Raw!AP:AP),"")</f>
        <v>0</v>
      </c>
      <c r="M172" s="237">
        <f>IFERROR(_xlfn.XLOOKUP($A172,Input_Raw!$A:$A,Input_Raw!AS:AS),"")</f>
        <v>0</v>
      </c>
      <c r="N172" s="237">
        <f>IFERROR(_xlfn.XLOOKUP($A172,Input_Raw!$A:$A,Input_Raw!AT:AT),"")</f>
        <v>0</v>
      </c>
      <c r="O172" s="238" t="str">
        <f>IFERROR(1-(SUMIF(Plant_BD!$B:$B,$A172,Plant_BD!$AL:$AL)/($AA172+SUMIF(Plant_BD!$B:$B,$A172,Plant_BD!$AL:$AL))),"")</f>
        <v/>
      </c>
      <c r="P172" s="238"/>
      <c r="Q172" s="239"/>
      <c r="R172" s="238" t="str">
        <f>IFERROR(1-(SUMIF(Grid_BD!$B:$B,$A172,Grid_BD!$V:$V)/($AA172+SUMIF(Grid_BD!$B:$B,$A172,Grid_BD!$V:$V))),"")</f>
        <v/>
      </c>
      <c r="S172" s="234"/>
      <c r="T172" s="239"/>
      <c r="U172" s="240" t="str">
        <f t="shared" si="16"/>
        <v/>
      </c>
      <c r="V172" s="240" t="str">
        <f>IFERROR(_xlfn.XLOOKUP($A172,Input_Raw!$A:$A,Input_Raw!$BS:$BS),"")</f>
        <v/>
      </c>
      <c r="W172" s="241">
        <f t="shared" si="17"/>
        <v>0</v>
      </c>
      <c r="X172" s="233">
        <f>IFERROR(_xlfn.XLOOKUP($A172,Input_Raw!$A:$A,Input_Raw!$AW:$AW),"")</f>
        <v>0</v>
      </c>
      <c r="Y172" s="233">
        <f>IFERROR(_xlfn.XLOOKUP($A172,Input_Raw!$A:$A,Input_Raw!$BN:$BN),"")</f>
        <v>0</v>
      </c>
      <c r="Z172" s="233"/>
      <c r="AA172" s="233">
        <f>IFERROR(_xlfn.XLOOKUP($A172,Input_Raw!$A:$A,Input_Raw!$BO:$BO),"")</f>
        <v>0</v>
      </c>
      <c r="AB172" s="233">
        <f>IFERROR(_xlfn.XLOOKUP($A172,Input_Raw!$A:$A,Input_Raw!$BP:$BP),"")</f>
        <v>0</v>
      </c>
      <c r="AC172" s="242">
        <f>IFERROR(_xlfn.XLOOKUP($D172,'Modelling New'!$D:$D,'Modelling New'!P:P),"")</f>
        <v>5.5677419354838706</v>
      </c>
      <c r="AD172" s="233">
        <f>IFERROR(_xlfn.XLOOKUP($D172,'Modelling New'!$D:$D,'Modelling New'!T:T)*1000,"")</f>
        <v>415898.7612063344</v>
      </c>
      <c r="AE172" s="243">
        <f>IFERROR(_xlfn.XLOOKUP($D172,'Modelling New'!$D:$D,'Modelling New'!$O:$O),"")</f>
        <v>0.85077361625866543</v>
      </c>
      <c r="AF172" s="243">
        <f>IFERROR(_xlfn.XLOOKUP($D172,'Modelling New'!$D:$D,'Modelling New'!$W:$W),"")</f>
        <v>0.19737033086860975</v>
      </c>
      <c r="AG172" s="243">
        <f>IFERROR(_xlfn.XLOOKUP($D172,'Modelling New'!$D:$D,'Modelling New'!$AE:$AE),"")</f>
        <v>0.995</v>
      </c>
      <c r="AH172" s="243">
        <f>IFERROR(_xlfn.XLOOKUP($D172,'Modelling New'!$D:$D,'Modelling New'!$AF:$AF),"")</f>
        <v>0.995</v>
      </c>
      <c r="AI172" s="234"/>
      <c r="AJ172" s="234"/>
      <c r="AK172" s="234"/>
      <c r="AL172" s="234"/>
      <c r="AM172" s="234"/>
      <c r="AN172" s="244"/>
      <c r="AO172" s="241"/>
      <c r="AP172" s="241"/>
      <c r="AQ172" s="241"/>
      <c r="AR172" s="233">
        <f>_xlfn.XLOOKUP($D172,'Modelling New'!$D:$D,'Modelling New'!$N:$N)</f>
        <v>87.8</v>
      </c>
      <c r="AS172" s="233">
        <f t="shared" si="18"/>
        <v>0</v>
      </c>
    </row>
    <row r="173" spans="1:45">
      <c r="A173" s="232">
        <f t="shared" si="19"/>
        <v>46010</v>
      </c>
      <c r="B173" s="233">
        <f>YEAR(Daily_KPI[[#This Row],[Date]])+IF(MONTH(Daily_KPI[[#This Row],[Date]])&gt;=4,1,0)</f>
        <v>2026</v>
      </c>
      <c r="C173" s="234">
        <f>YEAR(Daily_KPI[[#This Row],[Date]])</f>
        <v>2025</v>
      </c>
      <c r="D173" s="235">
        <f>Daily_KPI[[#This Row],[Date]]-DAY(Daily_KPI[[#This Row],[Date]])+1</f>
        <v>45992</v>
      </c>
      <c r="E173" s="234">
        <f t="shared" si="15"/>
        <v>31</v>
      </c>
      <c r="F173" s="236">
        <f>IFERROR(_xlfn.XLOOKUP($A173,Input_Raw!$A:$A,Input_Raw!$BM:$BM),"")</f>
        <v>0</v>
      </c>
      <c r="G173" s="237">
        <f>IFERROR(_xlfn.XLOOKUP($A173,Input_Raw!$A:$A,Input_Raw!$AN:$AN),"")</f>
        <v>0</v>
      </c>
      <c r="H173" s="237"/>
      <c r="I173" s="237">
        <f>IFERROR(_xlfn.XLOOKUP($A173,Input_Raw!$A:$A,Input_Raw!$AM:$AM),"")</f>
        <v>0</v>
      </c>
      <c r="J173" s="237"/>
      <c r="K173" s="237">
        <f>IFERROR(_xlfn.XLOOKUP($A173,Input_Raw!$A:$A,Input_Raw!AO:AO),"")</f>
        <v>0</v>
      </c>
      <c r="L173" s="237">
        <f>IFERROR(_xlfn.XLOOKUP($A173,Input_Raw!$A:$A,Input_Raw!AP:AP),"")</f>
        <v>0</v>
      </c>
      <c r="M173" s="237">
        <f>IFERROR(_xlfn.XLOOKUP($A173,Input_Raw!$A:$A,Input_Raw!AS:AS),"")</f>
        <v>0</v>
      </c>
      <c r="N173" s="237">
        <f>IFERROR(_xlfn.XLOOKUP($A173,Input_Raw!$A:$A,Input_Raw!AT:AT),"")</f>
        <v>0</v>
      </c>
      <c r="O173" s="238" t="str">
        <f>IFERROR(1-(SUMIF(Plant_BD!$B:$B,$A173,Plant_BD!$AL:$AL)/($AA173+SUMIF(Plant_BD!$B:$B,$A173,Plant_BD!$AL:$AL))),"")</f>
        <v/>
      </c>
      <c r="P173" s="238"/>
      <c r="Q173" s="239"/>
      <c r="R173" s="238" t="str">
        <f>IFERROR(1-(SUMIF(Grid_BD!$B:$B,$A173,Grid_BD!$V:$V)/($AA173+SUMIF(Grid_BD!$B:$B,$A173,Grid_BD!$V:$V))),"")</f>
        <v/>
      </c>
      <c r="S173" s="234"/>
      <c r="T173" s="239"/>
      <c r="U173" s="240" t="str">
        <f t="shared" si="16"/>
        <v/>
      </c>
      <c r="V173" s="240" t="str">
        <f>IFERROR(_xlfn.XLOOKUP($A173,Input_Raw!$A:$A,Input_Raw!$BS:$BS),"")</f>
        <v/>
      </c>
      <c r="W173" s="241">
        <f t="shared" si="17"/>
        <v>0</v>
      </c>
      <c r="X173" s="233">
        <f>IFERROR(_xlfn.XLOOKUP($A173,Input_Raw!$A:$A,Input_Raw!$AW:$AW),"")</f>
        <v>0</v>
      </c>
      <c r="Y173" s="233">
        <f>IFERROR(_xlfn.XLOOKUP($A173,Input_Raw!$A:$A,Input_Raw!$BN:$BN),"")</f>
        <v>0</v>
      </c>
      <c r="Z173" s="233"/>
      <c r="AA173" s="233">
        <f>IFERROR(_xlfn.XLOOKUP($A173,Input_Raw!$A:$A,Input_Raw!$BO:$BO),"")</f>
        <v>0</v>
      </c>
      <c r="AB173" s="233">
        <f>IFERROR(_xlfn.XLOOKUP($A173,Input_Raw!$A:$A,Input_Raw!$BP:$BP),"")</f>
        <v>0</v>
      </c>
      <c r="AC173" s="242">
        <f>IFERROR(_xlfn.XLOOKUP($D173,'Modelling New'!$D:$D,'Modelling New'!P:P),"")</f>
        <v>5.5677419354838706</v>
      </c>
      <c r="AD173" s="233">
        <f>IFERROR(_xlfn.XLOOKUP($D173,'Modelling New'!$D:$D,'Modelling New'!T:T)*1000,"")</f>
        <v>415898.7612063344</v>
      </c>
      <c r="AE173" s="243">
        <f>IFERROR(_xlfn.XLOOKUP($D173,'Modelling New'!$D:$D,'Modelling New'!$O:$O),"")</f>
        <v>0.85077361625866543</v>
      </c>
      <c r="AF173" s="243">
        <f>IFERROR(_xlfn.XLOOKUP($D173,'Modelling New'!$D:$D,'Modelling New'!$W:$W),"")</f>
        <v>0.19737033086860975</v>
      </c>
      <c r="AG173" s="243">
        <f>IFERROR(_xlfn.XLOOKUP($D173,'Modelling New'!$D:$D,'Modelling New'!$AE:$AE),"")</f>
        <v>0.995</v>
      </c>
      <c r="AH173" s="243">
        <f>IFERROR(_xlfn.XLOOKUP($D173,'Modelling New'!$D:$D,'Modelling New'!$AF:$AF),"")</f>
        <v>0.995</v>
      </c>
      <c r="AI173" s="234"/>
      <c r="AJ173" s="234"/>
      <c r="AK173" s="234"/>
      <c r="AL173" s="234"/>
      <c r="AM173" s="234"/>
      <c r="AN173" s="244"/>
      <c r="AO173" s="241"/>
      <c r="AP173" s="241"/>
      <c r="AQ173" s="241"/>
      <c r="AR173" s="233">
        <f>_xlfn.XLOOKUP($D173,'Modelling New'!$D:$D,'Modelling New'!$N:$N)</f>
        <v>87.8</v>
      </c>
      <c r="AS173" s="233">
        <f t="shared" si="18"/>
        <v>0</v>
      </c>
    </row>
    <row r="174" spans="1:45">
      <c r="A174" s="232">
        <f t="shared" si="19"/>
        <v>46011</v>
      </c>
      <c r="B174" s="233">
        <f>YEAR(Daily_KPI[[#This Row],[Date]])+IF(MONTH(Daily_KPI[[#This Row],[Date]])&gt;=4,1,0)</f>
        <v>2026</v>
      </c>
      <c r="C174" s="234">
        <f>YEAR(Daily_KPI[[#This Row],[Date]])</f>
        <v>2025</v>
      </c>
      <c r="D174" s="235">
        <f>Daily_KPI[[#This Row],[Date]]-DAY(Daily_KPI[[#This Row],[Date]])+1</f>
        <v>45992</v>
      </c>
      <c r="E174" s="234">
        <f t="shared" si="15"/>
        <v>31</v>
      </c>
      <c r="F174" s="236">
        <f>IFERROR(_xlfn.XLOOKUP($A174,Input_Raw!$A:$A,Input_Raw!$BM:$BM),"")</f>
        <v>0</v>
      </c>
      <c r="G174" s="237">
        <f>IFERROR(_xlfn.XLOOKUP($A174,Input_Raw!$A:$A,Input_Raw!$AN:$AN),"")</f>
        <v>0</v>
      </c>
      <c r="H174" s="237"/>
      <c r="I174" s="237">
        <f>IFERROR(_xlfn.XLOOKUP($A174,Input_Raw!$A:$A,Input_Raw!$AM:$AM),"")</f>
        <v>0</v>
      </c>
      <c r="J174" s="237"/>
      <c r="K174" s="237">
        <f>IFERROR(_xlfn.XLOOKUP($A174,Input_Raw!$A:$A,Input_Raw!AO:AO),"")</f>
        <v>0</v>
      </c>
      <c r="L174" s="237">
        <f>IFERROR(_xlfn.XLOOKUP($A174,Input_Raw!$A:$A,Input_Raw!AP:AP),"")</f>
        <v>0</v>
      </c>
      <c r="M174" s="237">
        <f>IFERROR(_xlfn.XLOOKUP($A174,Input_Raw!$A:$A,Input_Raw!AS:AS),"")</f>
        <v>0</v>
      </c>
      <c r="N174" s="237">
        <f>IFERROR(_xlfn.XLOOKUP($A174,Input_Raw!$A:$A,Input_Raw!AT:AT),"")</f>
        <v>0</v>
      </c>
      <c r="O174" s="238" t="str">
        <f>IFERROR(1-(SUMIF(Plant_BD!$B:$B,$A174,Plant_BD!$AL:$AL)/($AA174+SUMIF(Plant_BD!$B:$B,$A174,Plant_BD!$AL:$AL))),"")</f>
        <v/>
      </c>
      <c r="P174" s="238"/>
      <c r="Q174" s="239"/>
      <c r="R174" s="238" t="str">
        <f>IFERROR(1-(SUMIF(Grid_BD!$B:$B,$A174,Grid_BD!$V:$V)/($AA174+SUMIF(Grid_BD!$B:$B,$A174,Grid_BD!$V:$V))),"")</f>
        <v/>
      </c>
      <c r="S174" s="234"/>
      <c r="T174" s="239"/>
      <c r="U174" s="240" t="str">
        <f t="shared" si="16"/>
        <v/>
      </c>
      <c r="V174" s="240" t="str">
        <f>IFERROR(_xlfn.XLOOKUP($A174,Input_Raw!$A:$A,Input_Raw!$BS:$BS),"")</f>
        <v/>
      </c>
      <c r="W174" s="241">
        <f t="shared" si="17"/>
        <v>0</v>
      </c>
      <c r="X174" s="233">
        <f>IFERROR(_xlfn.XLOOKUP($A174,Input_Raw!$A:$A,Input_Raw!$AW:$AW),"")</f>
        <v>0</v>
      </c>
      <c r="Y174" s="233">
        <f>IFERROR(_xlfn.XLOOKUP($A174,Input_Raw!$A:$A,Input_Raw!$BN:$BN),"")</f>
        <v>0</v>
      </c>
      <c r="Z174" s="233"/>
      <c r="AA174" s="233">
        <f>IFERROR(_xlfn.XLOOKUP($A174,Input_Raw!$A:$A,Input_Raw!$BO:$BO),"")</f>
        <v>0</v>
      </c>
      <c r="AB174" s="233">
        <f>IFERROR(_xlfn.XLOOKUP($A174,Input_Raw!$A:$A,Input_Raw!$BP:$BP),"")</f>
        <v>0</v>
      </c>
      <c r="AC174" s="242">
        <f>IFERROR(_xlfn.XLOOKUP($D174,'Modelling New'!$D:$D,'Modelling New'!P:P),"")</f>
        <v>5.5677419354838706</v>
      </c>
      <c r="AD174" s="233">
        <f>IFERROR(_xlfn.XLOOKUP($D174,'Modelling New'!$D:$D,'Modelling New'!T:T)*1000,"")</f>
        <v>415898.7612063344</v>
      </c>
      <c r="AE174" s="243">
        <f>IFERROR(_xlfn.XLOOKUP($D174,'Modelling New'!$D:$D,'Modelling New'!$O:$O),"")</f>
        <v>0.85077361625866543</v>
      </c>
      <c r="AF174" s="243">
        <f>IFERROR(_xlfn.XLOOKUP($D174,'Modelling New'!$D:$D,'Modelling New'!$W:$W),"")</f>
        <v>0.19737033086860975</v>
      </c>
      <c r="AG174" s="243">
        <f>IFERROR(_xlfn.XLOOKUP($D174,'Modelling New'!$D:$D,'Modelling New'!$AE:$AE),"")</f>
        <v>0.995</v>
      </c>
      <c r="AH174" s="243">
        <f>IFERROR(_xlfn.XLOOKUP($D174,'Modelling New'!$D:$D,'Modelling New'!$AF:$AF),"")</f>
        <v>0.995</v>
      </c>
      <c r="AI174" s="234"/>
      <c r="AJ174" s="234"/>
      <c r="AK174" s="234"/>
      <c r="AL174" s="234"/>
      <c r="AM174" s="234"/>
      <c r="AN174" s="244"/>
      <c r="AO174" s="241"/>
      <c r="AP174" s="241"/>
      <c r="AQ174" s="241"/>
      <c r="AR174" s="233">
        <f>_xlfn.XLOOKUP($D174,'Modelling New'!$D:$D,'Modelling New'!$N:$N)</f>
        <v>87.8</v>
      </c>
      <c r="AS174" s="233">
        <f t="shared" si="18"/>
        <v>0</v>
      </c>
    </row>
    <row r="175" spans="1:45">
      <c r="A175" s="232">
        <f t="shared" si="19"/>
        <v>46012</v>
      </c>
      <c r="B175" s="233">
        <f>YEAR(Daily_KPI[[#This Row],[Date]])+IF(MONTH(Daily_KPI[[#This Row],[Date]])&gt;=4,1,0)</f>
        <v>2026</v>
      </c>
      <c r="C175" s="234">
        <f>YEAR(Daily_KPI[[#This Row],[Date]])</f>
        <v>2025</v>
      </c>
      <c r="D175" s="235">
        <f>Daily_KPI[[#This Row],[Date]]-DAY(Daily_KPI[[#This Row],[Date]])+1</f>
        <v>45992</v>
      </c>
      <c r="E175" s="234">
        <f t="shared" si="15"/>
        <v>31</v>
      </c>
      <c r="F175" s="236">
        <f>IFERROR(_xlfn.XLOOKUP($A175,Input_Raw!$A:$A,Input_Raw!$BM:$BM),"")</f>
        <v>0</v>
      </c>
      <c r="G175" s="237">
        <f>IFERROR(_xlfn.XLOOKUP($A175,Input_Raw!$A:$A,Input_Raw!$AN:$AN),"")</f>
        <v>0</v>
      </c>
      <c r="H175" s="237"/>
      <c r="I175" s="237">
        <f>IFERROR(_xlfn.XLOOKUP($A175,Input_Raw!$A:$A,Input_Raw!$AM:$AM),"")</f>
        <v>0</v>
      </c>
      <c r="J175" s="237"/>
      <c r="K175" s="237">
        <f>IFERROR(_xlfn.XLOOKUP($A175,Input_Raw!$A:$A,Input_Raw!AO:AO),"")</f>
        <v>0</v>
      </c>
      <c r="L175" s="237">
        <f>IFERROR(_xlfn.XLOOKUP($A175,Input_Raw!$A:$A,Input_Raw!AP:AP),"")</f>
        <v>0</v>
      </c>
      <c r="M175" s="237">
        <f>IFERROR(_xlfn.XLOOKUP($A175,Input_Raw!$A:$A,Input_Raw!AS:AS),"")</f>
        <v>0</v>
      </c>
      <c r="N175" s="237">
        <f>IFERROR(_xlfn.XLOOKUP($A175,Input_Raw!$A:$A,Input_Raw!AT:AT),"")</f>
        <v>0</v>
      </c>
      <c r="O175" s="238" t="str">
        <f>IFERROR(1-(SUMIF(Plant_BD!$B:$B,$A175,Plant_BD!$AL:$AL)/($AA175+SUMIF(Plant_BD!$B:$B,$A175,Plant_BD!$AL:$AL))),"")</f>
        <v/>
      </c>
      <c r="P175" s="238"/>
      <c r="Q175" s="239"/>
      <c r="R175" s="238" t="str">
        <f>IFERROR(1-(SUMIF(Grid_BD!$B:$B,$A175,Grid_BD!$V:$V)/($AA175+SUMIF(Grid_BD!$B:$B,$A175,Grid_BD!$V:$V))),"")</f>
        <v/>
      </c>
      <c r="S175" s="234"/>
      <c r="T175" s="239"/>
      <c r="U175" s="240" t="str">
        <f t="shared" si="16"/>
        <v/>
      </c>
      <c r="V175" s="240" t="str">
        <f>IFERROR(_xlfn.XLOOKUP($A175,Input_Raw!$A:$A,Input_Raw!$BS:$BS),"")</f>
        <v/>
      </c>
      <c r="W175" s="241">
        <f t="shared" si="17"/>
        <v>0</v>
      </c>
      <c r="X175" s="233">
        <f>IFERROR(_xlfn.XLOOKUP($A175,Input_Raw!$A:$A,Input_Raw!$AW:$AW),"")</f>
        <v>0</v>
      </c>
      <c r="Y175" s="233">
        <f>IFERROR(_xlfn.XLOOKUP($A175,Input_Raw!$A:$A,Input_Raw!$BN:$BN),"")</f>
        <v>0</v>
      </c>
      <c r="Z175" s="233"/>
      <c r="AA175" s="233">
        <f>IFERROR(_xlfn.XLOOKUP($A175,Input_Raw!$A:$A,Input_Raw!$BO:$BO),"")</f>
        <v>0</v>
      </c>
      <c r="AB175" s="233">
        <f>IFERROR(_xlfn.XLOOKUP($A175,Input_Raw!$A:$A,Input_Raw!$BP:$BP),"")</f>
        <v>0</v>
      </c>
      <c r="AC175" s="242">
        <f>IFERROR(_xlfn.XLOOKUP($D175,'Modelling New'!$D:$D,'Modelling New'!P:P),"")</f>
        <v>5.5677419354838706</v>
      </c>
      <c r="AD175" s="233">
        <f>IFERROR(_xlfn.XLOOKUP($D175,'Modelling New'!$D:$D,'Modelling New'!T:T)*1000,"")</f>
        <v>415898.7612063344</v>
      </c>
      <c r="AE175" s="243">
        <f>IFERROR(_xlfn.XLOOKUP($D175,'Modelling New'!$D:$D,'Modelling New'!$O:$O),"")</f>
        <v>0.85077361625866543</v>
      </c>
      <c r="AF175" s="243">
        <f>IFERROR(_xlfn.XLOOKUP($D175,'Modelling New'!$D:$D,'Modelling New'!$W:$W),"")</f>
        <v>0.19737033086860975</v>
      </c>
      <c r="AG175" s="243">
        <f>IFERROR(_xlfn.XLOOKUP($D175,'Modelling New'!$D:$D,'Modelling New'!$AE:$AE),"")</f>
        <v>0.995</v>
      </c>
      <c r="AH175" s="243">
        <f>IFERROR(_xlfn.XLOOKUP($D175,'Modelling New'!$D:$D,'Modelling New'!$AF:$AF),"")</f>
        <v>0.995</v>
      </c>
      <c r="AI175" s="234"/>
      <c r="AJ175" s="234"/>
      <c r="AK175" s="234"/>
      <c r="AL175" s="234"/>
      <c r="AM175" s="234"/>
      <c r="AN175" s="244"/>
      <c r="AO175" s="241"/>
      <c r="AP175" s="241"/>
      <c r="AQ175" s="241"/>
      <c r="AR175" s="233">
        <f>_xlfn.XLOOKUP($D175,'Modelling New'!$D:$D,'Modelling New'!$N:$N)</f>
        <v>87.8</v>
      </c>
      <c r="AS175" s="233">
        <f t="shared" si="18"/>
        <v>0</v>
      </c>
    </row>
    <row r="176" spans="1:45">
      <c r="A176" s="232">
        <f t="shared" si="19"/>
        <v>46013</v>
      </c>
      <c r="B176" s="233">
        <f>YEAR(Daily_KPI[[#This Row],[Date]])+IF(MONTH(Daily_KPI[[#This Row],[Date]])&gt;=4,1,0)</f>
        <v>2026</v>
      </c>
      <c r="C176" s="234">
        <f>YEAR(Daily_KPI[[#This Row],[Date]])</f>
        <v>2025</v>
      </c>
      <c r="D176" s="235">
        <f>Daily_KPI[[#This Row],[Date]]-DAY(Daily_KPI[[#This Row],[Date]])+1</f>
        <v>45992</v>
      </c>
      <c r="E176" s="234">
        <f t="shared" si="15"/>
        <v>31</v>
      </c>
      <c r="F176" s="236">
        <f>IFERROR(_xlfn.XLOOKUP($A176,Input_Raw!$A:$A,Input_Raw!$BM:$BM),"")</f>
        <v>0</v>
      </c>
      <c r="G176" s="237">
        <f>IFERROR(_xlfn.XLOOKUP($A176,Input_Raw!$A:$A,Input_Raw!$AN:$AN),"")</f>
        <v>0</v>
      </c>
      <c r="H176" s="237"/>
      <c r="I176" s="237">
        <f>IFERROR(_xlfn.XLOOKUP($A176,Input_Raw!$A:$A,Input_Raw!$AM:$AM),"")</f>
        <v>0</v>
      </c>
      <c r="J176" s="237"/>
      <c r="K176" s="237">
        <f>IFERROR(_xlfn.XLOOKUP($A176,Input_Raw!$A:$A,Input_Raw!AO:AO),"")</f>
        <v>0</v>
      </c>
      <c r="L176" s="237">
        <f>IFERROR(_xlfn.XLOOKUP($A176,Input_Raw!$A:$A,Input_Raw!AP:AP),"")</f>
        <v>0</v>
      </c>
      <c r="M176" s="237">
        <f>IFERROR(_xlfn.XLOOKUP($A176,Input_Raw!$A:$A,Input_Raw!AS:AS),"")</f>
        <v>0</v>
      </c>
      <c r="N176" s="237">
        <f>IFERROR(_xlfn.XLOOKUP($A176,Input_Raw!$A:$A,Input_Raw!AT:AT),"")</f>
        <v>0</v>
      </c>
      <c r="O176" s="238" t="str">
        <f>IFERROR(1-(SUMIF(Plant_BD!$B:$B,$A176,Plant_BD!$AL:$AL)/($AA176+SUMIF(Plant_BD!$B:$B,$A176,Plant_BD!$AL:$AL))),"")</f>
        <v/>
      </c>
      <c r="P176" s="238"/>
      <c r="Q176" s="239"/>
      <c r="R176" s="238" t="str">
        <f>IFERROR(1-(SUMIF(Grid_BD!$B:$B,$A176,Grid_BD!$V:$V)/($AA176+SUMIF(Grid_BD!$B:$B,$A176,Grid_BD!$V:$V))),"")</f>
        <v/>
      </c>
      <c r="S176" s="234"/>
      <c r="T176" s="239"/>
      <c r="U176" s="240" t="str">
        <f t="shared" si="16"/>
        <v/>
      </c>
      <c r="V176" s="240" t="str">
        <f>IFERROR(_xlfn.XLOOKUP($A176,Input_Raw!$A:$A,Input_Raw!$BS:$BS),"")</f>
        <v/>
      </c>
      <c r="W176" s="241">
        <f t="shared" si="17"/>
        <v>0</v>
      </c>
      <c r="X176" s="233">
        <f>IFERROR(_xlfn.XLOOKUP($A176,Input_Raw!$A:$A,Input_Raw!$AW:$AW),"")</f>
        <v>0</v>
      </c>
      <c r="Y176" s="233">
        <f>IFERROR(_xlfn.XLOOKUP($A176,Input_Raw!$A:$A,Input_Raw!$BN:$BN),"")</f>
        <v>0</v>
      </c>
      <c r="Z176" s="233"/>
      <c r="AA176" s="233">
        <f>IFERROR(_xlfn.XLOOKUP($A176,Input_Raw!$A:$A,Input_Raw!$BO:$BO),"")</f>
        <v>0</v>
      </c>
      <c r="AB176" s="233">
        <f>IFERROR(_xlfn.XLOOKUP($A176,Input_Raw!$A:$A,Input_Raw!$BP:$BP),"")</f>
        <v>0</v>
      </c>
      <c r="AC176" s="242">
        <f>IFERROR(_xlfn.XLOOKUP($D176,'Modelling New'!$D:$D,'Modelling New'!P:P),"")</f>
        <v>5.5677419354838706</v>
      </c>
      <c r="AD176" s="233">
        <f>IFERROR(_xlfn.XLOOKUP($D176,'Modelling New'!$D:$D,'Modelling New'!T:T)*1000,"")</f>
        <v>415898.7612063344</v>
      </c>
      <c r="AE176" s="243">
        <f>IFERROR(_xlfn.XLOOKUP($D176,'Modelling New'!$D:$D,'Modelling New'!$O:$O),"")</f>
        <v>0.85077361625866543</v>
      </c>
      <c r="AF176" s="243">
        <f>IFERROR(_xlfn.XLOOKUP($D176,'Modelling New'!$D:$D,'Modelling New'!$W:$W),"")</f>
        <v>0.19737033086860975</v>
      </c>
      <c r="AG176" s="243">
        <f>IFERROR(_xlfn.XLOOKUP($D176,'Modelling New'!$D:$D,'Modelling New'!$AE:$AE),"")</f>
        <v>0.995</v>
      </c>
      <c r="AH176" s="243">
        <f>IFERROR(_xlfn.XLOOKUP($D176,'Modelling New'!$D:$D,'Modelling New'!$AF:$AF),"")</f>
        <v>0.995</v>
      </c>
      <c r="AI176" s="234"/>
      <c r="AJ176" s="234"/>
      <c r="AK176" s="234"/>
      <c r="AL176" s="234"/>
      <c r="AM176" s="234"/>
      <c r="AN176" s="244"/>
      <c r="AO176" s="241"/>
      <c r="AP176" s="241"/>
      <c r="AQ176" s="241"/>
      <c r="AR176" s="233">
        <f>_xlfn.XLOOKUP($D176,'Modelling New'!$D:$D,'Modelling New'!$N:$N)</f>
        <v>87.8</v>
      </c>
      <c r="AS176" s="233">
        <f t="shared" si="18"/>
        <v>0</v>
      </c>
    </row>
    <row r="177" spans="1:45">
      <c r="A177" s="232">
        <f t="shared" si="19"/>
        <v>46014</v>
      </c>
      <c r="B177" s="233">
        <f>YEAR(Daily_KPI[[#This Row],[Date]])+IF(MONTH(Daily_KPI[[#This Row],[Date]])&gt;=4,1,0)</f>
        <v>2026</v>
      </c>
      <c r="C177" s="234">
        <f>YEAR(Daily_KPI[[#This Row],[Date]])</f>
        <v>2025</v>
      </c>
      <c r="D177" s="235">
        <f>Daily_KPI[[#This Row],[Date]]-DAY(Daily_KPI[[#This Row],[Date]])+1</f>
        <v>45992</v>
      </c>
      <c r="E177" s="234">
        <f t="shared" si="15"/>
        <v>31</v>
      </c>
      <c r="F177" s="236">
        <f>IFERROR(_xlfn.XLOOKUP($A177,Input_Raw!$A:$A,Input_Raw!$BM:$BM),"")</f>
        <v>0</v>
      </c>
      <c r="G177" s="237">
        <f>IFERROR(_xlfn.XLOOKUP($A177,Input_Raw!$A:$A,Input_Raw!$AN:$AN),"")</f>
        <v>0</v>
      </c>
      <c r="H177" s="237"/>
      <c r="I177" s="237">
        <f>IFERROR(_xlfn.XLOOKUP($A177,Input_Raw!$A:$A,Input_Raw!$AM:$AM),"")</f>
        <v>0</v>
      </c>
      <c r="J177" s="237"/>
      <c r="K177" s="237">
        <f>IFERROR(_xlfn.XLOOKUP($A177,Input_Raw!$A:$A,Input_Raw!AO:AO),"")</f>
        <v>0</v>
      </c>
      <c r="L177" s="237">
        <f>IFERROR(_xlfn.XLOOKUP($A177,Input_Raw!$A:$A,Input_Raw!AP:AP),"")</f>
        <v>0</v>
      </c>
      <c r="M177" s="237">
        <f>IFERROR(_xlfn.XLOOKUP($A177,Input_Raw!$A:$A,Input_Raw!AS:AS),"")</f>
        <v>0</v>
      </c>
      <c r="N177" s="237">
        <f>IFERROR(_xlfn.XLOOKUP($A177,Input_Raw!$A:$A,Input_Raw!AT:AT),"")</f>
        <v>0</v>
      </c>
      <c r="O177" s="238" t="str">
        <f>IFERROR(1-(SUMIF(Plant_BD!$B:$B,$A177,Plant_BD!$AL:$AL)/($AA177+SUMIF(Plant_BD!$B:$B,$A177,Plant_BD!$AL:$AL))),"")</f>
        <v/>
      </c>
      <c r="P177" s="238"/>
      <c r="Q177" s="239"/>
      <c r="R177" s="238" t="str">
        <f>IFERROR(1-(SUMIF(Grid_BD!$B:$B,$A177,Grid_BD!$V:$V)/($AA177+SUMIF(Grid_BD!$B:$B,$A177,Grid_BD!$V:$V))),"")</f>
        <v/>
      </c>
      <c r="S177" s="234"/>
      <c r="T177" s="239"/>
      <c r="U177" s="240" t="str">
        <f t="shared" si="16"/>
        <v/>
      </c>
      <c r="V177" s="240" t="str">
        <f>IFERROR(_xlfn.XLOOKUP($A177,Input_Raw!$A:$A,Input_Raw!$BS:$BS),"")</f>
        <v/>
      </c>
      <c r="W177" s="241">
        <f t="shared" si="17"/>
        <v>0</v>
      </c>
      <c r="X177" s="233">
        <f>IFERROR(_xlfn.XLOOKUP($A177,Input_Raw!$A:$A,Input_Raw!$AW:$AW),"")</f>
        <v>0</v>
      </c>
      <c r="Y177" s="233">
        <f>IFERROR(_xlfn.XLOOKUP($A177,Input_Raw!$A:$A,Input_Raw!$BN:$BN),"")</f>
        <v>0</v>
      </c>
      <c r="Z177" s="233"/>
      <c r="AA177" s="233">
        <f>IFERROR(_xlfn.XLOOKUP($A177,Input_Raw!$A:$A,Input_Raw!$BO:$BO),"")</f>
        <v>0</v>
      </c>
      <c r="AB177" s="233">
        <f>IFERROR(_xlfn.XLOOKUP($A177,Input_Raw!$A:$A,Input_Raw!$BP:$BP),"")</f>
        <v>0</v>
      </c>
      <c r="AC177" s="242">
        <f>IFERROR(_xlfn.XLOOKUP($D177,'Modelling New'!$D:$D,'Modelling New'!P:P),"")</f>
        <v>5.5677419354838706</v>
      </c>
      <c r="AD177" s="233">
        <f>IFERROR(_xlfn.XLOOKUP($D177,'Modelling New'!$D:$D,'Modelling New'!T:T)*1000,"")</f>
        <v>415898.7612063344</v>
      </c>
      <c r="AE177" s="243">
        <f>IFERROR(_xlfn.XLOOKUP($D177,'Modelling New'!$D:$D,'Modelling New'!$O:$O),"")</f>
        <v>0.85077361625866543</v>
      </c>
      <c r="AF177" s="243">
        <f>IFERROR(_xlfn.XLOOKUP($D177,'Modelling New'!$D:$D,'Modelling New'!$W:$W),"")</f>
        <v>0.19737033086860975</v>
      </c>
      <c r="AG177" s="243">
        <f>IFERROR(_xlfn.XLOOKUP($D177,'Modelling New'!$D:$D,'Modelling New'!$AE:$AE),"")</f>
        <v>0.995</v>
      </c>
      <c r="AH177" s="243">
        <f>IFERROR(_xlfn.XLOOKUP($D177,'Modelling New'!$D:$D,'Modelling New'!$AF:$AF),"")</f>
        <v>0.995</v>
      </c>
      <c r="AI177" s="234"/>
      <c r="AJ177" s="234"/>
      <c r="AK177" s="234"/>
      <c r="AL177" s="234"/>
      <c r="AM177" s="234"/>
      <c r="AN177" s="244"/>
      <c r="AO177" s="241"/>
      <c r="AP177" s="241"/>
      <c r="AQ177" s="241"/>
      <c r="AR177" s="233">
        <f>_xlfn.XLOOKUP($D177,'Modelling New'!$D:$D,'Modelling New'!$N:$N)</f>
        <v>87.8</v>
      </c>
      <c r="AS177" s="233">
        <f t="shared" si="18"/>
        <v>0</v>
      </c>
    </row>
    <row r="178" spans="1:45">
      <c r="A178" s="232">
        <f t="shared" si="19"/>
        <v>46015</v>
      </c>
      <c r="B178" s="233">
        <f>YEAR(Daily_KPI[[#This Row],[Date]])+IF(MONTH(Daily_KPI[[#This Row],[Date]])&gt;=4,1,0)</f>
        <v>2026</v>
      </c>
      <c r="C178" s="234">
        <f>YEAR(Daily_KPI[[#This Row],[Date]])</f>
        <v>2025</v>
      </c>
      <c r="D178" s="235">
        <f>Daily_KPI[[#This Row],[Date]]-DAY(Daily_KPI[[#This Row],[Date]])+1</f>
        <v>45992</v>
      </c>
      <c r="E178" s="234">
        <f t="shared" si="15"/>
        <v>31</v>
      </c>
      <c r="F178" s="236">
        <f>IFERROR(_xlfn.XLOOKUP($A178,Input_Raw!$A:$A,Input_Raw!$BM:$BM),"")</f>
        <v>0</v>
      </c>
      <c r="G178" s="237">
        <f>IFERROR(_xlfn.XLOOKUP($A178,Input_Raw!$A:$A,Input_Raw!$AN:$AN),"")</f>
        <v>0</v>
      </c>
      <c r="H178" s="237"/>
      <c r="I178" s="237">
        <f>IFERROR(_xlfn.XLOOKUP($A178,Input_Raw!$A:$A,Input_Raw!$AM:$AM),"")</f>
        <v>0</v>
      </c>
      <c r="J178" s="237"/>
      <c r="K178" s="237">
        <f>IFERROR(_xlfn.XLOOKUP($A178,Input_Raw!$A:$A,Input_Raw!AO:AO),"")</f>
        <v>0</v>
      </c>
      <c r="L178" s="237">
        <f>IFERROR(_xlfn.XLOOKUP($A178,Input_Raw!$A:$A,Input_Raw!AP:AP),"")</f>
        <v>0</v>
      </c>
      <c r="M178" s="237">
        <f>IFERROR(_xlfn.XLOOKUP($A178,Input_Raw!$A:$A,Input_Raw!AS:AS),"")</f>
        <v>0</v>
      </c>
      <c r="N178" s="237">
        <f>IFERROR(_xlfn.XLOOKUP($A178,Input_Raw!$A:$A,Input_Raw!AT:AT),"")</f>
        <v>0</v>
      </c>
      <c r="O178" s="238" t="str">
        <f>IFERROR(1-(SUMIF(Plant_BD!$B:$B,$A178,Plant_BD!$AL:$AL)/($AA178+SUMIF(Plant_BD!$B:$B,$A178,Plant_BD!$AL:$AL))),"")</f>
        <v/>
      </c>
      <c r="P178" s="238"/>
      <c r="Q178" s="239"/>
      <c r="R178" s="238" t="str">
        <f>IFERROR(1-(SUMIF(Grid_BD!$B:$B,$A178,Grid_BD!$V:$V)/($AA178+SUMIF(Grid_BD!$B:$B,$A178,Grid_BD!$V:$V))),"")</f>
        <v/>
      </c>
      <c r="S178" s="234"/>
      <c r="T178" s="239"/>
      <c r="U178" s="240" t="str">
        <f t="shared" si="16"/>
        <v/>
      </c>
      <c r="V178" s="240" t="str">
        <f>IFERROR(_xlfn.XLOOKUP($A178,Input_Raw!$A:$A,Input_Raw!$BS:$BS),"")</f>
        <v/>
      </c>
      <c r="W178" s="241">
        <f t="shared" si="17"/>
        <v>0</v>
      </c>
      <c r="X178" s="233">
        <f>IFERROR(_xlfn.XLOOKUP($A178,Input_Raw!$A:$A,Input_Raw!$AW:$AW),"")</f>
        <v>0</v>
      </c>
      <c r="Y178" s="233">
        <f>IFERROR(_xlfn.XLOOKUP($A178,Input_Raw!$A:$A,Input_Raw!$BN:$BN),"")</f>
        <v>0</v>
      </c>
      <c r="Z178" s="233"/>
      <c r="AA178" s="233">
        <f>IFERROR(_xlfn.XLOOKUP($A178,Input_Raw!$A:$A,Input_Raw!$BO:$BO),"")</f>
        <v>0</v>
      </c>
      <c r="AB178" s="233">
        <f>IFERROR(_xlfn.XLOOKUP($A178,Input_Raw!$A:$A,Input_Raw!$BP:$BP),"")</f>
        <v>0</v>
      </c>
      <c r="AC178" s="242">
        <f>IFERROR(_xlfn.XLOOKUP($D178,'Modelling New'!$D:$D,'Modelling New'!P:P),"")</f>
        <v>5.5677419354838706</v>
      </c>
      <c r="AD178" s="233">
        <f>IFERROR(_xlfn.XLOOKUP($D178,'Modelling New'!$D:$D,'Modelling New'!T:T)*1000,"")</f>
        <v>415898.7612063344</v>
      </c>
      <c r="AE178" s="243">
        <f>IFERROR(_xlfn.XLOOKUP($D178,'Modelling New'!$D:$D,'Modelling New'!$O:$O),"")</f>
        <v>0.85077361625866543</v>
      </c>
      <c r="AF178" s="243">
        <f>IFERROR(_xlfn.XLOOKUP($D178,'Modelling New'!$D:$D,'Modelling New'!$W:$W),"")</f>
        <v>0.19737033086860975</v>
      </c>
      <c r="AG178" s="243">
        <f>IFERROR(_xlfn.XLOOKUP($D178,'Modelling New'!$D:$D,'Modelling New'!$AE:$AE),"")</f>
        <v>0.995</v>
      </c>
      <c r="AH178" s="243">
        <f>IFERROR(_xlfn.XLOOKUP($D178,'Modelling New'!$D:$D,'Modelling New'!$AF:$AF),"")</f>
        <v>0.995</v>
      </c>
      <c r="AI178" s="234"/>
      <c r="AJ178" s="234"/>
      <c r="AK178" s="234"/>
      <c r="AL178" s="234"/>
      <c r="AM178" s="234"/>
      <c r="AN178" s="244"/>
      <c r="AO178" s="241"/>
      <c r="AP178" s="241"/>
      <c r="AQ178" s="241"/>
      <c r="AR178" s="233">
        <f>_xlfn.XLOOKUP($D178,'Modelling New'!$D:$D,'Modelling New'!$N:$N)</f>
        <v>87.8</v>
      </c>
      <c r="AS178" s="233">
        <f t="shared" si="18"/>
        <v>0</v>
      </c>
    </row>
    <row r="179" spans="1:45">
      <c r="A179" s="232">
        <f t="shared" si="19"/>
        <v>46016</v>
      </c>
      <c r="B179" s="233">
        <f>YEAR(Daily_KPI[[#This Row],[Date]])+IF(MONTH(Daily_KPI[[#This Row],[Date]])&gt;=4,1,0)</f>
        <v>2026</v>
      </c>
      <c r="C179" s="234">
        <f>YEAR(Daily_KPI[[#This Row],[Date]])</f>
        <v>2025</v>
      </c>
      <c r="D179" s="235">
        <f>Daily_KPI[[#This Row],[Date]]-DAY(Daily_KPI[[#This Row],[Date]])+1</f>
        <v>45992</v>
      </c>
      <c r="E179" s="234">
        <f t="shared" si="15"/>
        <v>31</v>
      </c>
      <c r="F179" s="236">
        <f>IFERROR(_xlfn.XLOOKUP($A179,Input_Raw!$A:$A,Input_Raw!$BM:$BM),"")</f>
        <v>0</v>
      </c>
      <c r="G179" s="237">
        <f>IFERROR(_xlfn.XLOOKUP($A179,Input_Raw!$A:$A,Input_Raw!$AN:$AN),"")</f>
        <v>0</v>
      </c>
      <c r="H179" s="237"/>
      <c r="I179" s="237">
        <f>IFERROR(_xlfn.XLOOKUP($A179,Input_Raw!$A:$A,Input_Raw!$AM:$AM),"")</f>
        <v>0</v>
      </c>
      <c r="J179" s="237"/>
      <c r="K179" s="237">
        <f>IFERROR(_xlfn.XLOOKUP($A179,Input_Raw!$A:$A,Input_Raw!AO:AO),"")</f>
        <v>0</v>
      </c>
      <c r="L179" s="237">
        <f>IFERROR(_xlfn.XLOOKUP($A179,Input_Raw!$A:$A,Input_Raw!AP:AP),"")</f>
        <v>0</v>
      </c>
      <c r="M179" s="237">
        <f>IFERROR(_xlfn.XLOOKUP($A179,Input_Raw!$A:$A,Input_Raw!AS:AS),"")</f>
        <v>0</v>
      </c>
      <c r="N179" s="237">
        <f>IFERROR(_xlfn.XLOOKUP($A179,Input_Raw!$A:$A,Input_Raw!AT:AT),"")</f>
        <v>0</v>
      </c>
      <c r="O179" s="238" t="str">
        <f>IFERROR(1-(SUMIF(Plant_BD!$B:$B,$A179,Plant_BD!$AL:$AL)/($AA179+SUMIF(Plant_BD!$B:$B,$A179,Plant_BD!$AL:$AL))),"")</f>
        <v/>
      </c>
      <c r="P179" s="238"/>
      <c r="Q179" s="239"/>
      <c r="R179" s="238" t="str">
        <f>IFERROR(1-(SUMIF(Grid_BD!$B:$B,$A179,Grid_BD!$V:$V)/($AA179+SUMIF(Grid_BD!$B:$B,$A179,Grid_BD!$V:$V))),"")</f>
        <v/>
      </c>
      <c r="S179" s="234"/>
      <c r="T179" s="239"/>
      <c r="U179" s="240" t="str">
        <f t="shared" si="16"/>
        <v/>
      </c>
      <c r="V179" s="240" t="str">
        <f>IFERROR(_xlfn.XLOOKUP($A179,Input_Raw!$A:$A,Input_Raw!$BS:$BS),"")</f>
        <v/>
      </c>
      <c r="W179" s="241">
        <f t="shared" si="17"/>
        <v>0</v>
      </c>
      <c r="X179" s="233">
        <f>IFERROR(_xlfn.XLOOKUP($A179,Input_Raw!$A:$A,Input_Raw!$AW:$AW),"")</f>
        <v>0</v>
      </c>
      <c r="Y179" s="233">
        <f>IFERROR(_xlfn.XLOOKUP($A179,Input_Raw!$A:$A,Input_Raw!$BN:$BN),"")</f>
        <v>0</v>
      </c>
      <c r="Z179" s="233"/>
      <c r="AA179" s="233">
        <f>IFERROR(_xlfn.XLOOKUP($A179,Input_Raw!$A:$A,Input_Raw!$BO:$BO),"")</f>
        <v>0</v>
      </c>
      <c r="AB179" s="233">
        <f>IFERROR(_xlfn.XLOOKUP($A179,Input_Raw!$A:$A,Input_Raw!$BP:$BP),"")</f>
        <v>0</v>
      </c>
      <c r="AC179" s="242">
        <f>IFERROR(_xlfn.XLOOKUP($D179,'Modelling New'!$D:$D,'Modelling New'!P:P),"")</f>
        <v>5.5677419354838706</v>
      </c>
      <c r="AD179" s="233">
        <f>IFERROR(_xlfn.XLOOKUP($D179,'Modelling New'!$D:$D,'Modelling New'!T:T)*1000,"")</f>
        <v>415898.7612063344</v>
      </c>
      <c r="AE179" s="243">
        <f>IFERROR(_xlfn.XLOOKUP($D179,'Modelling New'!$D:$D,'Modelling New'!$O:$O),"")</f>
        <v>0.85077361625866543</v>
      </c>
      <c r="AF179" s="243">
        <f>IFERROR(_xlfn.XLOOKUP($D179,'Modelling New'!$D:$D,'Modelling New'!$W:$W),"")</f>
        <v>0.19737033086860975</v>
      </c>
      <c r="AG179" s="243">
        <f>IFERROR(_xlfn.XLOOKUP($D179,'Modelling New'!$D:$D,'Modelling New'!$AE:$AE),"")</f>
        <v>0.995</v>
      </c>
      <c r="AH179" s="243">
        <f>IFERROR(_xlfn.XLOOKUP($D179,'Modelling New'!$D:$D,'Modelling New'!$AF:$AF),"")</f>
        <v>0.995</v>
      </c>
      <c r="AI179" s="234"/>
      <c r="AJ179" s="234"/>
      <c r="AK179" s="234"/>
      <c r="AL179" s="234"/>
      <c r="AM179" s="234"/>
      <c r="AN179" s="244"/>
      <c r="AO179" s="241"/>
      <c r="AP179" s="241"/>
      <c r="AQ179" s="241"/>
      <c r="AR179" s="233">
        <f>_xlfn.XLOOKUP($D179,'Modelling New'!$D:$D,'Modelling New'!$N:$N)</f>
        <v>87.8</v>
      </c>
      <c r="AS179" s="233">
        <f t="shared" si="18"/>
        <v>0</v>
      </c>
    </row>
    <row r="180" spans="1:45">
      <c r="A180" s="232">
        <f t="shared" si="19"/>
        <v>46017</v>
      </c>
      <c r="B180" s="233">
        <f>YEAR(Daily_KPI[[#This Row],[Date]])+IF(MONTH(Daily_KPI[[#This Row],[Date]])&gt;=4,1,0)</f>
        <v>2026</v>
      </c>
      <c r="C180" s="234">
        <f>YEAR(Daily_KPI[[#This Row],[Date]])</f>
        <v>2025</v>
      </c>
      <c r="D180" s="235">
        <f>Daily_KPI[[#This Row],[Date]]-DAY(Daily_KPI[[#This Row],[Date]])+1</f>
        <v>45992</v>
      </c>
      <c r="E180" s="234">
        <f t="shared" si="15"/>
        <v>31</v>
      </c>
      <c r="F180" s="236">
        <f>IFERROR(_xlfn.XLOOKUP($A180,Input_Raw!$A:$A,Input_Raw!$BM:$BM),"")</f>
        <v>0</v>
      </c>
      <c r="G180" s="237">
        <f>IFERROR(_xlfn.XLOOKUP($A180,Input_Raw!$A:$A,Input_Raw!$AN:$AN),"")</f>
        <v>0</v>
      </c>
      <c r="H180" s="237"/>
      <c r="I180" s="237">
        <f>IFERROR(_xlfn.XLOOKUP($A180,Input_Raw!$A:$A,Input_Raw!$AM:$AM),"")</f>
        <v>0</v>
      </c>
      <c r="J180" s="237"/>
      <c r="K180" s="237">
        <f>IFERROR(_xlfn.XLOOKUP($A180,Input_Raw!$A:$A,Input_Raw!AO:AO),"")</f>
        <v>0</v>
      </c>
      <c r="L180" s="237">
        <f>IFERROR(_xlfn.XLOOKUP($A180,Input_Raw!$A:$A,Input_Raw!AP:AP),"")</f>
        <v>0</v>
      </c>
      <c r="M180" s="237">
        <f>IFERROR(_xlfn.XLOOKUP($A180,Input_Raw!$A:$A,Input_Raw!AS:AS),"")</f>
        <v>0</v>
      </c>
      <c r="N180" s="237">
        <f>IFERROR(_xlfn.XLOOKUP($A180,Input_Raw!$A:$A,Input_Raw!AT:AT),"")</f>
        <v>0</v>
      </c>
      <c r="O180" s="238" t="str">
        <f>IFERROR(1-(SUMIF(Plant_BD!$B:$B,$A180,Plant_BD!$AL:$AL)/($AA180+SUMIF(Plant_BD!$B:$B,$A180,Plant_BD!$AL:$AL))),"")</f>
        <v/>
      </c>
      <c r="P180" s="238"/>
      <c r="Q180" s="239"/>
      <c r="R180" s="238" t="str">
        <f>IFERROR(1-(SUMIF(Grid_BD!$B:$B,$A180,Grid_BD!$V:$V)/($AA180+SUMIF(Grid_BD!$B:$B,$A180,Grid_BD!$V:$V))),"")</f>
        <v/>
      </c>
      <c r="S180" s="234"/>
      <c r="T180" s="239"/>
      <c r="U180" s="240" t="str">
        <f t="shared" si="16"/>
        <v/>
      </c>
      <c r="V180" s="240" t="str">
        <f>IFERROR(_xlfn.XLOOKUP($A180,Input_Raw!$A:$A,Input_Raw!$BS:$BS),"")</f>
        <v/>
      </c>
      <c r="W180" s="241">
        <f t="shared" si="17"/>
        <v>0</v>
      </c>
      <c r="X180" s="233">
        <f>IFERROR(_xlfn.XLOOKUP($A180,Input_Raw!$A:$A,Input_Raw!$AW:$AW),"")</f>
        <v>0</v>
      </c>
      <c r="Y180" s="233">
        <f>IFERROR(_xlfn.XLOOKUP($A180,Input_Raw!$A:$A,Input_Raw!$BN:$BN),"")</f>
        <v>0</v>
      </c>
      <c r="Z180" s="233"/>
      <c r="AA180" s="233">
        <f>IFERROR(_xlfn.XLOOKUP($A180,Input_Raw!$A:$A,Input_Raw!$BO:$BO),"")</f>
        <v>0</v>
      </c>
      <c r="AB180" s="233">
        <f>IFERROR(_xlfn.XLOOKUP($A180,Input_Raw!$A:$A,Input_Raw!$BP:$BP),"")</f>
        <v>0</v>
      </c>
      <c r="AC180" s="242">
        <f>IFERROR(_xlfn.XLOOKUP($D180,'Modelling New'!$D:$D,'Modelling New'!P:P),"")</f>
        <v>5.5677419354838706</v>
      </c>
      <c r="AD180" s="233">
        <f>IFERROR(_xlfn.XLOOKUP($D180,'Modelling New'!$D:$D,'Modelling New'!T:T)*1000,"")</f>
        <v>415898.7612063344</v>
      </c>
      <c r="AE180" s="243">
        <f>IFERROR(_xlfn.XLOOKUP($D180,'Modelling New'!$D:$D,'Modelling New'!$O:$O),"")</f>
        <v>0.85077361625866543</v>
      </c>
      <c r="AF180" s="243">
        <f>IFERROR(_xlfn.XLOOKUP($D180,'Modelling New'!$D:$D,'Modelling New'!$W:$W),"")</f>
        <v>0.19737033086860975</v>
      </c>
      <c r="AG180" s="243">
        <f>IFERROR(_xlfn.XLOOKUP($D180,'Modelling New'!$D:$D,'Modelling New'!$AE:$AE),"")</f>
        <v>0.995</v>
      </c>
      <c r="AH180" s="243">
        <f>IFERROR(_xlfn.XLOOKUP($D180,'Modelling New'!$D:$D,'Modelling New'!$AF:$AF),"")</f>
        <v>0.995</v>
      </c>
      <c r="AI180" s="234"/>
      <c r="AJ180" s="234"/>
      <c r="AK180" s="234"/>
      <c r="AL180" s="234"/>
      <c r="AM180" s="234"/>
      <c r="AN180" s="244"/>
      <c r="AO180" s="241"/>
      <c r="AP180" s="241"/>
      <c r="AQ180" s="241"/>
      <c r="AR180" s="233">
        <f>_xlfn.XLOOKUP($D180,'Modelling New'!$D:$D,'Modelling New'!$N:$N)</f>
        <v>87.8</v>
      </c>
      <c r="AS180" s="233">
        <f t="shared" si="18"/>
        <v>0</v>
      </c>
    </row>
    <row r="181" spans="1:45">
      <c r="A181" s="232">
        <f t="shared" si="19"/>
        <v>46018</v>
      </c>
      <c r="B181" s="233">
        <f>YEAR(Daily_KPI[[#This Row],[Date]])+IF(MONTH(Daily_KPI[[#This Row],[Date]])&gt;=4,1,0)</f>
        <v>2026</v>
      </c>
      <c r="C181" s="234">
        <f>YEAR(Daily_KPI[[#This Row],[Date]])</f>
        <v>2025</v>
      </c>
      <c r="D181" s="235">
        <f>Daily_KPI[[#This Row],[Date]]-DAY(Daily_KPI[[#This Row],[Date]])+1</f>
        <v>45992</v>
      </c>
      <c r="E181" s="234">
        <f t="shared" si="15"/>
        <v>31</v>
      </c>
      <c r="F181" s="236">
        <f>IFERROR(_xlfn.XLOOKUP($A181,Input_Raw!$A:$A,Input_Raw!$BM:$BM),"")</f>
        <v>0</v>
      </c>
      <c r="G181" s="237">
        <f>IFERROR(_xlfn.XLOOKUP($A181,Input_Raw!$A:$A,Input_Raw!$AN:$AN),"")</f>
        <v>0</v>
      </c>
      <c r="H181" s="237"/>
      <c r="I181" s="237">
        <f>IFERROR(_xlfn.XLOOKUP($A181,Input_Raw!$A:$A,Input_Raw!$AM:$AM),"")</f>
        <v>0</v>
      </c>
      <c r="J181" s="237"/>
      <c r="K181" s="237">
        <f>IFERROR(_xlfn.XLOOKUP($A181,Input_Raw!$A:$A,Input_Raw!AO:AO),"")</f>
        <v>0</v>
      </c>
      <c r="L181" s="237">
        <f>IFERROR(_xlfn.XLOOKUP($A181,Input_Raw!$A:$A,Input_Raw!AP:AP),"")</f>
        <v>0</v>
      </c>
      <c r="M181" s="237">
        <f>IFERROR(_xlfn.XLOOKUP($A181,Input_Raw!$A:$A,Input_Raw!AS:AS),"")</f>
        <v>0</v>
      </c>
      <c r="N181" s="237">
        <f>IFERROR(_xlfn.XLOOKUP($A181,Input_Raw!$A:$A,Input_Raw!AT:AT),"")</f>
        <v>0</v>
      </c>
      <c r="O181" s="238" t="str">
        <f>IFERROR(1-(SUMIF(Plant_BD!$B:$B,$A181,Plant_BD!$AL:$AL)/($AA181+SUMIF(Plant_BD!$B:$B,$A181,Plant_BD!$AL:$AL))),"")</f>
        <v/>
      </c>
      <c r="P181" s="238"/>
      <c r="Q181" s="239"/>
      <c r="R181" s="238" t="str">
        <f>IFERROR(1-(SUMIF(Grid_BD!$B:$B,$A181,Grid_BD!$V:$V)/($AA181+SUMIF(Grid_BD!$B:$B,$A181,Grid_BD!$V:$V))),"")</f>
        <v/>
      </c>
      <c r="S181" s="234"/>
      <c r="T181" s="239"/>
      <c r="U181" s="240" t="str">
        <f t="shared" si="16"/>
        <v/>
      </c>
      <c r="V181" s="240" t="str">
        <f>IFERROR(_xlfn.XLOOKUP($A181,Input_Raw!$A:$A,Input_Raw!$BS:$BS),"")</f>
        <v/>
      </c>
      <c r="W181" s="241">
        <f t="shared" si="17"/>
        <v>0</v>
      </c>
      <c r="X181" s="233">
        <f>IFERROR(_xlfn.XLOOKUP($A181,Input_Raw!$A:$A,Input_Raw!$AW:$AW),"")</f>
        <v>0</v>
      </c>
      <c r="Y181" s="233">
        <f>IFERROR(_xlfn.XLOOKUP($A181,Input_Raw!$A:$A,Input_Raw!$BN:$BN),"")</f>
        <v>0</v>
      </c>
      <c r="Z181" s="233"/>
      <c r="AA181" s="233">
        <f>IFERROR(_xlfn.XLOOKUP($A181,Input_Raw!$A:$A,Input_Raw!$BO:$BO),"")</f>
        <v>0</v>
      </c>
      <c r="AB181" s="233">
        <f>IFERROR(_xlfn.XLOOKUP($A181,Input_Raw!$A:$A,Input_Raw!$BP:$BP),"")</f>
        <v>0</v>
      </c>
      <c r="AC181" s="242">
        <f>IFERROR(_xlfn.XLOOKUP($D181,'Modelling New'!$D:$D,'Modelling New'!P:P),"")</f>
        <v>5.5677419354838706</v>
      </c>
      <c r="AD181" s="233">
        <f>IFERROR(_xlfn.XLOOKUP($D181,'Modelling New'!$D:$D,'Modelling New'!T:T)*1000,"")</f>
        <v>415898.7612063344</v>
      </c>
      <c r="AE181" s="243">
        <f>IFERROR(_xlfn.XLOOKUP($D181,'Modelling New'!$D:$D,'Modelling New'!$O:$O),"")</f>
        <v>0.85077361625866543</v>
      </c>
      <c r="AF181" s="243">
        <f>IFERROR(_xlfn.XLOOKUP($D181,'Modelling New'!$D:$D,'Modelling New'!$W:$W),"")</f>
        <v>0.19737033086860975</v>
      </c>
      <c r="AG181" s="243">
        <f>IFERROR(_xlfn.XLOOKUP($D181,'Modelling New'!$D:$D,'Modelling New'!$AE:$AE),"")</f>
        <v>0.995</v>
      </c>
      <c r="AH181" s="243">
        <f>IFERROR(_xlfn.XLOOKUP($D181,'Modelling New'!$D:$D,'Modelling New'!$AF:$AF),"")</f>
        <v>0.995</v>
      </c>
      <c r="AI181" s="234"/>
      <c r="AJ181" s="234"/>
      <c r="AK181" s="234"/>
      <c r="AL181" s="234"/>
      <c r="AM181" s="234"/>
      <c r="AN181" s="244"/>
      <c r="AO181" s="241"/>
      <c r="AP181" s="241"/>
      <c r="AQ181" s="241"/>
      <c r="AR181" s="233">
        <f>_xlfn.XLOOKUP($D181,'Modelling New'!$D:$D,'Modelling New'!$N:$N)</f>
        <v>87.8</v>
      </c>
      <c r="AS181" s="233">
        <f t="shared" si="18"/>
        <v>0</v>
      </c>
    </row>
    <row r="182" spans="1:45">
      <c r="A182" s="232">
        <f t="shared" si="19"/>
        <v>46019</v>
      </c>
      <c r="B182" s="233">
        <f>YEAR(Daily_KPI[[#This Row],[Date]])+IF(MONTH(Daily_KPI[[#This Row],[Date]])&gt;=4,1,0)</f>
        <v>2026</v>
      </c>
      <c r="C182" s="234">
        <f>YEAR(Daily_KPI[[#This Row],[Date]])</f>
        <v>2025</v>
      </c>
      <c r="D182" s="235">
        <f>Daily_KPI[[#This Row],[Date]]-DAY(Daily_KPI[[#This Row],[Date]])+1</f>
        <v>45992</v>
      </c>
      <c r="E182" s="234">
        <f t="shared" si="15"/>
        <v>31</v>
      </c>
      <c r="F182" s="236">
        <f>IFERROR(_xlfn.XLOOKUP($A182,Input_Raw!$A:$A,Input_Raw!$BM:$BM),"")</f>
        <v>0</v>
      </c>
      <c r="G182" s="237">
        <f>IFERROR(_xlfn.XLOOKUP($A182,Input_Raw!$A:$A,Input_Raw!$AN:$AN),"")</f>
        <v>0</v>
      </c>
      <c r="H182" s="237"/>
      <c r="I182" s="237">
        <f>IFERROR(_xlfn.XLOOKUP($A182,Input_Raw!$A:$A,Input_Raw!$AM:$AM),"")</f>
        <v>0</v>
      </c>
      <c r="J182" s="237"/>
      <c r="K182" s="237">
        <f>IFERROR(_xlfn.XLOOKUP($A182,Input_Raw!$A:$A,Input_Raw!AO:AO),"")</f>
        <v>0</v>
      </c>
      <c r="L182" s="237">
        <f>IFERROR(_xlfn.XLOOKUP($A182,Input_Raw!$A:$A,Input_Raw!AP:AP),"")</f>
        <v>0</v>
      </c>
      <c r="M182" s="237">
        <f>IFERROR(_xlfn.XLOOKUP($A182,Input_Raw!$A:$A,Input_Raw!AS:AS),"")</f>
        <v>0</v>
      </c>
      <c r="N182" s="237">
        <f>IFERROR(_xlfn.XLOOKUP($A182,Input_Raw!$A:$A,Input_Raw!AT:AT),"")</f>
        <v>0</v>
      </c>
      <c r="O182" s="238" t="str">
        <f>IFERROR(1-(SUMIF(Plant_BD!$B:$B,$A182,Plant_BD!$AL:$AL)/($AA182+SUMIF(Plant_BD!$B:$B,$A182,Plant_BD!$AL:$AL))),"")</f>
        <v/>
      </c>
      <c r="P182" s="238"/>
      <c r="Q182" s="239"/>
      <c r="R182" s="238" t="str">
        <f>IFERROR(1-(SUMIF(Grid_BD!$B:$B,$A182,Grid_BD!$V:$V)/($AA182+SUMIF(Grid_BD!$B:$B,$A182,Grid_BD!$V:$V))),"")</f>
        <v/>
      </c>
      <c r="S182" s="234"/>
      <c r="T182" s="239"/>
      <c r="U182" s="240" t="str">
        <f t="shared" si="16"/>
        <v/>
      </c>
      <c r="V182" s="240" t="str">
        <f>IFERROR(_xlfn.XLOOKUP($A182,Input_Raw!$A:$A,Input_Raw!$BS:$BS),"")</f>
        <v/>
      </c>
      <c r="W182" s="241">
        <f t="shared" si="17"/>
        <v>0</v>
      </c>
      <c r="X182" s="233">
        <f>IFERROR(_xlfn.XLOOKUP($A182,Input_Raw!$A:$A,Input_Raw!$AW:$AW),"")</f>
        <v>0</v>
      </c>
      <c r="Y182" s="233">
        <f>IFERROR(_xlfn.XLOOKUP($A182,Input_Raw!$A:$A,Input_Raw!$BN:$BN),"")</f>
        <v>0</v>
      </c>
      <c r="Z182" s="233"/>
      <c r="AA182" s="233">
        <f>IFERROR(_xlfn.XLOOKUP($A182,Input_Raw!$A:$A,Input_Raw!$BO:$BO),"")</f>
        <v>0</v>
      </c>
      <c r="AB182" s="233">
        <f>IFERROR(_xlfn.XLOOKUP($A182,Input_Raw!$A:$A,Input_Raw!$BP:$BP),"")</f>
        <v>0</v>
      </c>
      <c r="AC182" s="242">
        <f>IFERROR(_xlfn.XLOOKUP($D182,'Modelling New'!$D:$D,'Modelling New'!P:P),"")</f>
        <v>5.5677419354838706</v>
      </c>
      <c r="AD182" s="233">
        <f>IFERROR(_xlfn.XLOOKUP($D182,'Modelling New'!$D:$D,'Modelling New'!T:T)*1000,"")</f>
        <v>415898.7612063344</v>
      </c>
      <c r="AE182" s="243">
        <f>IFERROR(_xlfn.XLOOKUP($D182,'Modelling New'!$D:$D,'Modelling New'!$O:$O),"")</f>
        <v>0.85077361625866543</v>
      </c>
      <c r="AF182" s="243">
        <f>IFERROR(_xlfn.XLOOKUP($D182,'Modelling New'!$D:$D,'Modelling New'!$W:$W),"")</f>
        <v>0.19737033086860975</v>
      </c>
      <c r="AG182" s="243">
        <f>IFERROR(_xlfn.XLOOKUP($D182,'Modelling New'!$D:$D,'Modelling New'!$AE:$AE),"")</f>
        <v>0.995</v>
      </c>
      <c r="AH182" s="243">
        <f>IFERROR(_xlfn.XLOOKUP($D182,'Modelling New'!$D:$D,'Modelling New'!$AF:$AF),"")</f>
        <v>0.995</v>
      </c>
      <c r="AI182" s="234"/>
      <c r="AJ182" s="234"/>
      <c r="AK182" s="234"/>
      <c r="AL182" s="234"/>
      <c r="AM182" s="234"/>
      <c r="AN182" s="244"/>
      <c r="AO182" s="241"/>
      <c r="AP182" s="241"/>
      <c r="AQ182" s="241"/>
      <c r="AR182" s="233">
        <f>_xlfn.XLOOKUP($D182,'Modelling New'!$D:$D,'Modelling New'!$N:$N)</f>
        <v>87.8</v>
      </c>
      <c r="AS182" s="233">
        <f t="shared" si="18"/>
        <v>0</v>
      </c>
    </row>
    <row r="183" spans="1:45">
      <c r="A183" s="232">
        <f t="shared" si="19"/>
        <v>46020</v>
      </c>
      <c r="B183" s="233">
        <f>YEAR(Daily_KPI[[#This Row],[Date]])+IF(MONTH(Daily_KPI[[#This Row],[Date]])&gt;=4,1,0)</f>
        <v>2026</v>
      </c>
      <c r="C183" s="234">
        <f>YEAR(Daily_KPI[[#This Row],[Date]])</f>
        <v>2025</v>
      </c>
      <c r="D183" s="235">
        <f>Daily_KPI[[#This Row],[Date]]-DAY(Daily_KPI[[#This Row],[Date]])+1</f>
        <v>45992</v>
      </c>
      <c r="E183" s="234">
        <f t="shared" si="15"/>
        <v>31</v>
      </c>
      <c r="F183" s="236">
        <f>IFERROR(_xlfn.XLOOKUP($A183,Input_Raw!$A:$A,Input_Raw!$BM:$BM),"")</f>
        <v>0</v>
      </c>
      <c r="G183" s="237">
        <f>IFERROR(_xlfn.XLOOKUP($A183,Input_Raw!$A:$A,Input_Raw!$AN:$AN),"")</f>
        <v>0</v>
      </c>
      <c r="H183" s="237"/>
      <c r="I183" s="237">
        <f>IFERROR(_xlfn.XLOOKUP($A183,Input_Raw!$A:$A,Input_Raw!$AM:$AM),"")</f>
        <v>0</v>
      </c>
      <c r="J183" s="237"/>
      <c r="K183" s="237">
        <f>IFERROR(_xlfn.XLOOKUP($A183,Input_Raw!$A:$A,Input_Raw!AO:AO),"")</f>
        <v>0</v>
      </c>
      <c r="L183" s="237">
        <f>IFERROR(_xlfn.XLOOKUP($A183,Input_Raw!$A:$A,Input_Raw!AP:AP),"")</f>
        <v>0</v>
      </c>
      <c r="M183" s="237">
        <f>IFERROR(_xlfn.XLOOKUP($A183,Input_Raw!$A:$A,Input_Raw!AS:AS),"")</f>
        <v>0</v>
      </c>
      <c r="N183" s="237">
        <f>IFERROR(_xlfn.XLOOKUP($A183,Input_Raw!$A:$A,Input_Raw!AT:AT),"")</f>
        <v>0</v>
      </c>
      <c r="O183" s="238" t="str">
        <f>IFERROR(1-(SUMIF(Plant_BD!$B:$B,$A183,Plant_BD!$AL:$AL)/($AA183+SUMIF(Plant_BD!$B:$B,$A183,Plant_BD!$AL:$AL))),"")</f>
        <v/>
      </c>
      <c r="P183" s="238"/>
      <c r="Q183" s="239"/>
      <c r="R183" s="238" t="str">
        <f>IFERROR(1-(SUMIF(Grid_BD!$B:$B,$A183,Grid_BD!$V:$V)/($AA183+SUMIF(Grid_BD!$B:$B,$A183,Grid_BD!$V:$V))),"")</f>
        <v/>
      </c>
      <c r="S183" s="234"/>
      <c r="T183" s="239"/>
      <c r="U183" s="240" t="str">
        <f t="shared" si="16"/>
        <v/>
      </c>
      <c r="V183" s="240" t="str">
        <f>IFERROR(_xlfn.XLOOKUP($A183,Input_Raw!$A:$A,Input_Raw!$BS:$BS),"")</f>
        <v/>
      </c>
      <c r="W183" s="241">
        <f t="shared" si="17"/>
        <v>0</v>
      </c>
      <c r="X183" s="233">
        <f>IFERROR(_xlfn.XLOOKUP($A183,Input_Raw!$A:$A,Input_Raw!$AW:$AW),"")</f>
        <v>0</v>
      </c>
      <c r="Y183" s="233">
        <f>IFERROR(_xlfn.XLOOKUP($A183,Input_Raw!$A:$A,Input_Raw!$BN:$BN),"")</f>
        <v>0</v>
      </c>
      <c r="Z183" s="233"/>
      <c r="AA183" s="233">
        <f>IFERROR(_xlfn.XLOOKUP($A183,Input_Raw!$A:$A,Input_Raw!$BO:$BO),"")</f>
        <v>0</v>
      </c>
      <c r="AB183" s="233">
        <f>IFERROR(_xlfn.XLOOKUP($A183,Input_Raw!$A:$A,Input_Raw!$BP:$BP),"")</f>
        <v>0</v>
      </c>
      <c r="AC183" s="242">
        <f>IFERROR(_xlfn.XLOOKUP($D183,'Modelling New'!$D:$D,'Modelling New'!P:P),"")</f>
        <v>5.5677419354838706</v>
      </c>
      <c r="AD183" s="233">
        <f>IFERROR(_xlfn.XLOOKUP($D183,'Modelling New'!$D:$D,'Modelling New'!T:T)*1000,"")</f>
        <v>415898.7612063344</v>
      </c>
      <c r="AE183" s="243">
        <f>IFERROR(_xlfn.XLOOKUP($D183,'Modelling New'!$D:$D,'Modelling New'!$O:$O),"")</f>
        <v>0.85077361625866543</v>
      </c>
      <c r="AF183" s="243">
        <f>IFERROR(_xlfn.XLOOKUP($D183,'Modelling New'!$D:$D,'Modelling New'!$W:$W),"")</f>
        <v>0.19737033086860975</v>
      </c>
      <c r="AG183" s="243">
        <f>IFERROR(_xlfn.XLOOKUP($D183,'Modelling New'!$D:$D,'Modelling New'!$AE:$AE),"")</f>
        <v>0.995</v>
      </c>
      <c r="AH183" s="243">
        <f>IFERROR(_xlfn.XLOOKUP($D183,'Modelling New'!$D:$D,'Modelling New'!$AF:$AF),"")</f>
        <v>0.995</v>
      </c>
      <c r="AI183" s="234"/>
      <c r="AJ183" s="234"/>
      <c r="AK183" s="234"/>
      <c r="AL183" s="234"/>
      <c r="AM183" s="234"/>
      <c r="AN183" s="244"/>
      <c r="AO183" s="241"/>
      <c r="AP183" s="241"/>
      <c r="AQ183" s="241"/>
      <c r="AR183" s="233">
        <f>_xlfn.XLOOKUP($D183,'Modelling New'!$D:$D,'Modelling New'!$N:$N)</f>
        <v>87.8</v>
      </c>
      <c r="AS183" s="233">
        <f t="shared" si="18"/>
        <v>0</v>
      </c>
    </row>
    <row r="184" spans="1:45">
      <c r="A184" s="232">
        <f t="shared" si="19"/>
        <v>46021</v>
      </c>
      <c r="B184" s="233">
        <f>YEAR(Daily_KPI[[#This Row],[Date]])+IF(MONTH(Daily_KPI[[#This Row],[Date]])&gt;=4,1,0)</f>
        <v>2026</v>
      </c>
      <c r="C184" s="234">
        <f>YEAR(Daily_KPI[[#This Row],[Date]])</f>
        <v>2025</v>
      </c>
      <c r="D184" s="235">
        <f>Daily_KPI[[#This Row],[Date]]-DAY(Daily_KPI[[#This Row],[Date]])+1</f>
        <v>45992</v>
      </c>
      <c r="E184" s="234">
        <f t="shared" si="15"/>
        <v>31</v>
      </c>
      <c r="F184" s="236">
        <f>IFERROR(_xlfn.XLOOKUP($A184,Input_Raw!$A:$A,Input_Raw!$BM:$BM),"")</f>
        <v>0</v>
      </c>
      <c r="G184" s="237">
        <f>IFERROR(_xlfn.XLOOKUP($A184,Input_Raw!$A:$A,Input_Raw!$AN:$AN),"")</f>
        <v>0</v>
      </c>
      <c r="H184" s="237"/>
      <c r="I184" s="237">
        <f>IFERROR(_xlfn.XLOOKUP($A184,Input_Raw!$A:$A,Input_Raw!$AM:$AM),"")</f>
        <v>0</v>
      </c>
      <c r="J184" s="237"/>
      <c r="K184" s="237">
        <f>IFERROR(_xlfn.XLOOKUP($A184,Input_Raw!$A:$A,Input_Raw!AO:AO),"")</f>
        <v>0</v>
      </c>
      <c r="L184" s="237">
        <f>IFERROR(_xlfn.XLOOKUP($A184,Input_Raw!$A:$A,Input_Raw!AP:AP),"")</f>
        <v>0</v>
      </c>
      <c r="M184" s="237">
        <f>IFERROR(_xlfn.XLOOKUP($A184,Input_Raw!$A:$A,Input_Raw!AS:AS),"")</f>
        <v>0</v>
      </c>
      <c r="N184" s="237">
        <f>IFERROR(_xlfn.XLOOKUP($A184,Input_Raw!$A:$A,Input_Raw!AT:AT),"")</f>
        <v>0</v>
      </c>
      <c r="O184" s="238" t="str">
        <f>IFERROR(1-(SUMIF(Plant_BD!$B:$B,$A184,Plant_BD!$AL:$AL)/($AA184+SUMIF(Plant_BD!$B:$B,$A184,Plant_BD!$AL:$AL))),"")</f>
        <v/>
      </c>
      <c r="P184" s="238"/>
      <c r="Q184" s="239"/>
      <c r="R184" s="238" t="str">
        <f>IFERROR(1-(SUMIF(Grid_BD!$B:$B,$A184,Grid_BD!$V:$V)/($AA184+SUMIF(Grid_BD!$B:$B,$A184,Grid_BD!$V:$V))),"")</f>
        <v/>
      </c>
      <c r="S184" s="234"/>
      <c r="T184" s="239"/>
      <c r="U184" s="240" t="str">
        <f t="shared" si="16"/>
        <v/>
      </c>
      <c r="V184" s="240" t="str">
        <f>IFERROR(_xlfn.XLOOKUP($A184,Input_Raw!$A:$A,Input_Raw!$BS:$BS),"")</f>
        <v/>
      </c>
      <c r="W184" s="241">
        <f t="shared" si="17"/>
        <v>0</v>
      </c>
      <c r="X184" s="233">
        <f>IFERROR(_xlfn.XLOOKUP($A184,Input_Raw!$A:$A,Input_Raw!$AW:$AW),"")</f>
        <v>0</v>
      </c>
      <c r="Y184" s="233">
        <f>IFERROR(_xlfn.XLOOKUP($A184,Input_Raw!$A:$A,Input_Raw!$BN:$BN),"")</f>
        <v>0</v>
      </c>
      <c r="Z184" s="233"/>
      <c r="AA184" s="233">
        <f>IFERROR(_xlfn.XLOOKUP($A184,Input_Raw!$A:$A,Input_Raw!$BO:$BO),"")</f>
        <v>0</v>
      </c>
      <c r="AB184" s="233">
        <f>IFERROR(_xlfn.XLOOKUP($A184,Input_Raw!$A:$A,Input_Raw!$BP:$BP),"")</f>
        <v>0</v>
      </c>
      <c r="AC184" s="242">
        <f>IFERROR(_xlfn.XLOOKUP($D184,'Modelling New'!$D:$D,'Modelling New'!P:P),"")</f>
        <v>5.5677419354838706</v>
      </c>
      <c r="AD184" s="233">
        <f>IFERROR(_xlfn.XLOOKUP($D184,'Modelling New'!$D:$D,'Modelling New'!T:T)*1000,"")</f>
        <v>415898.7612063344</v>
      </c>
      <c r="AE184" s="243">
        <f>IFERROR(_xlfn.XLOOKUP($D184,'Modelling New'!$D:$D,'Modelling New'!$O:$O),"")</f>
        <v>0.85077361625866543</v>
      </c>
      <c r="AF184" s="243">
        <f>IFERROR(_xlfn.XLOOKUP($D184,'Modelling New'!$D:$D,'Modelling New'!$W:$W),"")</f>
        <v>0.19737033086860975</v>
      </c>
      <c r="AG184" s="243">
        <f>IFERROR(_xlfn.XLOOKUP($D184,'Modelling New'!$D:$D,'Modelling New'!$AE:$AE),"")</f>
        <v>0.995</v>
      </c>
      <c r="AH184" s="243">
        <f>IFERROR(_xlfn.XLOOKUP($D184,'Modelling New'!$D:$D,'Modelling New'!$AF:$AF),"")</f>
        <v>0.995</v>
      </c>
      <c r="AI184" s="234"/>
      <c r="AJ184" s="234"/>
      <c r="AK184" s="234"/>
      <c r="AL184" s="234"/>
      <c r="AM184" s="234"/>
      <c r="AN184" s="244"/>
      <c r="AO184" s="241"/>
      <c r="AP184" s="241"/>
      <c r="AQ184" s="241"/>
      <c r="AR184" s="233">
        <f>_xlfn.XLOOKUP($D184,'Modelling New'!$D:$D,'Modelling New'!$N:$N)</f>
        <v>87.8</v>
      </c>
      <c r="AS184" s="233">
        <f t="shared" si="18"/>
        <v>0</v>
      </c>
    </row>
    <row r="185" spans="1:45">
      <c r="A185" s="232">
        <f t="shared" si="19"/>
        <v>46022</v>
      </c>
      <c r="B185" s="233">
        <f>YEAR(Daily_KPI[[#This Row],[Date]])+IF(MONTH(Daily_KPI[[#This Row],[Date]])&gt;=4,1,0)</f>
        <v>2026</v>
      </c>
      <c r="C185" s="234">
        <f>YEAR(Daily_KPI[[#This Row],[Date]])</f>
        <v>2025</v>
      </c>
      <c r="D185" s="235">
        <f>Daily_KPI[[#This Row],[Date]]-DAY(Daily_KPI[[#This Row],[Date]])+1</f>
        <v>45992</v>
      </c>
      <c r="E185" s="234">
        <f t="shared" si="15"/>
        <v>31</v>
      </c>
      <c r="F185" s="236">
        <f>IFERROR(_xlfn.XLOOKUP($A185,Input_Raw!$A:$A,Input_Raw!$BM:$BM),"")</f>
        <v>0</v>
      </c>
      <c r="G185" s="237">
        <f>IFERROR(_xlfn.XLOOKUP($A185,Input_Raw!$A:$A,Input_Raw!$AN:$AN),"")</f>
        <v>0</v>
      </c>
      <c r="H185" s="237"/>
      <c r="I185" s="237">
        <f>IFERROR(_xlfn.XLOOKUP($A185,Input_Raw!$A:$A,Input_Raw!$AM:$AM),"")</f>
        <v>0</v>
      </c>
      <c r="J185" s="237"/>
      <c r="K185" s="237">
        <f>IFERROR(_xlfn.XLOOKUP($A185,Input_Raw!$A:$A,Input_Raw!AO:AO),"")</f>
        <v>0</v>
      </c>
      <c r="L185" s="237">
        <f>IFERROR(_xlfn.XLOOKUP($A185,Input_Raw!$A:$A,Input_Raw!AP:AP),"")</f>
        <v>0</v>
      </c>
      <c r="M185" s="237">
        <f>IFERROR(_xlfn.XLOOKUP($A185,Input_Raw!$A:$A,Input_Raw!AS:AS),"")</f>
        <v>0</v>
      </c>
      <c r="N185" s="237">
        <f>IFERROR(_xlfn.XLOOKUP($A185,Input_Raw!$A:$A,Input_Raw!AT:AT),"")</f>
        <v>0</v>
      </c>
      <c r="O185" s="238" t="str">
        <f>IFERROR(1-(SUMIF(Plant_BD!$B:$B,$A185,Plant_BD!$AL:$AL)/($AA185+SUMIF(Plant_BD!$B:$B,$A185,Plant_BD!$AL:$AL))),"")</f>
        <v/>
      </c>
      <c r="P185" s="238"/>
      <c r="Q185" s="239"/>
      <c r="R185" s="238" t="str">
        <f>IFERROR(1-(SUMIF(Grid_BD!$B:$B,$A185,Grid_BD!$V:$V)/($AA185+SUMIF(Grid_BD!$B:$B,$A185,Grid_BD!$V:$V))),"")</f>
        <v/>
      </c>
      <c r="S185" s="234"/>
      <c r="T185" s="239"/>
      <c r="U185" s="240" t="str">
        <f t="shared" si="16"/>
        <v/>
      </c>
      <c r="V185" s="240" t="str">
        <f>IFERROR(_xlfn.XLOOKUP($A185,Input_Raw!$A:$A,Input_Raw!$BS:$BS),"")</f>
        <v/>
      </c>
      <c r="W185" s="241">
        <f t="shared" si="17"/>
        <v>0</v>
      </c>
      <c r="X185" s="233">
        <f>IFERROR(_xlfn.XLOOKUP($A185,Input_Raw!$A:$A,Input_Raw!$AW:$AW),"")</f>
        <v>0</v>
      </c>
      <c r="Y185" s="233">
        <f>IFERROR(_xlfn.XLOOKUP($A185,Input_Raw!$A:$A,Input_Raw!$BN:$BN),"")</f>
        <v>0</v>
      </c>
      <c r="Z185" s="233"/>
      <c r="AA185" s="233">
        <f>IFERROR(_xlfn.XLOOKUP($A185,Input_Raw!$A:$A,Input_Raw!$BO:$BO),"")</f>
        <v>0</v>
      </c>
      <c r="AB185" s="233">
        <f>IFERROR(_xlfn.XLOOKUP($A185,Input_Raw!$A:$A,Input_Raw!$BP:$BP),"")</f>
        <v>0</v>
      </c>
      <c r="AC185" s="242">
        <f>IFERROR(_xlfn.XLOOKUP($D185,'Modelling New'!$D:$D,'Modelling New'!P:P),"")</f>
        <v>5.5677419354838706</v>
      </c>
      <c r="AD185" s="233">
        <f>IFERROR(_xlfn.XLOOKUP($D185,'Modelling New'!$D:$D,'Modelling New'!T:T)*1000,"")</f>
        <v>415898.7612063344</v>
      </c>
      <c r="AE185" s="243">
        <f>IFERROR(_xlfn.XLOOKUP($D185,'Modelling New'!$D:$D,'Modelling New'!$O:$O),"")</f>
        <v>0.85077361625866543</v>
      </c>
      <c r="AF185" s="243">
        <f>IFERROR(_xlfn.XLOOKUP($D185,'Modelling New'!$D:$D,'Modelling New'!$W:$W),"")</f>
        <v>0.19737033086860975</v>
      </c>
      <c r="AG185" s="243">
        <f>IFERROR(_xlfn.XLOOKUP($D185,'Modelling New'!$D:$D,'Modelling New'!$AE:$AE),"")</f>
        <v>0.995</v>
      </c>
      <c r="AH185" s="243">
        <f>IFERROR(_xlfn.XLOOKUP($D185,'Modelling New'!$D:$D,'Modelling New'!$AF:$AF),"")</f>
        <v>0.995</v>
      </c>
      <c r="AI185" s="234"/>
      <c r="AJ185" s="234"/>
      <c r="AK185" s="234"/>
      <c r="AL185" s="234"/>
      <c r="AM185" s="234"/>
      <c r="AN185" s="244"/>
      <c r="AO185" s="241"/>
      <c r="AP185" s="241"/>
      <c r="AQ185" s="241"/>
      <c r="AR185" s="233">
        <f>_xlfn.XLOOKUP($D185,'Modelling New'!$D:$D,'Modelling New'!$N:$N)</f>
        <v>87.8</v>
      </c>
      <c r="AS185" s="233">
        <f t="shared" si="18"/>
        <v>0</v>
      </c>
    </row>
    <row r="186" spans="1:45">
      <c r="A186" s="232">
        <f t="shared" si="19"/>
        <v>46023</v>
      </c>
      <c r="B186" s="233">
        <f>YEAR(Daily_KPI[[#This Row],[Date]])+IF(MONTH(Daily_KPI[[#This Row],[Date]])&gt;=4,1,0)</f>
        <v>2026</v>
      </c>
      <c r="C186" s="234">
        <f>YEAR(Daily_KPI[[#This Row],[Date]])</f>
        <v>2026</v>
      </c>
      <c r="D186" s="235">
        <f>Daily_KPI[[#This Row],[Date]]-DAY(Daily_KPI[[#This Row],[Date]])+1</f>
        <v>46023</v>
      </c>
      <c r="E186" s="234">
        <f t="shared" si="15"/>
        <v>31</v>
      </c>
      <c r="F186" s="236">
        <f>IFERROR(_xlfn.XLOOKUP($A186,Input_Raw!$A:$A,Input_Raw!$BM:$BM),"")</f>
        <v>0</v>
      </c>
      <c r="G186" s="237">
        <f>IFERROR(_xlfn.XLOOKUP($A186,Input_Raw!$A:$A,Input_Raw!$AN:$AN),"")</f>
        <v>0</v>
      </c>
      <c r="H186" s="237"/>
      <c r="I186" s="237">
        <f>IFERROR(_xlfn.XLOOKUP($A186,Input_Raw!$A:$A,Input_Raw!$AM:$AM),"")</f>
        <v>0</v>
      </c>
      <c r="J186" s="237"/>
      <c r="K186" s="237">
        <f>IFERROR(_xlfn.XLOOKUP($A186,Input_Raw!$A:$A,Input_Raw!AO:AO),"")</f>
        <v>0</v>
      </c>
      <c r="L186" s="237">
        <f>IFERROR(_xlfn.XLOOKUP($A186,Input_Raw!$A:$A,Input_Raw!AP:AP),"")</f>
        <v>0</v>
      </c>
      <c r="M186" s="237">
        <f>IFERROR(_xlfn.XLOOKUP($A186,Input_Raw!$A:$A,Input_Raw!AS:AS),"")</f>
        <v>0</v>
      </c>
      <c r="N186" s="237">
        <f>IFERROR(_xlfn.XLOOKUP($A186,Input_Raw!$A:$A,Input_Raw!AT:AT),"")</f>
        <v>0</v>
      </c>
      <c r="O186" s="238" t="str">
        <f>IFERROR(1-(SUMIF(Plant_BD!$B:$B,$A186,Plant_BD!$AL:$AL)/($AA186+SUMIF(Plant_BD!$B:$B,$A186,Plant_BD!$AL:$AL))),"")</f>
        <v/>
      </c>
      <c r="P186" s="238"/>
      <c r="Q186" s="239"/>
      <c r="R186" s="238" t="str">
        <f>IFERROR(1-(SUMIF(Grid_BD!$B:$B,$A186,Grid_BD!$V:$V)/($AA186+SUMIF(Grid_BD!$B:$B,$A186,Grid_BD!$V:$V))),"")</f>
        <v/>
      </c>
      <c r="S186" s="234"/>
      <c r="T186" s="239"/>
      <c r="U186" s="240" t="str">
        <f t="shared" si="16"/>
        <v/>
      </c>
      <c r="V186" s="240" t="str">
        <f>IFERROR(_xlfn.XLOOKUP($A186,Input_Raw!$A:$A,Input_Raw!$BS:$BS),"")</f>
        <v/>
      </c>
      <c r="W186" s="241">
        <f t="shared" si="17"/>
        <v>0</v>
      </c>
      <c r="X186" s="233">
        <f>IFERROR(_xlfn.XLOOKUP($A186,Input_Raw!$A:$A,Input_Raw!$AW:$AW),"")</f>
        <v>0</v>
      </c>
      <c r="Y186" s="233">
        <f>IFERROR(_xlfn.XLOOKUP($A186,Input_Raw!$A:$A,Input_Raw!$BN:$BN),"")</f>
        <v>0</v>
      </c>
      <c r="Z186" s="233"/>
      <c r="AA186" s="233">
        <f>IFERROR(_xlfn.XLOOKUP($A186,Input_Raw!$A:$A,Input_Raw!$BO:$BO),"")</f>
        <v>0</v>
      </c>
      <c r="AB186" s="233">
        <f>IFERROR(_xlfn.XLOOKUP($A186,Input_Raw!$A:$A,Input_Raw!$BP:$BP),"")</f>
        <v>0</v>
      </c>
      <c r="AC186" s="242">
        <f>IFERROR(_xlfn.XLOOKUP($D186,'Modelling New'!$D:$D,'Modelling New'!P:P),"")</f>
        <v>5.8000000000000007</v>
      </c>
      <c r="AD186" s="233">
        <f>IFERROR(_xlfn.XLOOKUP($D186,'Modelling New'!$D:$D,'Modelling New'!T:T)*1000,"")</f>
        <v>433850.69222840143</v>
      </c>
      <c r="AE186" s="243">
        <f>IFERROR(_xlfn.XLOOKUP($D186,'Modelling New'!$D:$D,'Modelling New'!$O:$O),"")</f>
        <v>0.85195721512136013</v>
      </c>
      <c r="AF186" s="243">
        <f>IFERROR(_xlfn.XLOOKUP($D186,'Modelling New'!$D:$D,'Modelling New'!$W:$W),"")</f>
        <v>0.2058896603209954</v>
      </c>
      <c r="AG186" s="243">
        <f>IFERROR(_xlfn.XLOOKUP($D186,'Modelling New'!$D:$D,'Modelling New'!$AE:$AE),"")</f>
        <v>0.995</v>
      </c>
      <c r="AH186" s="243">
        <f>IFERROR(_xlfn.XLOOKUP($D186,'Modelling New'!$D:$D,'Modelling New'!$AF:$AF),"")</f>
        <v>0.995</v>
      </c>
      <c r="AI186" s="234"/>
      <c r="AJ186" s="234"/>
      <c r="AK186" s="234"/>
      <c r="AL186" s="234"/>
      <c r="AM186" s="234"/>
      <c r="AN186" s="244"/>
      <c r="AO186" s="241"/>
      <c r="AP186" s="241"/>
      <c r="AQ186" s="241"/>
      <c r="AR186" s="233">
        <f>_xlfn.XLOOKUP($D186,'Modelling New'!$D:$D,'Modelling New'!$N:$N)</f>
        <v>87.8</v>
      </c>
      <c r="AS186" s="233">
        <f t="shared" si="18"/>
        <v>0</v>
      </c>
    </row>
    <row r="187" spans="1:45">
      <c r="A187" s="232">
        <f t="shared" si="19"/>
        <v>46024</v>
      </c>
      <c r="B187" s="233">
        <f>YEAR(Daily_KPI[[#This Row],[Date]])+IF(MONTH(Daily_KPI[[#This Row],[Date]])&gt;=4,1,0)</f>
        <v>2026</v>
      </c>
      <c r="C187" s="234">
        <f>YEAR(Daily_KPI[[#This Row],[Date]])</f>
        <v>2026</v>
      </c>
      <c r="D187" s="235">
        <f>Daily_KPI[[#This Row],[Date]]-DAY(Daily_KPI[[#This Row],[Date]])+1</f>
        <v>46023</v>
      </c>
      <c r="E187" s="234">
        <f t="shared" si="15"/>
        <v>31</v>
      </c>
      <c r="F187" s="236">
        <f>IFERROR(_xlfn.XLOOKUP($A187,Input_Raw!$A:$A,Input_Raw!$BM:$BM),"")</f>
        <v>0</v>
      </c>
      <c r="G187" s="237">
        <f>IFERROR(_xlfn.XLOOKUP($A187,Input_Raw!$A:$A,Input_Raw!$AN:$AN),"")</f>
        <v>0</v>
      </c>
      <c r="H187" s="237"/>
      <c r="I187" s="237">
        <f>IFERROR(_xlfn.XLOOKUP($A187,Input_Raw!$A:$A,Input_Raw!$AM:$AM),"")</f>
        <v>0</v>
      </c>
      <c r="J187" s="237"/>
      <c r="K187" s="237">
        <f>IFERROR(_xlfn.XLOOKUP($A187,Input_Raw!$A:$A,Input_Raw!AO:AO),"")</f>
        <v>0</v>
      </c>
      <c r="L187" s="237">
        <f>IFERROR(_xlfn.XLOOKUP($A187,Input_Raw!$A:$A,Input_Raw!AP:AP),"")</f>
        <v>0</v>
      </c>
      <c r="M187" s="237">
        <f>IFERROR(_xlfn.XLOOKUP($A187,Input_Raw!$A:$A,Input_Raw!AS:AS),"")</f>
        <v>0</v>
      </c>
      <c r="N187" s="237">
        <f>IFERROR(_xlfn.XLOOKUP($A187,Input_Raw!$A:$A,Input_Raw!AT:AT),"")</f>
        <v>0</v>
      </c>
      <c r="O187" s="238" t="str">
        <f>IFERROR(1-(SUMIF(Plant_BD!$B:$B,$A187,Plant_BD!$AL:$AL)/($AA187+SUMIF(Plant_BD!$B:$B,$A187,Plant_BD!$AL:$AL))),"")</f>
        <v/>
      </c>
      <c r="P187" s="238"/>
      <c r="Q187" s="239"/>
      <c r="R187" s="238" t="str">
        <f>IFERROR(1-(SUMIF(Grid_BD!$B:$B,$A187,Grid_BD!$V:$V)/($AA187+SUMIF(Grid_BD!$B:$B,$A187,Grid_BD!$V:$V))),"")</f>
        <v/>
      </c>
      <c r="S187" s="234"/>
      <c r="T187" s="239"/>
      <c r="U187" s="240" t="str">
        <f t="shared" si="16"/>
        <v/>
      </c>
      <c r="V187" s="240" t="str">
        <f>IFERROR(_xlfn.XLOOKUP($A187,Input_Raw!$A:$A,Input_Raw!$BS:$BS),"")</f>
        <v/>
      </c>
      <c r="W187" s="241">
        <f t="shared" si="17"/>
        <v>0</v>
      </c>
      <c r="X187" s="233">
        <f>IFERROR(_xlfn.XLOOKUP($A187,Input_Raw!$A:$A,Input_Raw!$AW:$AW),"")</f>
        <v>0</v>
      </c>
      <c r="Y187" s="233">
        <f>IFERROR(_xlfn.XLOOKUP($A187,Input_Raw!$A:$A,Input_Raw!$BN:$BN),"")</f>
        <v>0</v>
      </c>
      <c r="Z187" s="233"/>
      <c r="AA187" s="233">
        <f>IFERROR(_xlfn.XLOOKUP($A187,Input_Raw!$A:$A,Input_Raw!$BO:$BO),"")</f>
        <v>0</v>
      </c>
      <c r="AB187" s="233">
        <f>IFERROR(_xlfn.XLOOKUP($A187,Input_Raw!$A:$A,Input_Raw!$BP:$BP),"")</f>
        <v>0</v>
      </c>
      <c r="AC187" s="242">
        <f>IFERROR(_xlfn.XLOOKUP($D187,'Modelling New'!$D:$D,'Modelling New'!P:P),"")</f>
        <v>5.8000000000000007</v>
      </c>
      <c r="AD187" s="233">
        <f>IFERROR(_xlfn.XLOOKUP($D187,'Modelling New'!$D:$D,'Modelling New'!T:T)*1000,"")</f>
        <v>433850.69222840143</v>
      </c>
      <c r="AE187" s="243">
        <f>IFERROR(_xlfn.XLOOKUP($D187,'Modelling New'!$D:$D,'Modelling New'!$O:$O),"")</f>
        <v>0.85195721512136013</v>
      </c>
      <c r="AF187" s="243">
        <f>IFERROR(_xlfn.XLOOKUP($D187,'Modelling New'!$D:$D,'Modelling New'!$W:$W),"")</f>
        <v>0.2058896603209954</v>
      </c>
      <c r="AG187" s="243">
        <f>IFERROR(_xlfn.XLOOKUP($D187,'Modelling New'!$D:$D,'Modelling New'!$AE:$AE),"")</f>
        <v>0.995</v>
      </c>
      <c r="AH187" s="243">
        <f>IFERROR(_xlfn.XLOOKUP($D187,'Modelling New'!$D:$D,'Modelling New'!$AF:$AF),"")</f>
        <v>0.995</v>
      </c>
      <c r="AI187" s="234"/>
      <c r="AJ187" s="234"/>
      <c r="AK187" s="234"/>
      <c r="AL187" s="234"/>
      <c r="AM187" s="234"/>
      <c r="AN187" s="244"/>
      <c r="AO187" s="241"/>
      <c r="AP187" s="241"/>
      <c r="AQ187" s="241"/>
      <c r="AR187" s="233">
        <f>_xlfn.XLOOKUP($D187,'Modelling New'!$D:$D,'Modelling New'!$N:$N)</f>
        <v>87.8</v>
      </c>
      <c r="AS187" s="233">
        <f t="shared" si="18"/>
        <v>0</v>
      </c>
    </row>
    <row r="188" spans="1:45">
      <c r="A188" s="232">
        <f t="shared" si="19"/>
        <v>46025</v>
      </c>
      <c r="B188" s="233">
        <f>YEAR(Daily_KPI[[#This Row],[Date]])+IF(MONTH(Daily_KPI[[#This Row],[Date]])&gt;=4,1,0)</f>
        <v>2026</v>
      </c>
      <c r="C188" s="234">
        <f>YEAR(Daily_KPI[[#This Row],[Date]])</f>
        <v>2026</v>
      </c>
      <c r="D188" s="235">
        <f>Daily_KPI[[#This Row],[Date]]-DAY(Daily_KPI[[#This Row],[Date]])+1</f>
        <v>46023</v>
      </c>
      <c r="E188" s="234">
        <f t="shared" si="15"/>
        <v>31</v>
      </c>
      <c r="F188" s="236">
        <f>IFERROR(_xlfn.XLOOKUP($A188,Input_Raw!$A:$A,Input_Raw!$BM:$BM),"")</f>
        <v>0</v>
      </c>
      <c r="G188" s="237">
        <f>IFERROR(_xlfn.XLOOKUP($A188,Input_Raw!$A:$A,Input_Raw!$AN:$AN),"")</f>
        <v>0</v>
      </c>
      <c r="H188" s="237"/>
      <c r="I188" s="237">
        <f>IFERROR(_xlfn.XLOOKUP($A188,Input_Raw!$A:$A,Input_Raw!$AM:$AM),"")</f>
        <v>0</v>
      </c>
      <c r="J188" s="237"/>
      <c r="K188" s="237">
        <f>IFERROR(_xlfn.XLOOKUP($A188,Input_Raw!$A:$A,Input_Raw!AO:AO),"")</f>
        <v>0</v>
      </c>
      <c r="L188" s="237">
        <f>IFERROR(_xlfn.XLOOKUP($A188,Input_Raw!$A:$A,Input_Raw!AP:AP),"")</f>
        <v>0</v>
      </c>
      <c r="M188" s="237">
        <f>IFERROR(_xlfn.XLOOKUP($A188,Input_Raw!$A:$A,Input_Raw!AS:AS),"")</f>
        <v>0</v>
      </c>
      <c r="N188" s="237">
        <f>IFERROR(_xlfn.XLOOKUP($A188,Input_Raw!$A:$A,Input_Raw!AT:AT),"")</f>
        <v>0</v>
      </c>
      <c r="O188" s="238" t="str">
        <f>IFERROR(1-(SUMIF(Plant_BD!$B:$B,$A188,Plant_BD!$AL:$AL)/($AA188+SUMIF(Plant_BD!$B:$B,$A188,Plant_BD!$AL:$AL))),"")</f>
        <v/>
      </c>
      <c r="P188" s="238"/>
      <c r="Q188" s="239"/>
      <c r="R188" s="238" t="str">
        <f>IFERROR(1-(SUMIF(Grid_BD!$B:$B,$A188,Grid_BD!$V:$V)/($AA188+SUMIF(Grid_BD!$B:$B,$A188,Grid_BD!$V:$V))),"")</f>
        <v/>
      </c>
      <c r="S188" s="234"/>
      <c r="T188" s="239"/>
      <c r="U188" s="240" t="str">
        <f t="shared" si="16"/>
        <v/>
      </c>
      <c r="V188" s="240" t="str">
        <f>IFERROR(_xlfn.XLOOKUP($A188,Input_Raw!$A:$A,Input_Raw!$BS:$BS),"")</f>
        <v/>
      </c>
      <c r="W188" s="241">
        <f t="shared" si="17"/>
        <v>0</v>
      </c>
      <c r="X188" s="233">
        <f>IFERROR(_xlfn.XLOOKUP($A188,Input_Raw!$A:$A,Input_Raw!$AW:$AW),"")</f>
        <v>0</v>
      </c>
      <c r="Y188" s="233">
        <f>IFERROR(_xlfn.XLOOKUP($A188,Input_Raw!$A:$A,Input_Raw!$BN:$BN),"")</f>
        <v>0</v>
      </c>
      <c r="Z188" s="233"/>
      <c r="AA188" s="233">
        <f>IFERROR(_xlfn.XLOOKUP($A188,Input_Raw!$A:$A,Input_Raw!$BO:$BO),"")</f>
        <v>0</v>
      </c>
      <c r="AB188" s="233">
        <f>IFERROR(_xlfn.XLOOKUP($A188,Input_Raw!$A:$A,Input_Raw!$BP:$BP),"")</f>
        <v>0</v>
      </c>
      <c r="AC188" s="242">
        <f>IFERROR(_xlfn.XLOOKUP($D188,'Modelling New'!$D:$D,'Modelling New'!P:P),"")</f>
        <v>5.8000000000000007</v>
      </c>
      <c r="AD188" s="233">
        <f>IFERROR(_xlfn.XLOOKUP($D188,'Modelling New'!$D:$D,'Modelling New'!T:T)*1000,"")</f>
        <v>433850.69222840143</v>
      </c>
      <c r="AE188" s="243">
        <f>IFERROR(_xlfn.XLOOKUP($D188,'Modelling New'!$D:$D,'Modelling New'!$O:$O),"")</f>
        <v>0.85195721512136013</v>
      </c>
      <c r="AF188" s="243">
        <f>IFERROR(_xlfn.XLOOKUP($D188,'Modelling New'!$D:$D,'Modelling New'!$W:$W),"")</f>
        <v>0.2058896603209954</v>
      </c>
      <c r="AG188" s="243">
        <f>IFERROR(_xlfn.XLOOKUP($D188,'Modelling New'!$D:$D,'Modelling New'!$AE:$AE),"")</f>
        <v>0.995</v>
      </c>
      <c r="AH188" s="243">
        <f>IFERROR(_xlfn.XLOOKUP($D188,'Modelling New'!$D:$D,'Modelling New'!$AF:$AF),"")</f>
        <v>0.995</v>
      </c>
      <c r="AI188" s="234"/>
      <c r="AJ188" s="234"/>
      <c r="AK188" s="234"/>
      <c r="AL188" s="234"/>
      <c r="AM188" s="234"/>
      <c r="AN188" s="244"/>
      <c r="AO188" s="241"/>
      <c r="AP188" s="241"/>
      <c r="AQ188" s="241"/>
      <c r="AR188" s="233">
        <f>_xlfn.XLOOKUP($D188,'Modelling New'!$D:$D,'Modelling New'!$N:$N)</f>
        <v>87.8</v>
      </c>
      <c r="AS188" s="233">
        <f t="shared" si="18"/>
        <v>0</v>
      </c>
    </row>
    <row r="189" spans="1:45">
      <c r="A189" s="232">
        <f t="shared" si="19"/>
        <v>46026</v>
      </c>
      <c r="B189" s="233">
        <f>YEAR(Daily_KPI[[#This Row],[Date]])+IF(MONTH(Daily_KPI[[#This Row],[Date]])&gt;=4,1,0)</f>
        <v>2026</v>
      </c>
      <c r="C189" s="234">
        <f>YEAR(Daily_KPI[[#This Row],[Date]])</f>
        <v>2026</v>
      </c>
      <c r="D189" s="235">
        <f>Daily_KPI[[#This Row],[Date]]-DAY(Daily_KPI[[#This Row],[Date]])+1</f>
        <v>46023</v>
      </c>
      <c r="E189" s="234">
        <f t="shared" si="15"/>
        <v>31</v>
      </c>
      <c r="F189" s="236">
        <f>IFERROR(_xlfn.XLOOKUP($A189,Input_Raw!$A:$A,Input_Raw!$BM:$BM),"")</f>
        <v>0</v>
      </c>
      <c r="G189" s="237">
        <f>IFERROR(_xlfn.XLOOKUP($A189,Input_Raw!$A:$A,Input_Raw!$AN:$AN),"")</f>
        <v>0</v>
      </c>
      <c r="H189" s="237"/>
      <c r="I189" s="237">
        <f>IFERROR(_xlfn.XLOOKUP($A189,Input_Raw!$A:$A,Input_Raw!$AM:$AM),"")</f>
        <v>0</v>
      </c>
      <c r="J189" s="237"/>
      <c r="K189" s="237">
        <f>IFERROR(_xlfn.XLOOKUP($A189,Input_Raw!$A:$A,Input_Raw!AO:AO),"")</f>
        <v>0</v>
      </c>
      <c r="L189" s="237">
        <f>IFERROR(_xlfn.XLOOKUP($A189,Input_Raw!$A:$A,Input_Raw!AP:AP),"")</f>
        <v>0</v>
      </c>
      <c r="M189" s="237">
        <f>IFERROR(_xlfn.XLOOKUP($A189,Input_Raw!$A:$A,Input_Raw!AS:AS),"")</f>
        <v>0</v>
      </c>
      <c r="N189" s="237">
        <f>IFERROR(_xlfn.XLOOKUP($A189,Input_Raw!$A:$A,Input_Raw!AT:AT),"")</f>
        <v>0</v>
      </c>
      <c r="O189" s="238" t="str">
        <f>IFERROR(1-(SUMIF(Plant_BD!$B:$B,$A189,Plant_BD!$AL:$AL)/($AA189+SUMIF(Plant_BD!$B:$B,$A189,Plant_BD!$AL:$AL))),"")</f>
        <v/>
      </c>
      <c r="P189" s="238"/>
      <c r="Q189" s="239"/>
      <c r="R189" s="238" t="str">
        <f>IFERROR(1-(SUMIF(Grid_BD!$B:$B,$A189,Grid_BD!$V:$V)/($AA189+SUMIF(Grid_BD!$B:$B,$A189,Grid_BD!$V:$V))),"")</f>
        <v/>
      </c>
      <c r="S189" s="234"/>
      <c r="T189" s="239"/>
      <c r="U189" s="240" t="str">
        <f t="shared" si="16"/>
        <v/>
      </c>
      <c r="V189" s="240" t="str">
        <f>IFERROR(_xlfn.XLOOKUP($A189,Input_Raw!$A:$A,Input_Raw!$BS:$BS),"")</f>
        <v/>
      </c>
      <c r="W189" s="241">
        <f t="shared" si="17"/>
        <v>0</v>
      </c>
      <c r="X189" s="233">
        <f>IFERROR(_xlfn.XLOOKUP($A189,Input_Raw!$A:$A,Input_Raw!$AW:$AW),"")</f>
        <v>0</v>
      </c>
      <c r="Y189" s="233">
        <f>IFERROR(_xlfn.XLOOKUP($A189,Input_Raw!$A:$A,Input_Raw!$BN:$BN),"")</f>
        <v>0</v>
      </c>
      <c r="Z189" s="233"/>
      <c r="AA189" s="233">
        <f>IFERROR(_xlfn.XLOOKUP($A189,Input_Raw!$A:$A,Input_Raw!$BO:$BO),"")</f>
        <v>0</v>
      </c>
      <c r="AB189" s="233">
        <f>IFERROR(_xlfn.XLOOKUP($A189,Input_Raw!$A:$A,Input_Raw!$BP:$BP),"")</f>
        <v>0</v>
      </c>
      <c r="AC189" s="242">
        <f>IFERROR(_xlfn.XLOOKUP($D189,'Modelling New'!$D:$D,'Modelling New'!P:P),"")</f>
        <v>5.8000000000000007</v>
      </c>
      <c r="AD189" s="233">
        <f>IFERROR(_xlfn.XLOOKUP($D189,'Modelling New'!$D:$D,'Modelling New'!T:T)*1000,"")</f>
        <v>433850.69222840143</v>
      </c>
      <c r="AE189" s="243">
        <f>IFERROR(_xlfn.XLOOKUP($D189,'Modelling New'!$D:$D,'Modelling New'!$O:$O),"")</f>
        <v>0.85195721512136013</v>
      </c>
      <c r="AF189" s="243">
        <f>IFERROR(_xlfn.XLOOKUP($D189,'Modelling New'!$D:$D,'Modelling New'!$W:$W),"")</f>
        <v>0.2058896603209954</v>
      </c>
      <c r="AG189" s="243">
        <f>IFERROR(_xlfn.XLOOKUP($D189,'Modelling New'!$D:$D,'Modelling New'!$AE:$AE),"")</f>
        <v>0.995</v>
      </c>
      <c r="AH189" s="243">
        <f>IFERROR(_xlfn.XLOOKUP($D189,'Modelling New'!$D:$D,'Modelling New'!$AF:$AF),"")</f>
        <v>0.995</v>
      </c>
      <c r="AI189" s="234"/>
      <c r="AJ189" s="234"/>
      <c r="AK189" s="234"/>
      <c r="AL189" s="234"/>
      <c r="AM189" s="234"/>
      <c r="AN189" s="244"/>
      <c r="AO189" s="241"/>
      <c r="AP189" s="241"/>
      <c r="AQ189" s="241"/>
      <c r="AR189" s="233">
        <f>_xlfn.XLOOKUP($D189,'Modelling New'!$D:$D,'Modelling New'!$N:$N)</f>
        <v>87.8</v>
      </c>
      <c r="AS189" s="233">
        <f t="shared" si="18"/>
        <v>0</v>
      </c>
    </row>
    <row r="190" spans="1:45">
      <c r="A190" s="232">
        <f t="shared" si="19"/>
        <v>46027</v>
      </c>
      <c r="B190" s="233">
        <f>YEAR(Daily_KPI[[#This Row],[Date]])+IF(MONTH(Daily_KPI[[#This Row],[Date]])&gt;=4,1,0)</f>
        <v>2026</v>
      </c>
      <c r="C190" s="234">
        <f>YEAR(Daily_KPI[[#This Row],[Date]])</f>
        <v>2026</v>
      </c>
      <c r="D190" s="235">
        <f>Daily_KPI[[#This Row],[Date]]-DAY(Daily_KPI[[#This Row],[Date]])+1</f>
        <v>46023</v>
      </c>
      <c r="E190" s="234">
        <f t="shared" si="15"/>
        <v>31</v>
      </c>
      <c r="F190" s="236">
        <f>IFERROR(_xlfn.XLOOKUP($A190,Input_Raw!$A:$A,Input_Raw!$BM:$BM),"")</f>
        <v>0</v>
      </c>
      <c r="G190" s="237">
        <f>IFERROR(_xlfn.XLOOKUP($A190,Input_Raw!$A:$A,Input_Raw!$AN:$AN),"")</f>
        <v>0</v>
      </c>
      <c r="H190" s="237"/>
      <c r="I190" s="237">
        <f>IFERROR(_xlfn.XLOOKUP($A190,Input_Raw!$A:$A,Input_Raw!$AM:$AM),"")</f>
        <v>0</v>
      </c>
      <c r="J190" s="237"/>
      <c r="K190" s="237">
        <f>IFERROR(_xlfn.XLOOKUP($A190,Input_Raw!$A:$A,Input_Raw!AO:AO),"")</f>
        <v>0</v>
      </c>
      <c r="L190" s="237">
        <f>IFERROR(_xlfn.XLOOKUP($A190,Input_Raw!$A:$A,Input_Raw!AP:AP),"")</f>
        <v>0</v>
      </c>
      <c r="M190" s="237">
        <f>IFERROR(_xlfn.XLOOKUP($A190,Input_Raw!$A:$A,Input_Raw!AS:AS),"")</f>
        <v>0</v>
      </c>
      <c r="N190" s="237">
        <f>IFERROR(_xlfn.XLOOKUP($A190,Input_Raw!$A:$A,Input_Raw!AT:AT),"")</f>
        <v>0</v>
      </c>
      <c r="O190" s="238" t="str">
        <f>IFERROR(1-(SUMIF(Plant_BD!$B:$B,$A190,Plant_BD!$AL:$AL)/($AA190+SUMIF(Plant_BD!$B:$B,$A190,Plant_BD!$AL:$AL))),"")</f>
        <v/>
      </c>
      <c r="P190" s="238"/>
      <c r="Q190" s="239"/>
      <c r="R190" s="238" t="str">
        <f>IFERROR(1-(SUMIF(Grid_BD!$B:$B,$A190,Grid_BD!$V:$V)/($AA190+SUMIF(Grid_BD!$B:$B,$A190,Grid_BD!$V:$V))),"")</f>
        <v/>
      </c>
      <c r="S190" s="234"/>
      <c r="T190" s="239"/>
      <c r="U190" s="240" t="str">
        <f t="shared" si="16"/>
        <v/>
      </c>
      <c r="V190" s="240" t="str">
        <f>IFERROR(_xlfn.XLOOKUP($A190,Input_Raw!$A:$A,Input_Raw!$BS:$BS),"")</f>
        <v/>
      </c>
      <c r="W190" s="241">
        <f t="shared" si="17"/>
        <v>0</v>
      </c>
      <c r="X190" s="233">
        <f>IFERROR(_xlfn.XLOOKUP($A190,Input_Raw!$A:$A,Input_Raw!$AW:$AW),"")</f>
        <v>0</v>
      </c>
      <c r="Y190" s="233">
        <f>IFERROR(_xlfn.XLOOKUP($A190,Input_Raw!$A:$A,Input_Raw!$BN:$BN),"")</f>
        <v>0</v>
      </c>
      <c r="Z190" s="233"/>
      <c r="AA190" s="233">
        <f>IFERROR(_xlfn.XLOOKUP($A190,Input_Raw!$A:$A,Input_Raw!$BO:$BO),"")</f>
        <v>0</v>
      </c>
      <c r="AB190" s="233">
        <f>IFERROR(_xlfn.XLOOKUP($A190,Input_Raw!$A:$A,Input_Raw!$BP:$BP),"")</f>
        <v>0</v>
      </c>
      <c r="AC190" s="242">
        <f>IFERROR(_xlfn.XLOOKUP($D190,'Modelling New'!$D:$D,'Modelling New'!P:P),"")</f>
        <v>5.8000000000000007</v>
      </c>
      <c r="AD190" s="233">
        <f>IFERROR(_xlfn.XLOOKUP($D190,'Modelling New'!$D:$D,'Modelling New'!T:T)*1000,"")</f>
        <v>433850.69222840143</v>
      </c>
      <c r="AE190" s="243">
        <f>IFERROR(_xlfn.XLOOKUP($D190,'Modelling New'!$D:$D,'Modelling New'!$O:$O),"")</f>
        <v>0.85195721512136013</v>
      </c>
      <c r="AF190" s="243">
        <f>IFERROR(_xlfn.XLOOKUP($D190,'Modelling New'!$D:$D,'Modelling New'!$W:$W),"")</f>
        <v>0.2058896603209954</v>
      </c>
      <c r="AG190" s="243">
        <f>IFERROR(_xlfn.XLOOKUP($D190,'Modelling New'!$D:$D,'Modelling New'!$AE:$AE),"")</f>
        <v>0.995</v>
      </c>
      <c r="AH190" s="243">
        <f>IFERROR(_xlfn.XLOOKUP($D190,'Modelling New'!$D:$D,'Modelling New'!$AF:$AF),"")</f>
        <v>0.995</v>
      </c>
      <c r="AI190" s="234"/>
      <c r="AJ190" s="234"/>
      <c r="AK190" s="234"/>
      <c r="AL190" s="234"/>
      <c r="AM190" s="234"/>
      <c r="AN190" s="244"/>
      <c r="AO190" s="241"/>
      <c r="AP190" s="241"/>
      <c r="AQ190" s="241"/>
      <c r="AR190" s="233">
        <f>_xlfn.XLOOKUP($D190,'Modelling New'!$D:$D,'Modelling New'!$N:$N)</f>
        <v>87.8</v>
      </c>
      <c r="AS190" s="233">
        <f t="shared" si="18"/>
        <v>0</v>
      </c>
    </row>
    <row r="191" spans="1:45">
      <c r="A191" s="232">
        <f t="shared" si="19"/>
        <v>46028</v>
      </c>
      <c r="B191" s="233">
        <f>YEAR(Daily_KPI[[#This Row],[Date]])+IF(MONTH(Daily_KPI[[#This Row],[Date]])&gt;=4,1,0)</f>
        <v>2026</v>
      </c>
      <c r="C191" s="234">
        <f>YEAR(Daily_KPI[[#This Row],[Date]])</f>
        <v>2026</v>
      </c>
      <c r="D191" s="235">
        <f>Daily_KPI[[#This Row],[Date]]-DAY(Daily_KPI[[#This Row],[Date]])+1</f>
        <v>46023</v>
      </c>
      <c r="E191" s="234">
        <f t="shared" si="15"/>
        <v>31</v>
      </c>
      <c r="F191" s="236">
        <f>IFERROR(_xlfn.XLOOKUP($A191,Input_Raw!$A:$A,Input_Raw!$BM:$BM),"")</f>
        <v>0</v>
      </c>
      <c r="G191" s="237">
        <f>IFERROR(_xlfn.XLOOKUP($A191,Input_Raw!$A:$A,Input_Raw!$AN:$AN),"")</f>
        <v>0</v>
      </c>
      <c r="H191" s="237"/>
      <c r="I191" s="237">
        <f>IFERROR(_xlfn.XLOOKUP($A191,Input_Raw!$A:$A,Input_Raw!$AM:$AM),"")</f>
        <v>0</v>
      </c>
      <c r="J191" s="237"/>
      <c r="K191" s="237">
        <f>IFERROR(_xlfn.XLOOKUP($A191,Input_Raw!$A:$A,Input_Raw!AO:AO),"")</f>
        <v>0</v>
      </c>
      <c r="L191" s="237">
        <f>IFERROR(_xlfn.XLOOKUP($A191,Input_Raw!$A:$A,Input_Raw!AP:AP),"")</f>
        <v>0</v>
      </c>
      <c r="M191" s="237">
        <f>IFERROR(_xlfn.XLOOKUP($A191,Input_Raw!$A:$A,Input_Raw!AS:AS),"")</f>
        <v>0</v>
      </c>
      <c r="N191" s="237">
        <f>IFERROR(_xlfn.XLOOKUP($A191,Input_Raw!$A:$A,Input_Raw!AT:AT),"")</f>
        <v>0</v>
      </c>
      <c r="O191" s="238" t="str">
        <f>IFERROR(1-(SUMIF(Plant_BD!$B:$B,$A191,Plant_BD!$AL:$AL)/($AA191+SUMIF(Plant_BD!$B:$B,$A191,Plant_BD!$AL:$AL))),"")</f>
        <v/>
      </c>
      <c r="P191" s="238"/>
      <c r="Q191" s="239"/>
      <c r="R191" s="238" t="str">
        <f>IFERROR(1-(SUMIF(Grid_BD!$B:$B,$A191,Grid_BD!$V:$V)/($AA191+SUMIF(Grid_BD!$B:$B,$A191,Grid_BD!$V:$V))),"")</f>
        <v/>
      </c>
      <c r="S191" s="234"/>
      <c r="T191" s="239"/>
      <c r="U191" s="240" t="str">
        <f t="shared" si="16"/>
        <v/>
      </c>
      <c r="V191" s="240" t="str">
        <f>IFERROR(_xlfn.XLOOKUP($A191,Input_Raw!$A:$A,Input_Raw!$BS:$BS),"")</f>
        <v/>
      </c>
      <c r="W191" s="241">
        <f t="shared" si="17"/>
        <v>0</v>
      </c>
      <c r="X191" s="233">
        <f>IFERROR(_xlfn.XLOOKUP($A191,Input_Raw!$A:$A,Input_Raw!$AW:$AW),"")</f>
        <v>0</v>
      </c>
      <c r="Y191" s="233">
        <f>IFERROR(_xlfn.XLOOKUP($A191,Input_Raw!$A:$A,Input_Raw!$BN:$BN),"")</f>
        <v>0</v>
      </c>
      <c r="Z191" s="233"/>
      <c r="AA191" s="233">
        <f>IFERROR(_xlfn.XLOOKUP($A191,Input_Raw!$A:$A,Input_Raw!$BO:$BO),"")</f>
        <v>0</v>
      </c>
      <c r="AB191" s="233">
        <f>IFERROR(_xlfn.XLOOKUP($A191,Input_Raw!$A:$A,Input_Raw!$BP:$BP),"")</f>
        <v>0</v>
      </c>
      <c r="AC191" s="242">
        <f>IFERROR(_xlfn.XLOOKUP($D191,'Modelling New'!$D:$D,'Modelling New'!P:P),"")</f>
        <v>5.8000000000000007</v>
      </c>
      <c r="AD191" s="233">
        <f>IFERROR(_xlfn.XLOOKUP($D191,'Modelling New'!$D:$D,'Modelling New'!T:T)*1000,"")</f>
        <v>433850.69222840143</v>
      </c>
      <c r="AE191" s="243">
        <f>IFERROR(_xlfn.XLOOKUP($D191,'Modelling New'!$D:$D,'Modelling New'!$O:$O),"")</f>
        <v>0.85195721512136013</v>
      </c>
      <c r="AF191" s="243">
        <f>IFERROR(_xlfn.XLOOKUP($D191,'Modelling New'!$D:$D,'Modelling New'!$W:$W),"")</f>
        <v>0.2058896603209954</v>
      </c>
      <c r="AG191" s="243">
        <f>IFERROR(_xlfn.XLOOKUP($D191,'Modelling New'!$D:$D,'Modelling New'!$AE:$AE),"")</f>
        <v>0.995</v>
      </c>
      <c r="AH191" s="243">
        <f>IFERROR(_xlfn.XLOOKUP($D191,'Modelling New'!$D:$D,'Modelling New'!$AF:$AF),"")</f>
        <v>0.995</v>
      </c>
      <c r="AI191" s="234"/>
      <c r="AJ191" s="234"/>
      <c r="AK191" s="234"/>
      <c r="AL191" s="234"/>
      <c r="AM191" s="234"/>
      <c r="AN191" s="244"/>
      <c r="AO191" s="241"/>
      <c r="AP191" s="241"/>
      <c r="AQ191" s="241"/>
      <c r="AR191" s="233">
        <f>_xlfn.XLOOKUP($D191,'Modelling New'!$D:$D,'Modelling New'!$N:$N)</f>
        <v>87.8</v>
      </c>
      <c r="AS191" s="233">
        <f t="shared" si="18"/>
        <v>0</v>
      </c>
    </row>
    <row r="192" spans="1:45">
      <c r="A192" s="232">
        <f t="shared" si="19"/>
        <v>46029</v>
      </c>
      <c r="B192" s="233">
        <f>YEAR(Daily_KPI[[#This Row],[Date]])+IF(MONTH(Daily_KPI[[#This Row],[Date]])&gt;=4,1,0)</f>
        <v>2026</v>
      </c>
      <c r="C192" s="234">
        <f>YEAR(Daily_KPI[[#This Row],[Date]])</f>
        <v>2026</v>
      </c>
      <c r="D192" s="235">
        <f>Daily_KPI[[#This Row],[Date]]-DAY(Daily_KPI[[#This Row],[Date]])+1</f>
        <v>46023</v>
      </c>
      <c r="E192" s="234">
        <f t="shared" si="15"/>
        <v>31</v>
      </c>
      <c r="F192" s="236">
        <f>IFERROR(_xlfn.XLOOKUP($A192,Input_Raw!$A:$A,Input_Raw!$BM:$BM),"")</f>
        <v>0</v>
      </c>
      <c r="G192" s="237">
        <f>IFERROR(_xlfn.XLOOKUP($A192,Input_Raw!$A:$A,Input_Raw!$AN:$AN),"")</f>
        <v>0</v>
      </c>
      <c r="H192" s="237"/>
      <c r="I192" s="237">
        <f>IFERROR(_xlfn.XLOOKUP($A192,Input_Raw!$A:$A,Input_Raw!$AM:$AM),"")</f>
        <v>0</v>
      </c>
      <c r="J192" s="237"/>
      <c r="K192" s="237">
        <f>IFERROR(_xlfn.XLOOKUP($A192,Input_Raw!$A:$A,Input_Raw!AO:AO),"")</f>
        <v>0</v>
      </c>
      <c r="L192" s="237">
        <f>IFERROR(_xlfn.XLOOKUP($A192,Input_Raw!$A:$A,Input_Raw!AP:AP),"")</f>
        <v>0</v>
      </c>
      <c r="M192" s="237">
        <f>IFERROR(_xlfn.XLOOKUP($A192,Input_Raw!$A:$A,Input_Raw!AS:AS),"")</f>
        <v>0</v>
      </c>
      <c r="N192" s="237">
        <f>IFERROR(_xlfn.XLOOKUP($A192,Input_Raw!$A:$A,Input_Raw!AT:AT),"")</f>
        <v>0</v>
      </c>
      <c r="O192" s="238" t="str">
        <f>IFERROR(1-(SUMIF(Plant_BD!$B:$B,$A192,Plant_BD!$AL:$AL)/($AA192+SUMIF(Plant_BD!$B:$B,$A192,Plant_BD!$AL:$AL))),"")</f>
        <v/>
      </c>
      <c r="P192" s="238"/>
      <c r="Q192" s="239"/>
      <c r="R192" s="238" t="str">
        <f>IFERROR(1-(SUMIF(Grid_BD!$B:$B,$A192,Grid_BD!$V:$V)/($AA192+SUMIF(Grid_BD!$B:$B,$A192,Grid_BD!$V:$V))),"")</f>
        <v/>
      </c>
      <c r="S192" s="234"/>
      <c r="T192" s="239"/>
      <c r="U192" s="240" t="str">
        <f t="shared" si="16"/>
        <v/>
      </c>
      <c r="V192" s="240" t="str">
        <f>IFERROR(_xlfn.XLOOKUP($A192,Input_Raw!$A:$A,Input_Raw!$BS:$BS),"")</f>
        <v/>
      </c>
      <c r="W192" s="241">
        <f t="shared" si="17"/>
        <v>0</v>
      </c>
      <c r="X192" s="233">
        <f>IFERROR(_xlfn.XLOOKUP($A192,Input_Raw!$A:$A,Input_Raw!$AW:$AW),"")</f>
        <v>0</v>
      </c>
      <c r="Y192" s="233">
        <f>IFERROR(_xlfn.XLOOKUP($A192,Input_Raw!$A:$A,Input_Raw!$BN:$BN),"")</f>
        <v>0</v>
      </c>
      <c r="Z192" s="233"/>
      <c r="AA192" s="233">
        <f>IFERROR(_xlfn.XLOOKUP($A192,Input_Raw!$A:$A,Input_Raw!$BO:$BO),"")</f>
        <v>0</v>
      </c>
      <c r="AB192" s="233">
        <f>IFERROR(_xlfn.XLOOKUP($A192,Input_Raw!$A:$A,Input_Raw!$BP:$BP),"")</f>
        <v>0</v>
      </c>
      <c r="AC192" s="242">
        <f>IFERROR(_xlfn.XLOOKUP($D192,'Modelling New'!$D:$D,'Modelling New'!P:P),"")</f>
        <v>5.8000000000000007</v>
      </c>
      <c r="AD192" s="233">
        <f>IFERROR(_xlfn.XLOOKUP($D192,'Modelling New'!$D:$D,'Modelling New'!T:T)*1000,"")</f>
        <v>433850.69222840143</v>
      </c>
      <c r="AE192" s="243">
        <f>IFERROR(_xlfn.XLOOKUP($D192,'Modelling New'!$D:$D,'Modelling New'!$O:$O),"")</f>
        <v>0.85195721512136013</v>
      </c>
      <c r="AF192" s="243">
        <f>IFERROR(_xlfn.XLOOKUP($D192,'Modelling New'!$D:$D,'Modelling New'!$W:$W),"")</f>
        <v>0.2058896603209954</v>
      </c>
      <c r="AG192" s="243">
        <f>IFERROR(_xlfn.XLOOKUP($D192,'Modelling New'!$D:$D,'Modelling New'!$AE:$AE),"")</f>
        <v>0.995</v>
      </c>
      <c r="AH192" s="243">
        <f>IFERROR(_xlfn.XLOOKUP($D192,'Modelling New'!$D:$D,'Modelling New'!$AF:$AF),"")</f>
        <v>0.995</v>
      </c>
      <c r="AI192" s="234"/>
      <c r="AJ192" s="234"/>
      <c r="AK192" s="234"/>
      <c r="AL192" s="234"/>
      <c r="AM192" s="234"/>
      <c r="AN192" s="244"/>
      <c r="AO192" s="241"/>
      <c r="AP192" s="241"/>
      <c r="AQ192" s="241"/>
      <c r="AR192" s="233">
        <f>_xlfn.XLOOKUP($D192,'Modelling New'!$D:$D,'Modelling New'!$N:$N)</f>
        <v>87.8</v>
      </c>
      <c r="AS192" s="233">
        <f t="shared" si="18"/>
        <v>0</v>
      </c>
    </row>
    <row r="193" spans="1:45">
      <c r="A193" s="232">
        <f t="shared" si="19"/>
        <v>46030</v>
      </c>
      <c r="B193" s="233">
        <f>YEAR(Daily_KPI[[#This Row],[Date]])+IF(MONTH(Daily_KPI[[#This Row],[Date]])&gt;=4,1,0)</f>
        <v>2026</v>
      </c>
      <c r="C193" s="234">
        <f>YEAR(Daily_KPI[[#This Row],[Date]])</f>
        <v>2026</v>
      </c>
      <c r="D193" s="235">
        <f>Daily_KPI[[#This Row],[Date]]-DAY(Daily_KPI[[#This Row],[Date]])+1</f>
        <v>46023</v>
      </c>
      <c r="E193" s="234">
        <f t="shared" si="15"/>
        <v>31</v>
      </c>
      <c r="F193" s="236">
        <f>IFERROR(_xlfn.XLOOKUP($A193,Input_Raw!$A:$A,Input_Raw!$BM:$BM),"")</f>
        <v>0</v>
      </c>
      <c r="G193" s="237">
        <f>IFERROR(_xlfn.XLOOKUP($A193,Input_Raw!$A:$A,Input_Raw!$AN:$AN),"")</f>
        <v>0</v>
      </c>
      <c r="H193" s="237"/>
      <c r="I193" s="237">
        <f>IFERROR(_xlfn.XLOOKUP($A193,Input_Raw!$A:$A,Input_Raw!$AM:$AM),"")</f>
        <v>0</v>
      </c>
      <c r="J193" s="237"/>
      <c r="K193" s="237">
        <f>IFERROR(_xlfn.XLOOKUP($A193,Input_Raw!$A:$A,Input_Raw!AO:AO),"")</f>
        <v>0</v>
      </c>
      <c r="L193" s="237">
        <f>IFERROR(_xlfn.XLOOKUP($A193,Input_Raw!$A:$A,Input_Raw!AP:AP),"")</f>
        <v>0</v>
      </c>
      <c r="M193" s="237">
        <f>IFERROR(_xlfn.XLOOKUP($A193,Input_Raw!$A:$A,Input_Raw!AS:AS),"")</f>
        <v>0</v>
      </c>
      <c r="N193" s="237">
        <f>IFERROR(_xlfn.XLOOKUP($A193,Input_Raw!$A:$A,Input_Raw!AT:AT),"")</f>
        <v>0</v>
      </c>
      <c r="O193" s="238" t="str">
        <f>IFERROR(1-(SUMIF(Plant_BD!$B:$B,$A193,Plant_BD!$AL:$AL)/($AA193+SUMIF(Plant_BD!$B:$B,$A193,Plant_BD!$AL:$AL))),"")</f>
        <v/>
      </c>
      <c r="P193" s="238"/>
      <c r="Q193" s="239"/>
      <c r="R193" s="238" t="str">
        <f>IFERROR(1-(SUMIF(Grid_BD!$B:$B,$A193,Grid_BD!$V:$V)/($AA193+SUMIF(Grid_BD!$B:$B,$A193,Grid_BD!$V:$V))),"")</f>
        <v/>
      </c>
      <c r="S193" s="234"/>
      <c r="T193" s="239"/>
      <c r="U193" s="240" t="str">
        <f t="shared" si="16"/>
        <v/>
      </c>
      <c r="V193" s="240" t="str">
        <f>IFERROR(_xlfn.XLOOKUP($A193,Input_Raw!$A:$A,Input_Raw!$BS:$BS),"")</f>
        <v/>
      </c>
      <c r="W193" s="241">
        <f t="shared" si="17"/>
        <v>0</v>
      </c>
      <c r="X193" s="233">
        <f>IFERROR(_xlfn.XLOOKUP($A193,Input_Raw!$A:$A,Input_Raw!$AW:$AW),"")</f>
        <v>0</v>
      </c>
      <c r="Y193" s="233">
        <f>IFERROR(_xlfn.XLOOKUP($A193,Input_Raw!$A:$A,Input_Raw!$BN:$BN),"")</f>
        <v>0</v>
      </c>
      <c r="Z193" s="233"/>
      <c r="AA193" s="233">
        <f>IFERROR(_xlfn.XLOOKUP($A193,Input_Raw!$A:$A,Input_Raw!$BO:$BO),"")</f>
        <v>0</v>
      </c>
      <c r="AB193" s="233">
        <f>IFERROR(_xlfn.XLOOKUP($A193,Input_Raw!$A:$A,Input_Raw!$BP:$BP),"")</f>
        <v>0</v>
      </c>
      <c r="AC193" s="242">
        <f>IFERROR(_xlfn.XLOOKUP($D193,'Modelling New'!$D:$D,'Modelling New'!P:P),"")</f>
        <v>5.8000000000000007</v>
      </c>
      <c r="AD193" s="233">
        <f>IFERROR(_xlfn.XLOOKUP($D193,'Modelling New'!$D:$D,'Modelling New'!T:T)*1000,"")</f>
        <v>433850.69222840143</v>
      </c>
      <c r="AE193" s="243">
        <f>IFERROR(_xlfn.XLOOKUP($D193,'Modelling New'!$D:$D,'Modelling New'!$O:$O),"")</f>
        <v>0.85195721512136013</v>
      </c>
      <c r="AF193" s="243">
        <f>IFERROR(_xlfn.XLOOKUP($D193,'Modelling New'!$D:$D,'Modelling New'!$W:$W),"")</f>
        <v>0.2058896603209954</v>
      </c>
      <c r="AG193" s="243">
        <f>IFERROR(_xlfn.XLOOKUP($D193,'Modelling New'!$D:$D,'Modelling New'!$AE:$AE),"")</f>
        <v>0.995</v>
      </c>
      <c r="AH193" s="243">
        <f>IFERROR(_xlfn.XLOOKUP($D193,'Modelling New'!$D:$D,'Modelling New'!$AF:$AF),"")</f>
        <v>0.995</v>
      </c>
      <c r="AI193" s="234"/>
      <c r="AJ193" s="234"/>
      <c r="AK193" s="234"/>
      <c r="AL193" s="234"/>
      <c r="AM193" s="234"/>
      <c r="AN193" s="244"/>
      <c r="AO193" s="241"/>
      <c r="AP193" s="241"/>
      <c r="AQ193" s="241"/>
      <c r="AR193" s="233">
        <f>_xlfn.XLOOKUP($D193,'Modelling New'!$D:$D,'Modelling New'!$N:$N)</f>
        <v>87.8</v>
      </c>
      <c r="AS193" s="233">
        <f t="shared" si="18"/>
        <v>0</v>
      </c>
    </row>
    <row r="194" spans="1:45">
      <c r="A194" s="232">
        <f t="shared" si="19"/>
        <v>46031</v>
      </c>
      <c r="B194" s="233">
        <f>YEAR(Daily_KPI[[#This Row],[Date]])+IF(MONTH(Daily_KPI[[#This Row],[Date]])&gt;=4,1,0)</f>
        <v>2026</v>
      </c>
      <c r="C194" s="234">
        <f>YEAR(Daily_KPI[[#This Row],[Date]])</f>
        <v>2026</v>
      </c>
      <c r="D194" s="235">
        <f>Daily_KPI[[#This Row],[Date]]-DAY(Daily_KPI[[#This Row],[Date]])+1</f>
        <v>46023</v>
      </c>
      <c r="E194" s="234">
        <f t="shared" si="15"/>
        <v>31</v>
      </c>
      <c r="F194" s="236">
        <f>IFERROR(_xlfn.XLOOKUP($A194,Input_Raw!$A:$A,Input_Raw!$BM:$BM),"")</f>
        <v>0</v>
      </c>
      <c r="G194" s="237">
        <f>IFERROR(_xlfn.XLOOKUP($A194,Input_Raw!$A:$A,Input_Raw!$AN:$AN),"")</f>
        <v>0</v>
      </c>
      <c r="H194" s="237"/>
      <c r="I194" s="237">
        <f>IFERROR(_xlfn.XLOOKUP($A194,Input_Raw!$A:$A,Input_Raw!$AM:$AM),"")</f>
        <v>0</v>
      </c>
      <c r="J194" s="237"/>
      <c r="K194" s="237">
        <f>IFERROR(_xlfn.XLOOKUP($A194,Input_Raw!$A:$A,Input_Raw!AO:AO),"")</f>
        <v>0</v>
      </c>
      <c r="L194" s="237">
        <f>IFERROR(_xlfn.XLOOKUP($A194,Input_Raw!$A:$A,Input_Raw!AP:AP),"")</f>
        <v>0</v>
      </c>
      <c r="M194" s="237">
        <f>IFERROR(_xlfn.XLOOKUP($A194,Input_Raw!$A:$A,Input_Raw!AS:AS),"")</f>
        <v>0</v>
      </c>
      <c r="N194" s="237">
        <f>IFERROR(_xlfn.XLOOKUP($A194,Input_Raw!$A:$A,Input_Raw!AT:AT),"")</f>
        <v>0</v>
      </c>
      <c r="O194" s="238" t="str">
        <f>IFERROR(1-(SUMIF(Plant_BD!$B:$B,$A194,Plant_BD!$AL:$AL)/($AA194+SUMIF(Plant_BD!$B:$B,$A194,Plant_BD!$AL:$AL))),"")</f>
        <v/>
      </c>
      <c r="P194" s="238"/>
      <c r="Q194" s="239"/>
      <c r="R194" s="238" t="str">
        <f>IFERROR(1-(SUMIF(Grid_BD!$B:$B,$A194,Grid_BD!$V:$V)/($AA194+SUMIF(Grid_BD!$B:$B,$A194,Grid_BD!$V:$V))),"")</f>
        <v/>
      </c>
      <c r="S194" s="234"/>
      <c r="T194" s="239"/>
      <c r="U194" s="240" t="str">
        <f t="shared" si="16"/>
        <v/>
      </c>
      <c r="V194" s="240" t="str">
        <f>IFERROR(_xlfn.XLOOKUP($A194,Input_Raw!$A:$A,Input_Raw!$BS:$BS),"")</f>
        <v/>
      </c>
      <c r="W194" s="241">
        <f t="shared" si="17"/>
        <v>0</v>
      </c>
      <c r="X194" s="233">
        <f>IFERROR(_xlfn.XLOOKUP($A194,Input_Raw!$A:$A,Input_Raw!$AW:$AW),"")</f>
        <v>0</v>
      </c>
      <c r="Y194" s="233">
        <f>IFERROR(_xlfn.XLOOKUP($A194,Input_Raw!$A:$A,Input_Raw!$BN:$BN),"")</f>
        <v>0</v>
      </c>
      <c r="Z194" s="233"/>
      <c r="AA194" s="233">
        <f>IFERROR(_xlfn.XLOOKUP($A194,Input_Raw!$A:$A,Input_Raw!$BO:$BO),"")</f>
        <v>0</v>
      </c>
      <c r="AB194" s="233">
        <f>IFERROR(_xlfn.XLOOKUP($A194,Input_Raw!$A:$A,Input_Raw!$BP:$BP),"")</f>
        <v>0</v>
      </c>
      <c r="AC194" s="242">
        <f>IFERROR(_xlfn.XLOOKUP($D194,'Modelling New'!$D:$D,'Modelling New'!P:P),"")</f>
        <v>5.8000000000000007</v>
      </c>
      <c r="AD194" s="233">
        <f>IFERROR(_xlfn.XLOOKUP($D194,'Modelling New'!$D:$D,'Modelling New'!T:T)*1000,"")</f>
        <v>433850.69222840143</v>
      </c>
      <c r="AE194" s="243">
        <f>IFERROR(_xlfn.XLOOKUP($D194,'Modelling New'!$D:$D,'Modelling New'!$O:$O),"")</f>
        <v>0.85195721512136013</v>
      </c>
      <c r="AF194" s="243">
        <f>IFERROR(_xlfn.XLOOKUP($D194,'Modelling New'!$D:$D,'Modelling New'!$W:$W),"")</f>
        <v>0.2058896603209954</v>
      </c>
      <c r="AG194" s="243">
        <f>IFERROR(_xlfn.XLOOKUP($D194,'Modelling New'!$D:$D,'Modelling New'!$AE:$AE),"")</f>
        <v>0.995</v>
      </c>
      <c r="AH194" s="243">
        <f>IFERROR(_xlfn.XLOOKUP($D194,'Modelling New'!$D:$D,'Modelling New'!$AF:$AF),"")</f>
        <v>0.995</v>
      </c>
      <c r="AI194" s="234"/>
      <c r="AJ194" s="234"/>
      <c r="AK194" s="234"/>
      <c r="AL194" s="234"/>
      <c r="AM194" s="234"/>
      <c r="AN194" s="244"/>
      <c r="AO194" s="241"/>
      <c r="AP194" s="241"/>
      <c r="AQ194" s="241"/>
      <c r="AR194" s="233">
        <f>_xlfn.XLOOKUP($D194,'Modelling New'!$D:$D,'Modelling New'!$N:$N)</f>
        <v>87.8</v>
      </c>
      <c r="AS194" s="233">
        <f t="shared" si="18"/>
        <v>0</v>
      </c>
    </row>
    <row r="195" spans="1:45">
      <c r="A195" s="232">
        <f t="shared" si="19"/>
        <v>46032</v>
      </c>
      <c r="B195" s="233">
        <f>YEAR(Daily_KPI[[#This Row],[Date]])+IF(MONTH(Daily_KPI[[#This Row],[Date]])&gt;=4,1,0)</f>
        <v>2026</v>
      </c>
      <c r="C195" s="234">
        <f>YEAR(Daily_KPI[[#This Row],[Date]])</f>
        <v>2026</v>
      </c>
      <c r="D195" s="235">
        <f>Daily_KPI[[#This Row],[Date]]-DAY(Daily_KPI[[#This Row],[Date]])+1</f>
        <v>46023</v>
      </c>
      <c r="E195" s="234">
        <f t="shared" si="15"/>
        <v>31</v>
      </c>
      <c r="F195" s="236">
        <f>IFERROR(_xlfn.XLOOKUP($A195,Input_Raw!$A:$A,Input_Raw!$BM:$BM),"")</f>
        <v>0</v>
      </c>
      <c r="G195" s="237">
        <f>IFERROR(_xlfn.XLOOKUP($A195,Input_Raw!$A:$A,Input_Raw!$AN:$AN),"")</f>
        <v>0</v>
      </c>
      <c r="H195" s="237"/>
      <c r="I195" s="237">
        <f>IFERROR(_xlfn.XLOOKUP($A195,Input_Raw!$A:$A,Input_Raw!$AM:$AM),"")</f>
        <v>0</v>
      </c>
      <c r="J195" s="237"/>
      <c r="K195" s="237">
        <f>IFERROR(_xlfn.XLOOKUP($A195,Input_Raw!$A:$A,Input_Raw!AO:AO),"")</f>
        <v>0</v>
      </c>
      <c r="L195" s="237">
        <f>IFERROR(_xlfn.XLOOKUP($A195,Input_Raw!$A:$A,Input_Raw!AP:AP),"")</f>
        <v>0</v>
      </c>
      <c r="M195" s="237">
        <f>IFERROR(_xlfn.XLOOKUP($A195,Input_Raw!$A:$A,Input_Raw!AS:AS),"")</f>
        <v>0</v>
      </c>
      <c r="N195" s="237">
        <f>IFERROR(_xlfn.XLOOKUP($A195,Input_Raw!$A:$A,Input_Raw!AT:AT),"")</f>
        <v>0</v>
      </c>
      <c r="O195" s="238" t="str">
        <f>IFERROR(1-(SUMIF(Plant_BD!$B:$B,$A195,Plant_BD!$AL:$AL)/($AA195+SUMIF(Plant_BD!$B:$B,$A195,Plant_BD!$AL:$AL))),"")</f>
        <v/>
      </c>
      <c r="P195" s="238"/>
      <c r="Q195" s="239"/>
      <c r="R195" s="238" t="str">
        <f>IFERROR(1-(SUMIF(Grid_BD!$B:$B,$A195,Grid_BD!$V:$V)/($AA195+SUMIF(Grid_BD!$B:$B,$A195,Grid_BD!$V:$V))),"")</f>
        <v/>
      </c>
      <c r="S195" s="234"/>
      <c r="T195" s="239"/>
      <c r="U195" s="240" t="str">
        <f t="shared" si="16"/>
        <v/>
      </c>
      <c r="V195" s="240" t="str">
        <f>IFERROR(_xlfn.XLOOKUP($A195,Input_Raw!$A:$A,Input_Raw!$BS:$BS),"")</f>
        <v/>
      </c>
      <c r="W195" s="241">
        <f t="shared" si="17"/>
        <v>0</v>
      </c>
      <c r="X195" s="233">
        <f>IFERROR(_xlfn.XLOOKUP($A195,Input_Raw!$A:$A,Input_Raw!$AW:$AW),"")</f>
        <v>0</v>
      </c>
      <c r="Y195" s="233">
        <f>IFERROR(_xlfn.XLOOKUP($A195,Input_Raw!$A:$A,Input_Raw!$BN:$BN),"")</f>
        <v>0</v>
      </c>
      <c r="Z195" s="233"/>
      <c r="AA195" s="233">
        <f>IFERROR(_xlfn.XLOOKUP($A195,Input_Raw!$A:$A,Input_Raw!$BO:$BO),"")</f>
        <v>0</v>
      </c>
      <c r="AB195" s="233">
        <f>IFERROR(_xlfn.XLOOKUP($A195,Input_Raw!$A:$A,Input_Raw!$BP:$BP),"")</f>
        <v>0</v>
      </c>
      <c r="AC195" s="242">
        <f>IFERROR(_xlfn.XLOOKUP($D195,'Modelling New'!$D:$D,'Modelling New'!P:P),"")</f>
        <v>5.8000000000000007</v>
      </c>
      <c r="AD195" s="233">
        <f>IFERROR(_xlfn.XLOOKUP($D195,'Modelling New'!$D:$D,'Modelling New'!T:T)*1000,"")</f>
        <v>433850.69222840143</v>
      </c>
      <c r="AE195" s="243">
        <f>IFERROR(_xlfn.XLOOKUP($D195,'Modelling New'!$D:$D,'Modelling New'!$O:$O),"")</f>
        <v>0.85195721512136013</v>
      </c>
      <c r="AF195" s="243">
        <f>IFERROR(_xlfn.XLOOKUP($D195,'Modelling New'!$D:$D,'Modelling New'!$W:$W),"")</f>
        <v>0.2058896603209954</v>
      </c>
      <c r="AG195" s="243">
        <f>IFERROR(_xlfn.XLOOKUP($D195,'Modelling New'!$D:$D,'Modelling New'!$AE:$AE),"")</f>
        <v>0.995</v>
      </c>
      <c r="AH195" s="243">
        <f>IFERROR(_xlfn.XLOOKUP($D195,'Modelling New'!$D:$D,'Modelling New'!$AF:$AF),"")</f>
        <v>0.995</v>
      </c>
      <c r="AI195" s="234"/>
      <c r="AJ195" s="234"/>
      <c r="AK195" s="234"/>
      <c r="AL195" s="234"/>
      <c r="AM195" s="234"/>
      <c r="AN195" s="244"/>
      <c r="AO195" s="241"/>
      <c r="AP195" s="241"/>
      <c r="AQ195" s="241"/>
      <c r="AR195" s="233">
        <f>_xlfn.XLOOKUP($D195,'Modelling New'!$D:$D,'Modelling New'!$N:$N)</f>
        <v>87.8</v>
      </c>
      <c r="AS195" s="233">
        <f t="shared" si="18"/>
        <v>0</v>
      </c>
    </row>
    <row r="196" spans="1:45">
      <c r="A196" s="232">
        <f t="shared" si="19"/>
        <v>46033</v>
      </c>
      <c r="B196" s="233">
        <f>YEAR(Daily_KPI[[#This Row],[Date]])+IF(MONTH(Daily_KPI[[#This Row],[Date]])&gt;=4,1,0)</f>
        <v>2026</v>
      </c>
      <c r="C196" s="234">
        <f>YEAR(Daily_KPI[[#This Row],[Date]])</f>
        <v>2026</v>
      </c>
      <c r="D196" s="235">
        <f>Daily_KPI[[#This Row],[Date]]-DAY(Daily_KPI[[#This Row],[Date]])+1</f>
        <v>46023</v>
      </c>
      <c r="E196" s="234">
        <f t="shared" si="15"/>
        <v>31</v>
      </c>
      <c r="F196" s="236">
        <f>IFERROR(_xlfn.XLOOKUP($A196,Input_Raw!$A:$A,Input_Raw!$BM:$BM),"")</f>
        <v>0</v>
      </c>
      <c r="G196" s="237">
        <f>IFERROR(_xlfn.XLOOKUP($A196,Input_Raw!$A:$A,Input_Raw!$AN:$AN),"")</f>
        <v>0</v>
      </c>
      <c r="H196" s="237"/>
      <c r="I196" s="237">
        <f>IFERROR(_xlfn.XLOOKUP($A196,Input_Raw!$A:$A,Input_Raw!$AM:$AM),"")</f>
        <v>0</v>
      </c>
      <c r="J196" s="237"/>
      <c r="K196" s="237">
        <f>IFERROR(_xlfn.XLOOKUP($A196,Input_Raw!$A:$A,Input_Raw!AO:AO),"")</f>
        <v>0</v>
      </c>
      <c r="L196" s="237">
        <f>IFERROR(_xlfn.XLOOKUP($A196,Input_Raw!$A:$A,Input_Raw!AP:AP),"")</f>
        <v>0</v>
      </c>
      <c r="M196" s="237">
        <f>IFERROR(_xlfn.XLOOKUP($A196,Input_Raw!$A:$A,Input_Raw!AS:AS),"")</f>
        <v>0</v>
      </c>
      <c r="N196" s="237">
        <f>IFERROR(_xlfn.XLOOKUP($A196,Input_Raw!$A:$A,Input_Raw!AT:AT),"")</f>
        <v>0</v>
      </c>
      <c r="O196" s="238" t="str">
        <f>IFERROR(1-(SUMIF(Plant_BD!$B:$B,$A196,Plant_BD!$AL:$AL)/($AA196+SUMIF(Plant_BD!$B:$B,$A196,Plant_BD!$AL:$AL))),"")</f>
        <v/>
      </c>
      <c r="P196" s="238"/>
      <c r="Q196" s="239"/>
      <c r="R196" s="238" t="str">
        <f>IFERROR(1-(SUMIF(Grid_BD!$B:$B,$A196,Grid_BD!$V:$V)/($AA196+SUMIF(Grid_BD!$B:$B,$A196,Grid_BD!$V:$V))),"")</f>
        <v/>
      </c>
      <c r="S196" s="234"/>
      <c r="T196" s="239"/>
      <c r="U196" s="240" t="str">
        <f t="shared" si="16"/>
        <v/>
      </c>
      <c r="V196" s="240" t="str">
        <f>IFERROR(_xlfn.XLOOKUP($A196,Input_Raw!$A:$A,Input_Raw!$BS:$BS),"")</f>
        <v/>
      </c>
      <c r="W196" s="241">
        <f t="shared" si="17"/>
        <v>0</v>
      </c>
      <c r="X196" s="233">
        <f>IFERROR(_xlfn.XLOOKUP($A196,Input_Raw!$A:$A,Input_Raw!$AW:$AW),"")</f>
        <v>0</v>
      </c>
      <c r="Y196" s="233">
        <f>IFERROR(_xlfn.XLOOKUP($A196,Input_Raw!$A:$A,Input_Raw!$BN:$BN),"")</f>
        <v>0</v>
      </c>
      <c r="Z196" s="233"/>
      <c r="AA196" s="233">
        <f>IFERROR(_xlfn.XLOOKUP($A196,Input_Raw!$A:$A,Input_Raw!$BO:$BO),"")</f>
        <v>0</v>
      </c>
      <c r="AB196" s="233">
        <f>IFERROR(_xlfn.XLOOKUP($A196,Input_Raw!$A:$A,Input_Raw!$BP:$BP),"")</f>
        <v>0</v>
      </c>
      <c r="AC196" s="242">
        <f>IFERROR(_xlfn.XLOOKUP($D196,'Modelling New'!$D:$D,'Modelling New'!P:P),"")</f>
        <v>5.8000000000000007</v>
      </c>
      <c r="AD196" s="233">
        <f>IFERROR(_xlfn.XLOOKUP($D196,'Modelling New'!$D:$D,'Modelling New'!T:T)*1000,"")</f>
        <v>433850.69222840143</v>
      </c>
      <c r="AE196" s="243">
        <f>IFERROR(_xlfn.XLOOKUP($D196,'Modelling New'!$D:$D,'Modelling New'!$O:$O),"")</f>
        <v>0.85195721512136013</v>
      </c>
      <c r="AF196" s="243">
        <f>IFERROR(_xlfn.XLOOKUP($D196,'Modelling New'!$D:$D,'Modelling New'!$W:$W),"")</f>
        <v>0.2058896603209954</v>
      </c>
      <c r="AG196" s="243">
        <f>IFERROR(_xlfn.XLOOKUP($D196,'Modelling New'!$D:$D,'Modelling New'!$AE:$AE),"")</f>
        <v>0.995</v>
      </c>
      <c r="AH196" s="243">
        <f>IFERROR(_xlfn.XLOOKUP($D196,'Modelling New'!$D:$D,'Modelling New'!$AF:$AF),"")</f>
        <v>0.995</v>
      </c>
      <c r="AI196" s="234"/>
      <c r="AJ196" s="234"/>
      <c r="AK196" s="234"/>
      <c r="AL196" s="234"/>
      <c r="AM196" s="234"/>
      <c r="AN196" s="244"/>
      <c r="AO196" s="241"/>
      <c r="AP196" s="241"/>
      <c r="AQ196" s="241"/>
      <c r="AR196" s="233">
        <f>_xlfn.XLOOKUP($D196,'Modelling New'!$D:$D,'Modelling New'!$N:$N)</f>
        <v>87.8</v>
      </c>
      <c r="AS196" s="233">
        <f t="shared" si="18"/>
        <v>0</v>
      </c>
    </row>
    <row r="197" spans="1:45">
      <c r="A197" s="232">
        <f t="shared" si="19"/>
        <v>46034</v>
      </c>
      <c r="B197" s="233">
        <f>YEAR(Daily_KPI[[#This Row],[Date]])+IF(MONTH(Daily_KPI[[#This Row],[Date]])&gt;=4,1,0)</f>
        <v>2026</v>
      </c>
      <c r="C197" s="234">
        <f>YEAR(Daily_KPI[[#This Row],[Date]])</f>
        <v>2026</v>
      </c>
      <c r="D197" s="235">
        <f>Daily_KPI[[#This Row],[Date]]-DAY(Daily_KPI[[#This Row],[Date]])+1</f>
        <v>46023</v>
      </c>
      <c r="E197" s="234">
        <f t="shared" si="15"/>
        <v>31</v>
      </c>
      <c r="F197" s="236">
        <f>IFERROR(_xlfn.XLOOKUP($A197,Input_Raw!$A:$A,Input_Raw!$BM:$BM),"")</f>
        <v>0</v>
      </c>
      <c r="G197" s="237">
        <f>IFERROR(_xlfn.XLOOKUP($A197,Input_Raw!$A:$A,Input_Raw!$AN:$AN),"")</f>
        <v>0</v>
      </c>
      <c r="H197" s="237"/>
      <c r="I197" s="237">
        <f>IFERROR(_xlfn.XLOOKUP($A197,Input_Raw!$A:$A,Input_Raw!$AM:$AM),"")</f>
        <v>0</v>
      </c>
      <c r="J197" s="237"/>
      <c r="K197" s="237">
        <f>IFERROR(_xlfn.XLOOKUP($A197,Input_Raw!$A:$A,Input_Raw!AO:AO),"")</f>
        <v>0</v>
      </c>
      <c r="L197" s="237">
        <f>IFERROR(_xlfn.XLOOKUP($A197,Input_Raw!$A:$A,Input_Raw!AP:AP),"")</f>
        <v>0</v>
      </c>
      <c r="M197" s="237">
        <f>IFERROR(_xlfn.XLOOKUP($A197,Input_Raw!$A:$A,Input_Raw!AS:AS),"")</f>
        <v>0</v>
      </c>
      <c r="N197" s="237">
        <f>IFERROR(_xlfn.XLOOKUP($A197,Input_Raw!$A:$A,Input_Raw!AT:AT),"")</f>
        <v>0</v>
      </c>
      <c r="O197" s="238" t="str">
        <f>IFERROR(1-(SUMIF(Plant_BD!$B:$B,$A197,Plant_BD!$AL:$AL)/($AA197+SUMIF(Plant_BD!$B:$B,$A197,Plant_BD!$AL:$AL))),"")</f>
        <v/>
      </c>
      <c r="P197" s="238"/>
      <c r="Q197" s="239"/>
      <c r="R197" s="238" t="str">
        <f>IFERROR(1-(SUMIF(Grid_BD!$B:$B,$A197,Grid_BD!$V:$V)/($AA197+SUMIF(Grid_BD!$B:$B,$A197,Grid_BD!$V:$V))),"")</f>
        <v/>
      </c>
      <c r="S197" s="234"/>
      <c r="T197" s="239"/>
      <c r="U197" s="240" t="str">
        <f t="shared" si="16"/>
        <v/>
      </c>
      <c r="V197" s="240" t="str">
        <f>IFERROR(_xlfn.XLOOKUP($A197,Input_Raw!$A:$A,Input_Raw!$BS:$BS),"")</f>
        <v/>
      </c>
      <c r="W197" s="241">
        <f t="shared" si="17"/>
        <v>0</v>
      </c>
      <c r="X197" s="233">
        <f>IFERROR(_xlfn.XLOOKUP($A197,Input_Raw!$A:$A,Input_Raw!$AW:$AW),"")</f>
        <v>0</v>
      </c>
      <c r="Y197" s="233">
        <f>IFERROR(_xlfn.XLOOKUP($A197,Input_Raw!$A:$A,Input_Raw!$BN:$BN),"")</f>
        <v>0</v>
      </c>
      <c r="Z197" s="233"/>
      <c r="AA197" s="233">
        <f>IFERROR(_xlfn.XLOOKUP($A197,Input_Raw!$A:$A,Input_Raw!$BO:$BO),"")</f>
        <v>0</v>
      </c>
      <c r="AB197" s="233">
        <f>IFERROR(_xlfn.XLOOKUP($A197,Input_Raw!$A:$A,Input_Raw!$BP:$BP),"")</f>
        <v>0</v>
      </c>
      <c r="AC197" s="242">
        <f>IFERROR(_xlfn.XLOOKUP($D197,'Modelling New'!$D:$D,'Modelling New'!P:P),"")</f>
        <v>5.8000000000000007</v>
      </c>
      <c r="AD197" s="233">
        <f>IFERROR(_xlfn.XLOOKUP($D197,'Modelling New'!$D:$D,'Modelling New'!T:T)*1000,"")</f>
        <v>433850.69222840143</v>
      </c>
      <c r="AE197" s="243">
        <f>IFERROR(_xlfn.XLOOKUP($D197,'Modelling New'!$D:$D,'Modelling New'!$O:$O),"")</f>
        <v>0.85195721512136013</v>
      </c>
      <c r="AF197" s="243">
        <f>IFERROR(_xlfn.XLOOKUP($D197,'Modelling New'!$D:$D,'Modelling New'!$W:$W),"")</f>
        <v>0.2058896603209954</v>
      </c>
      <c r="AG197" s="243">
        <f>IFERROR(_xlfn.XLOOKUP($D197,'Modelling New'!$D:$D,'Modelling New'!$AE:$AE),"")</f>
        <v>0.995</v>
      </c>
      <c r="AH197" s="243">
        <f>IFERROR(_xlfn.XLOOKUP($D197,'Modelling New'!$D:$D,'Modelling New'!$AF:$AF),"")</f>
        <v>0.995</v>
      </c>
      <c r="AI197" s="234"/>
      <c r="AJ197" s="234"/>
      <c r="AK197" s="234"/>
      <c r="AL197" s="234"/>
      <c r="AM197" s="234"/>
      <c r="AN197" s="244"/>
      <c r="AO197" s="241"/>
      <c r="AP197" s="241"/>
      <c r="AQ197" s="241"/>
      <c r="AR197" s="233">
        <f>_xlfn.XLOOKUP($D197,'Modelling New'!$D:$D,'Modelling New'!$N:$N)</f>
        <v>87.8</v>
      </c>
      <c r="AS197" s="233">
        <f t="shared" si="18"/>
        <v>0</v>
      </c>
    </row>
    <row r="198" spans="1:45">
      <c r="A198" s="232">
        <f t="shared" si="19"/>
        <v>46035</v>
      </c>
      <c r="B198" s="233">
        <f>YEAR(Daily_KPI[[#This Row],[Date]])+IF(MONTH(Daily_KPI[[#This Row],[Date]])&gt;=4,1,0)</f>
        <v>2026</v>
      </c>
      <c r="C198" s="234">
        <f>YEAR(Daily_KPI[[#This Row],[Date]])</f>
        <v>2026</v>
      </c>
      <c r="D198" s="235">
        <f>Daily_KPI[[#This Row],[Date]]-DAY(Daily_KPI[[#This Row],[Date]])+1</f>
        <v>46023</v>
      </c>
      <c r="E198" s="234">
        <f t="shared" si="15"/>
        <v>31</v>
      </c>
      <c r="F198" s="236">
        <f>IFERROR(_xlfn.XLOOKUP($A198,Input_Raw!$A:$A,Input_Raw!$BM:$BM),"")</f>
        <v>0</v>
      </c>
      <c r="G198" s="237">
        <f>IFERROR(_xlfn.XLOOKUP($A198,Input_Raw!$A:$A,Input_Raw!$AN:$AN),"")</f>
        <v>0</v>
      </c>
      <c r="H198" s="237"/>
      <c r="I198" s="237">
        <f>IFERROR(_xlfn.XLOOKUP($A198,Input_Raw!$A:$A,Input_Raw!$AM:$AM),"")</f>
        <v>0</v>
      </c>
      <c r="J198" s="237"/>
      <c r="K198" s="237">
        <f>IFERROR(_xlfn.XLOOKUP($A198,Input_Raw!$A:$A,Input_Raw!AO:AO),"")</f>
        <v>0</v>
      </c>
      <c r="L198" s="237">
        <f>IFERROR(_xlfn.XLOOKUP($A198,Input_Raw!$A:$A,Input_Raw!AP:AP),"")</f>
        <v>0</v>
      </c>
      <c r="M198" s="237">
        <f>IFERROR(_xlfn.XLOOKUP($A198,Input_Raw!$A:$A,Input_Raw!AS:AS),"")</f>
        <v>0</v>
      </c>
      <c r="N198" s="237">
        <f>IFERROR(_xlfn.XLOOKUP($A198,Input_Raw!$A:$A,Input_Raw!AT:AT),"")</f>
        <v>0</v>
      </c>
      <c r="O198" s="238" t="str">
        <f>IFERROR(1-(SUMIF(Plant_BD!$B:$B,$A198,Plant_BD!$AL:$AL)/($AA198+SUMIF(Plant_BD!$B:$B,$A198,Plant_BD!$AL:$AL))),"")</f>
        <v/>
      </c>
      <c r="P198" s="238"/>
      <c r="Q198" s="239"/>
      <c r="R198" s="238" t="str">
        <f>IFERROR(1-(SUMIF(Grid_BD!$B:$B,$A198,Grid_BD!$V:$V)/($AA198+SUMIF(Grid_BD!$B:$B,$A198,Grid_BD!$V:$V))),"")</f>
        <v/>
      </c>
      <c r="S198" s="234"/>
      <c r="T198" s="239"/>
      <c r="U198" s="240" t="str">
        <f t="shared" si="16"/>
        <v/>
      </c>
      <c r="V198" s="240" t="str">
        <f>IFERROR(_xlfn.XLOOKUP($A198,Input_Raw!$A:$A,Input_Raw!$BS:$BS),"")</f>
        <v/>
      </c>
      <c r="W198" s="241">
        <f t="shared" si="17"/>
        <v>0</v>
      </c>
      <c r="X198" s="233">
        <f>IFERROR(_xlfn.XLOOKUP($A198,Input_Raw!$A:$A,Input_Raw!$AW:$AW),"")</f>
        <v>0</v>
      </c>
      <c r="Y198" s="233">
        <f>IFERROR(_xlfn.XLOOKUP($A198,Input_Raw!$A:$A,Input_Raw!$BN:$BN),"")</f>
        <v>0</v>
      </c>
      <c r="Z198" s="233"/>
      <c r="AA198" s="233">
        <f>IFERROR(_xlfn.XLOOKUP($A198,Input_Raw!$A:$A,Input_Raw!$BO:$BO),"")</f>
        <v>0</v>
      </c>
      <c r="AB198" s="233">
        <f>IFERROR(_xlfn.XLOOKUP($A198,Input_Raw!$A:$A,Input_Raw!$BP:$BP),"")</f>
        <v>0</v>
      </c>
      <c r="AC198" s="242">
        <f>IFERROR(_xlfn.XLOOKUP($D198,'Modelling New'!$D:$D,'Modelling New'!P:P),"")</f>
        <v>5.8000000000000007</v>
      </c>
      <c r="AD198" s="233">
        <f>IFERROR(_xlfn.XLOOKUP($D198,'Modelling New'!$D:$D,'Modelling New'!T:T)*1000,"")</f>
        <v>433850.69222840143</v>
      </c>
      <c r="AE198" s="243">
        <f>IFERROR(_xlfn.XLOOKUP($D198,'Modelling New'!$D:$D,'Modelling New'!$O:$O),"")</f>
        <v>0.85195721512136013</v>
      </c>
      <c r="AF198" s="243">
        <f>IFERROR(_xlfn.XLOOKUP($D198,'Modelling New'!$D:$D,'Modelling New'!$W:$W),"")</f>
        <v>0.2058896603209954</v>
      </c>
      <c r="AG198" s="243">
        <f>IFERROR(_xlfn.XLOOKUP($D198,'Modelling New'!$D:$D,'Modelling New'!$AE:$AE),"")</f>
        <v>0.995</v>
      </c>
      <c r="AH198" s="243">
        <f>IFERROR(_xlfn.XLOOKUP($D198,'Modelling New'!$D:$D,'Modelling New'!$AF:$AF),"")</f>
        <v>0.995</v>
      </c>
      <c r="AI198" s="234"/>
      <c r="AJ198" s="234"/>
      <c r="AK198" s="234"/>
      <c r="AL198" s="234"/>
      <c r="AM198" s="234"/>
      <c r="AN198" s="244"/>
      <c r="AO198" s="241"/>
      <c r="AP198" s="241"/>
      <c r="AQ198" s="241"/>
      <c r="AR198" s="233">
        <f>_xlfn.XLOOKUP($D198,'Modelling New'!$D:$D,'Modelling New'!$N:$N)</f>
        <v>87.8</v>
      </c>
      <c r="AS198" s="233">
        <f t="shared" si="18"/>
        <v>0</v>
      </c>
    </row>
    <row r="199" spans="1:45">
      <c r="A199" s="232">
        <f t="shared" si="19"/>
        <v>46036</v>
      </c>
      <c r="B199" s="233">
        <f>YEAR(Daily_KPI[[#This Row],[Date]])+IF(MONTH(Daily_KPI[[#This Row],[Date]])&gt;=4,1,0)</f>
        <v>2026</v>
      </c>
      <c r="C199" s="234">
        <f>YEAR(Daily_KPI[[#This Row],[Date]])</f>
        <v>2026</v>
      </c>
      <c r="D199" s="235">
        <f>Daily_KPI[[#This Row],[Date]]-DAY(Daily_KPI[[#This Row],[Date]])+1</f>
        <v>46023</v>
      </c>
      <c r="E199" s="234">
        <f t="shared" si="15"/>
        <v>31</v>
      </c>
      <c r="F199" s="236">
        <f>IFERROR(_xlfn.XLOOKUP($A199,Input_Raw!$A:$A,Input_Raw!$BM:$BM),"")</f>
        <v>0</v>
      </c>
      <c r="G199" s="237">
        <f>IFERROR(_xlfn.XLOOKUP($A199,Input_Raw!$A:$A,Input_Raw!$AN:$AN),"")</f>
        <v>0</v>
      </c>
      <c r="H199" s="237"/>
      <c r="I199" s="237">
        <f>IFERROR(_xlfn.XLOOKUP($A199,Input_Raw!$A:$A,Input_Raw!$AM:$AM),"")</f>
        <v>0</v>
      </c>
      <c r="J199" s="237"/>
      <c r="K199" s="237">
        <f>IFERROR(_xlfn.XLOOKUP($A199,Input_Raw!$A:$A,Input_Raw!AO:AO),"")</f>
        <v>0</v>
      </c>
      <c r="L199" s="237">
        <f>IFERROR(_xlfn.XLOOKUP($A199,Input_Raw!$A:$A,Input_Raw!AP:AP),"")</f>
        <v>0</v>
      </c>
      <c r="M199" s="237">
        <f>IFERROR(_xlfn.XLOOKUP($A199,Input_Raw!$A:$A,Input_Raw!AS:AS),"")</f>
        <v>0</v>
      </c>
      <c r="N199" s="237">
        <f>IFERROR(_xlfn.XLOOKUP($A199,Input_Raw!$A:$A,Input_Raw!AT:AT),"")</f>
        <v>0</v>
      </c>
      <c r="O199" s="238" t="str">
        <f>IFERROR(1-(SUMIF(Plant_BD!$B:$B,$A199,Plant_BD!$AL:$AL)/($AA199+SUMIF(Plant_BD!$B:$B,$A199,Plant_BD!$AL:$AL))),"")</f>
        <v/>
      </c>
      <c r="P199" s="238"/>
      <c r="Q199" s="239"/>
      <c r="R199" s="238" t="str">
        <f>IFERROR(1-(SUMIF(Grid_BD!$B:$B,$A199,Grid_BD!$V:$V)/($AA199+SUMIF(Grid_BD!$B:$B,$A199,Grid_BD!$V:$V))),"")</f>
        <v/>
      </c>
      <c r="S199" s="234"/>
      <c r="T199" s="239"/>
      <c r="U199" s="240" t="str">
        <f t="shared" si="16"/>
        <v/>
      </c>
      <c r="V199" s="240" t="str">
        <f>IFERROR(_xlfn.XLOOKUP($A199,Input_Raw!$A:$A,Input_Raw!$BS:$BS),"")</f>
        <v/>
      </c>
      <c r="W199" s="241">
        <f t="shared" si="17"/>
        <v>0</v>
      </c>
      <c r="X199" s="233">
        <f>IFERROR(_xlfn.XLOOKUP($A199,Input_Raw!$A:$A,Input_Raw!$AW:$AW),"")</f>
        <v>0</v>
      </c>
      <c r="Y199" s="233">
        <f>IFERROR(_xlfn.XLOOKUP($A199,Input_Raw!$A:$A,Input_Raw!$BN:$BN),"")</f>
        <v>0</v>
      </c>
      <c r="Z199" s="233"/>
      <c r="AA199" s="233">
        <f>IFERROR(_xlfn.XLOOKUP($A199,Input_Raw!$A:$A,Input_Raw!$BO:$BO),"")</f>
        <v>0</v>
      </c>
      <c r="AB199" s="233">
        <f>IFERROR(_xlfn.XLOOKUP($A199,Input_Raw!$A:$A,Input_Raw!$BP:$BP),"")</f>
        <v>0</v>
      </c>
      <c r="AC199" s="242">
        <f>IFERROR(_xlfn.XLOOKUP($D199,'Modelling New'!$D:$D,'Modelling New'!P:P),"")</f>
        <v>5.8000000000000007</v>
      </c>
      <c r="AD199" s="233">
        <f>IFERROR(_xlfn.XLOOKUP($D199,'Modelling New'!$D:$D,'Modelling New'!T:T)*1000,"")</f>
        <v>433850.69222840143</v>
      </c>
      <c r="AE199" s="243">
        <f>IFERROR(_xlfn.XLOOKUP($D199,'Modelling New'!$D:$D,'Modelling New'!$O:$O),"")</f>
        <v>0.85195721512136013</v>
      </c>
      <c r="AF199" s="243">
        <f>IFERROR(_xlfn.XLOOKUP($D199,'Modelling New'!$D:$D,'Modelling New'!$W:$W),"")</f>
        <v>0.2058896603209954</v>
      </c>
      <c r="AG199" s="243">
        <f>IFERROR(_xlfn.XLOOKUP($D199,'Modelling New'!$D:$D,'Modelling New'!$AE:$AE),"")</f>
        <v>0.995</v>
      </c>
      <c r="AH199" s="243">
        <f>IFERROR(_xlfn.XLOOKUP($D199,'Modelling New'!$D:$D,'Modelling New'!$AF:$AF),"")</f>
        <v>0.995</v>
      </c>
      <c r="AI199" s="234"/>
      <c r="AJ199" s="234"/>
      <c r="AK199" s="234"/>
      <c r="AL199" s="234"/>
      <c r="AM199" s="234"/>
      <c r="AN199" s="244"/>
      <c r="AO199" s="241"/>
      <c r="AP199" s="241"/>
      <c r="AQ199" s="241"/>
      <c r="AR199" s="233">
        <f>_xlfn.XLOOKUP($D199,'Modelling New'!$D:$D,'Modelling New'!$N:$N)</f>
        <v>87.8</v>
      </c>
      <c r="AS199" s="233">
        <f t="shared" si="18"/>
        <v>0</v>
      </c>
    </row>
    <row r="200" spans="1:45">
      <c r="A200" s="232">
        <f t="shared" si="19"/>
        <v>46037</v>
      </c>
      <c r="B200" s="233">
        <f>YEAR(Daily_KPI[[#This Row],[Date]])+IF(MONTH(Daily_KPI[[#This Row],[Date]])&gt;=4,1,0)</f>
        <v>2026</v>
      </c>
      <c r="C200" s="234">
        <f>YEAR(Daily_KPI[[#This Row],[Date]])</f>
        <v>2026</v>
      </c>
      <c r="D200" s="235">
        <f>Daily_KPI[[#This Row],[Date]]-DAY(Daily_KPI[[#This Row],[Date]])+1</f>
        <v>46023</v>
      </c>
      <c r="E200" s="234">
        <f t="shared" si="15"/>
        <v>31</v>
      </c>
      <c r="F200" s="236">
        <f>IFERROR(_xlfn.XLOOKUP($A200,Input_Raw!$A:$A,Input_Raw!$BM:$BM),"")</f>
        <v>0</v>
      </c>
      <c r="G200" s="237">
        <f>IFERROR(_xlfn.XLOOKUP($A200,Input_Raw!$A:$A,Input_Raw!$AN:$AN),"")</f>
        <v>0</v>
      </c>
      <c r="H200" s="237"/>
      <c r="I200" s="237">
        <f>IFERROR(_xlfn.XLOOKUP($A200,Input_Raw!$A:$A,Input_Raw!$AM:$AM),"")</f>
        <v>0</v>
      </c>
      <c r="J200" s="237"/>
      <c r="K200" s="237">
        <f>IFERROR(_xlfn.XLOOKUP($A200,Input_Raw!$A:$A,Input_Raw!AO:AO),"")</f>
        <v>0</v>
      </c>
      <c r="L200" s="237">
        <f>IFERROR(_xlfn.XLOOKUP($A200,Input_Raw!$A:$A,Input_Raw!AP:AP),"")</f>
        <v>0</v>
      </c>
      <c r="M200" s="237">
        <f>IFERROR(_xlfn.XLOOKUP($A200,Input_Raw!$A:$A,Input_Raw!AS:AS),"")</f>
        <v>0</v>
      </c>
      <c r="N200" s="237">
        <f>IFERROR(_xlfn.XLOOKUP($A200,Input_Raw!$A:$A,Input_Raw!AT:AT),"")</f>
        <v>0</v>
      </c>
      <c r="O200" s="238" t="str">
        <f>IFERROR(1-(SUMIF(Plant_BD!$B:$B,$A200,Plant_BD!$AL:$AL)/($AA200+SUMIF(Plant_BD!$B:$B,$A200,Plant_BD!$AL:$AL))),"")</f>
        <v/>
      </c>
      <c r="P200" s="238"/>
      <c r="Q200" s="239"/>
      <c r="R200" s="238" t="str">
        <f>IFERROR(1-(SUMIF(Grid_BD!$B:$B,$A200,Grid_BD!$V:$V)/($AA200+SUMIF(Grid_BD!$B:$B,$A200,Grid_BD!$V:$V))),"")</f>
        <v/>
      </c>
      <c r="S200" s="234"/>
      <c r="T200" s="239"/>
      <c r="U200" s="240" t="str">
        <f t="shared" si="16"/>
        <v/>
      </c>
      <c r="V200" s="240" t="str">
        <f>IFERROR(_xlfn.XLOOKUP($A200,Input_Raw!$A:$A,Input_Raw!$BS:$BS),"")</f>
        <v/>
      </c>
      <c r="W200" s="241">
        <f t="shared" si="17"/>
        <v>0</v>
      </c>
      <c r="X200" s="233">
        <f>IFERROR(_xlfn.XLOOKUP($A200,Input_Raw!$A:$A,Input_Raw!$AW:$AW),"")</f>
        <v>0</v>
      </c>
      <c r="Y200" s="233">
        <f>IFERROR(_xlfn.XLOOKUP($A200,Input_Raw!$A:$A,Input_Raw!$BN:$BN),"")</f>
        <v>0</v>
      </c>
      <c r="Z200" s="233"/>
      <c r="AA200" s="233">
        <f>IFERROR(_xlfn.XLOOKUP($A200,Input_Raw!$A:$A,Input_Raw!$BO:$BO),"")</f>
        <v>0</v>
      </c>
      <c r="AB200" s="233">
        <f>IFERROR(_xlfn.XLOOKUP($A200,Input_Raw!$A:$A,Input_Raw!$BP:$BP),"")</f>
        <v>0</v>
      </c>
      <c r="AC200" s="242">
        <f>IFERROR(_xlfn.XLOOKUP($D200,'Modelling New'!$D:$D,'Modelling New'!P:P),"")</f>
        <v>5.8000000000000007</v>
      </c>
      <c r="AD200" s="233">
        <f>IFERROR(_xlfn.XLOOKUP($D200,'Modelling New'!$D:$D,'Modelling New'!T:T)*1000,"")</f>
        <v>433850.69222840143</v>
      </c>
      <c r="AE200" s="243">
        <f>IFERROR(_xlfn.XLOOKUP($D200,'Modelling New'!$D:$D,'Modelling New'!$O:$O),"")</f>
        <v>0.85195721512136013</v>
      </c>
      <c r="AF200" s="243">
        <f>IFERROR(_xlfn.XLOOKUP($D200,'Modelling New'!$D:$D,'Modelling New'!$W:$W),"")</f>
        <v>0.2058896603209954</v>
      </c>
      <c r="AG200" s="243">
        <f>IFERROR(_xlfn.XLOOKUP($D200,'Modelling New'!$D:$D,'Modelling New'!$AE:$AE),"")</f>
        <v>0.995</v>
      </c>
      <c r="AH200" s="243">
        <f>IFERROR(_xlfn.XLOOKUP($D200,'Modelling New'!$D:$D,'Modelling New'!$AF:$AF),"")</f>
        <v>0.995</v>
      </c>
      <c r="AI200" s="234"/>
      <c r="AJ200" s="234"/>
      <c r="AK200" s="234"/>
      <c r="AL200" s="234"/>
      <c r="AM200" s="234"/>
      <c r="AN200" s="244"/>
      <c r="AO200" s="241"/>
      <c r="AP200" s="241"/>
      <c r="AQ200" s="241"/>
      <c r="AR200" s="233">
        <f>_xlfn.XLOOKUP($D200,'Modelling New'!$D:$D,'Modelling New'!$N:$N)</f>
        <v>87.8</v>
      </c>
      <c r="AS200" s="233">
        <f t="shared" si="18"/>
        <v>0</v>
      </c>
    </row>
    <row r="201" spans="1:45">
      <c r="A201" s="232">
        <f t="shared" si="19"/>
        <v>46038</v>
      </c>
      <c r="B201" s="233">
        <f>YEAR(Daily_KPI[[#This Row],[Date]])+IF(MONTH(Daily_KPI[[#This Row],[Date]])&gt;=4,1,0)</f>
        <v>2026</v>
      </c>
      <c r="C201" s="234">
        <f>YEAR(Daily_KPI[[#This Row],[Date]])</f>
        <v>2026</v>
      </c>
      <c r="D201" s="235">
        <f>Daily_KPI[[#This Row],[Date]]-DAY(Daily_KPI[[#This Row],[Date]])+1</f>
        <v>46023</v>
      </c>
      <c r="E201" s="234">
        <f t="shared" si="15"/>
        <v>31</v>
      </c>
      <c r="F201" s="236">
        <f>IFERROR(_xlfn.XLOOKUP($A201,Input_Raw!$A:$A,Input_Raw!$BM:$BM),"")</f>
        <v>0</v>
      </c>
      <c r="G201" s="237">
        <f>IFERROR(_xlfn.XLOOKUP($A201,Input_Raw!$A:$A,Input_Raw!$AN:$AN),"")</f>
        <v>0</v>
      </c>
      <c r="H201" s="237"/>
      <c r="I201" s="237">
        <f>IFERROR(_xlfn.XLOOKUP($A201,Input_Raw!$A:$A,Input_Raw!$AM:$AM),"")</f>
        <v>0</v>
      </c>
      <c r="J201" s="237"/>
      <c r="K201" s="237">
        <f>IFERROR(_xlfn.XLOOKUP($A201,Input_Raw!$A:$A,Input_Raw!AO:AO),"")</f>
        <v>0</v>
      </c>
      <c r="L201" s="237">
        <f>IFERROR(_xlfn.XLOOKUP($A201,Input_Raw!$A:$A,Input_Raw!AP:AP),"")</f>
        <v>0</v>
      </c>
      <c r="M201" s="237">
        <f>IFERROR(_xlfn.XLOOKUP($A201,Input_Raw!$A:$A,Input_Raw!AS:AS),"")</f>
        <v>0</v>
      </c>
      <c r="N201" s="237">
        <f>IFERROR(_xlfn.XLOOKUP($A201,Input_Raw!$A:$A,Input_Raw!AT:AT),"")</f>
        <v>0</v>
      </c>
      <c r="O201" s="238" t="str">
        <f>IFERROR(1-(SUMIF(Plant_BD!$B:$B,$A201,Plant_BD!$AL:$AL)/($AA201+SUMIF(Plant_BD!$B:$B,$A201,Plant_BD!$AL:$AL))),"")</f>
        <v/>
      </c>
      <c r="P201" s="238"/>
      <c r="Q201" s="239"/>
      <c r="R201" s="238" t="str">
        <f>IFERROR(1-(SUMIF(Grid_BD!$B:$B,$A201,Grid_BD!$V:$V)/($AA201+SUMIF(Grid_BD!$B:$B,$A201,Grid_BD!$V:$V))),"")</f>
        <v/>
      </c>
      <c r="S201" s="234"/>
      <c r="T201" s="239"/>
      <c r="U201" s="240" t="str">
        <f t="shared" si="16"/>
        <v/>
      </c>
      <c r="V201" s="240" t="str">
        <f>IFERROR(_xlfn.XLOOKUP($A201,Input_Raw!$A:$A,Input_Raw!$BS:$BS),"")</f>
        <v/>
      </c>
      <c r="W201" s="241">
        <f t="shared" si="17"/>
        <v>0</v>
      </c>
      <c r="X201" s="233">
        <f>IFERROR(_xlfn.XLOOKUP($A201,Input_Raw!$A:$A,Input_Raw!$AW:$AW),"")</f>
        <v>0</v>
      </c>
      <c r="Y201" s="233">
        <f>IFERROR(_xlfn.XLOOKUP($A201,Input_Raw!$A:$A,Input_Raw!$BN:$BN),"")</f>
        <v>0</v>
      </c>
      <c r="Z201" s="233"/>
      <c r="AA201" s="233">
        <f>IFERROR(_xlfn.XLOOKUP($A201,Input_Raw!$A:$A,Input_Raw!$BO:$BO),"")</f>
        <v>0</v>
      </c>
      <c r="AB201" s="233">
        <f>IFERROR(_xlfn.XLOOKUP($A201,Input_Raw!$A:$A,Input_Raw!$BP:$BP),"")</f>
        <v>0</v>
      </c>
      <c r="AC201" s="242">
        <f>IFERROR(_xlfn.XLOOKUP($D201,'Modelling New'!$D:$D,'Modelling New'!P:P),"")</f>
        <v>5.8000000000000007</v>
      </c>
      <c r="AD201" s="233">
        <f>IFERROR(_xlfn.XLOOKUP($D201,'Modelling New'!$D:$D,'Modelling New'!T:T)*1000,"")</f>
        <v>433850.69222840143</v>
      </c>
      <c r="AE201" s="243">
        <f>IFERROR(_xlfn.XLOOKUP($D201,'Modelling New'!$D:$D,'Modelling New'!$O:$O),"")</f>
        <v>0.85195721512136013</v>
      </c>
      <c r="AF201" s="243">
        <f>IFERROR(_xlfn.XLOOKUP($D201,'Modelling New'!$D:$D,'Modelling New'!$W:$W),"")</f>
        <v>0.2058896603209954</v>
      </c>
      <c r="AG201" s="243">
        <f>IFERROR(_xlfn.XLOOKUP($D201,'Modelling New'!$D:$D,'Modelling New'!$AE:$AE),"")</f>
        <v>0.995</v>
      </c>
      <c r="AH201" s="243">
        <f>IFERROR(_xlfn.XLOOKUP($D201,'Modelling New'!$D:$D,'Modelling New'!$AF:$AF),"")</f>
        <v>0.995</v>
      </c>
      <c r="AI201" s="234"/>
      <c r="AJ201" s="234"/>
      <c r="AK201" s="234"/>
      <c r="AL201" s="234"/>
      <c r="AM201" s="234"/>
      <c r="AN201" s="244"/>
      <c r="AO201" s="241"/>
      <c r="AP201" s="241"/>
      <c r="AQ201" s="241"/>
      <c r="AR201" s="233">
        <f>_xlfn.XLOOKUP($D201,'Modelling New'!$D:$D,'Modelling New'!$N:$N)</f>
        <v>87.8</v>
      </c>
      <c r="AS201" s="233">
        <f t="shared" si="18"/>
        <v>0</v>
      </c>
    </row>
    <row r="202" spans="1:45">
      <c r="A202" s="232">
        <f t="shared" si="19"/>
        <v>46039</v>
      </c>
      <c r="B202" s="233">
        <f>YEAR(Daily_KPI[[#This Row],[Date]])+IF(MONTH(Daily_KPI[[#This Row],[Date]])&gt;=4,1,0)</f>
        <v>2026</v>
      </c>
      <c r="C202" s="234">
        <f>YEAR(Daily_KPI[[#This Row],[Date]])</f>
        <v>2026</v>
      </c>
      <c r="D202" s="235">
        <f>Daily_KPI[[#This Row],[Date]]-DAY(Daily_KPI[[#This Row],[Date]])+1</f>
        <v>46023</v>
      </c>
      <c r="E202" s="234">
        <f t="shared" ref="E202:E265" si="20">DAY(EOMONTH(A202,0))</f>
        <v>31</v>
      </c>
      <c r="F202" s="236">
        <f>IFERROR(_xlfn.XLOOKUP($A202,Input_Raw!$A:$A,Input_Raw!$BM:$BM),"")</f>
        <v>0</v>
      </c>
      <c r="G202" s="237">
        <f>IFERROR(_xlfn.XLOOKUP($A202,Input_Raw!$A:$A,Input_Raw!$AN:$AN),"")</f>
        <v>0</v>
      </c>
      <c r="H202" s="237"/>
      <c r="I202" s="237">
        <f>IFERROR(_xlfn.XLOOKUP($A202,Input_Raw!$A:$A,Input_Raw!$AM:$AM),"")</f>
        <v>0</v>
      </c>
      <c r="J202" s="237"/>
      <c r="K202" s="237">
        <f>IFERROR(_xlfn.XLOOKUP($A202,Input_Raw!$A:$A,Input_Raw!AO:AO),"")</f>
        <v>0</v>
      </c>
      <c r="L202" s="237">
        <f>IFERROR(_xlfn.XLOOKUP($A202,Input_Raw!$A:$A,Input_Raw!AP:AP),"")</f>
        <v>0</v>
      </c>
      <c r="M202" s="237">
        <f>IFERROR(_xlfn.XLOOKUP($A202,Input_Raw!$A:$A,Input_Raw!AS:AS),"")</f>
        <v>0</v>
      </c>
      <c r="N202" s="237">
        <f>IFERROR(_xlfn.XLOOKUP($A202,Input_Raw!$A:$A,Input_Raw!AT:AT),"")</f>
        <v>0</v>
      </c>
      <c r="O202" s="238" t="str">
        <f>IFERROR(1-(SUMIF(Plant_BD!$B:$B,$A202,Plant_BD!$AL:$AL)/($AA202+SUMIF(Plant_BD!$B:$B,$A202,Plant_BD!$AL:$AL))),"")</f>
        <v/>
      </c>
      <c r="P202" s="238"/>
      <c r="Q202" s="239"/>
      <c r="R202" s="238" t="str">
        <f>IFERROR(1-(SUMIF(Grid_BD!$B:$B,$A202,Grid_BD!$V:$V)/($AA202+SUMIF(Grid_BD!$B:$B,$A202,Grid_BD!$V:$V))),"")</f>
        <v/>
      </c>
      <c r="S202" s="234"/>
      <c r="T202" s="239"/>
      <c r="U202" s="240" t="str">
        <f t="shared" ref="U202:U265" si="21">IFERROR(AA202/I202/AB202/1000,"")</f>
        <v/>
      </c>
      <c r="V202" s="240" t="str">
        <f>IFERROR(_xlfn.XLOOKUP($A202,Input_Raw!$A:$A,Input_Raw!$BS:$BS),"")</f>
        <v/>
      </c>
      <c r="W202" s="241">
        <f t="shared" ref="W202:W265" si="22">IFERROR(AA202/(24*AR202*1000),"")</f>
        <v>0</v>
      </c>
      <c r="X202" s="233">
        <f>IFERROR(_xlfn.XLOOKUP($A202,Input_Raw!$A:$A,Input_Raw!$AW:$AW),"")</f>
        <v>0</v>
      </c>
      <c r="Y202" s="233">
        <f>IFERROR(_xlfn.XLOOKUP($A202,Input_Raw!$A:$A,Input_Raw!$BN:$BN),"")</f>
        <v>0</v>
      </c>
      <c r="Z202" s="233"/>
      <c r="AA202" s="233">
        <f>IFERROR(_xlfn.XLOOKUP($A202,Input_Raw!$A:$A,Input_Raw!$BO:$BO),"")</f>
        <v>0</v>
      </c>
      <c r="AB202" s="233">
        <f>IFERROR(_xlfn.XLOOKUP($A202,Input_Raw!$A:$A,Input_Raw!$BP:$BP),"")</f>
        <v>0</v>
      </c>
      <c r="AC202" s="242">
        <f>IFERROR(_xlfn.XLOOKUP($D202,'Modelling New'!$D:$D,'Modelling New'!P:P),"")</f>
        <v>5.8000000000000007</v>
      </c>
      <c r="AD202" s="233">
        <f>IFERROR(_xlfn.XLOOKUP($D202,'Modelling New'!$D:$D,'Modelling New'!T:T)*1000,"")</f>
        <v>433850.69222840143</v>
      </c>
      <c r="AE202" s="243">
        <f>IFERROR(_xlfn.XLOOKUP($D202,'Modelling New'!$D:$D,'Modelling New'!$O:$O),"")</f>
        <v>0.85195721512136013</v>
      </c>
      <c r="AF202" s="243">
        <f>IFERROR(_xlfn.XLOOKUP($D202,'Modelling New'!$D:$D,'Modelling New'!$W:$W),"")</f>
        <v>0.2058896603209954</v>
      </c>
      <c r="AG202" s="243">
        <f>IFERROR(_xlfn.XLOOKUP($D202,'Modelling New'!$D:$D,'Modelling New'!$AE:$AE),"")</f>
        <v>0.995</v>
      </c>
      <c r="AH202" s="243">
        <f>IFERROR(_xlfn.XLOOKUP($D202,'Modelling New'!$D:$D,'Modelling New'!$AF:$AF),"")</f>
        <v>0.995</v>
      </c>
      <c r="AI202" s="234"/>
      <c r="AJ202" s="234"/>
      <c r="AK202" s="234"/>
      <c r="AL202" s="234"/>
      <c r="AM202" s="234"/>
      <c r="AN202" s="244"/>
      <c r="AO202" s="241"/>
      <c r="AP202" s="241"/>
      <c r="AQ202" s="241"/>
      <c r="AR202" s="233">
        <f>_xlfn.XLOOKUP($D202,'Modelling New'!$D:$D,'Modelling New'!$N:$N)</f>
        <v>87.8</v>
      </c>
      <c r="AS202" s="233">
        <f t="shared" ref="AS202:AS265" si="23">IFERROR((AD202/AR202)*AB202,"")</f>
        <v>0</v>
      </c>
    </row>
    <row r="203" spans="1:45">
      <c r="A203" s="232">
        <f t="shared" si="19"/>
        <v>46040</v>
      </c>
      <c r="B203" s="233">
        <f>YEAR(Daily_KPI[[#This Row],[Date]])+IF(MONTH(Daily_KPI[[#This Row],[Date]])&gt;=4,1,0)</f>
        <v>2026</v>
      </c>
      <c r="C203" s="234">
        <f>YEAR(Daily_KPI[[#This Row],[Date]])</f>
        <v>2026</v>
      </c>
      <c r="D203" s="235">
        <f>Daily_KPI[[#This Row],[Date]]-DAY(Daily_KPI[[#This Row],[Date]])+1</f>
        <v>46023</v>
      </c>
      <c r="E203" s="234">
        <f t="shared" si="20"/>
        <v>31</v>
      </c>
      <c r="F203" s="236">
        <f>IFERROR(_xlfn.XLOOKUP($A203,Input_Raw!$A:$A,Input_Raw!$BM:$BM),"")</f>
        <v>0</v>
      </c>
      <c r="G203" s="237">
        <f>IFERROR(_xlfn.XLOOKUP($A203,Input_Raw!$A:$A,Input_Raw!$AN:$AN),"")</f>
        <v>0</v>
      </c>
      <c r="H203" s="237"/>
      <c r="I203" s="237">
        <f>IFERROR(_xlfn.XLOOKUP($A203,Input_Raw!$A:$A,Input_Raw!$AM:$AM),"")</f>
        <v>0</v>
      </c>
      <c r="J203" s="237"/>
      <c r="K203" s="237">
        <f>IFERROR(_xlfn.XLOOKUP($A203,Input_Raw!$A:$A,Input_Raw!AO:AO),"")</f>
        <v>0</v>
      </c>
      <c r="L203" s="237">
        <f>IFERROR(_xlfn.XLOOKUP($A203,Input_Raw!$A:$A,Input_Raw!AP:AP),"")</f>
        <v>0</v>
      </c>
      <c r="M203" s="237">
        <f>IFERROR(_xlfn.XLOOKUP($A203,Input_Raw!$A:$A,Input_Raw!AS:AS),"")</f>
        <v>0</v>
      </c>
      <c r="N203" s="237">
        <f>IFERROR(_xlfn.XLOOKUP($A203,Input_Raw!$A:$A,Input_Raw!AT:AT),"")</f>
        <v>0</v>
      </c>
      <c r="O203" s="238" t="str">
        <f>IFERROR(1-(SUMIF(Plant_BD!$B:$B,$A203,Plant_BD!$AL:$AL)/($AA203+SUMIF(Plant_BD!$B:$B,$A203,Plant_BD!$AL:$AL))),"")</f>
        <v/>
      </c>
      <c r="P203" s="238"/>
      <c r="Q203" s="239"/>
      <c r="R203" s="238" t="str">
        <f>IFERROR(1-(SUMIF(Grid_BD!$B:$B,$A203,Grid_BD!$V:$V)/($AA203+SUMIF(Grid_BD!$B:$B,$A203,Grid_BD!$V:$V))),"")</f>
        <v/>
      </c>
      <c r="S203" s="234"/>
      <c r="T203" s="239"/>
      <c r="U203" s="240" t="str">
        <f t="shared" si="21"/>
        <v/>
      </c>
      <c r="V203" s="240" t="str">
        <f>IFERROR(_xlfn.XLOOKUP($A203,Input_Raw!$A:$A,Input_Raw!$BS:$BS),"")</f>
        <v/>
      </c>
      <c r="W203" s="241">
        <f t="shared" si="22"/>
        <v>0</v>
      </c>
      <c r="X203" s="233">
        <f>IFERROR(_xlfn.XLOOKUP($A203,Input_Raw!$A:$A,Input_Raw!$AW:$AW),"")</f>
        <v>0</v>
      </c>
      <c r="Y203" s="233">
        <f>IFERROR(_xlfn.XLOOKUP($A203,Input_Raw!$A:$A,Input_Raw!$BN:$BN),"")</f>
        <v>0</v>
      </c>
      <c r="Z203" s="233"/>
      <c r="AA203" s="233">
        <f>IFERROR(_xlfn.XLOOKUP($A203,Input_Raw!$A:$A,Input_Raw!$BO:$BO),"")</f>
        <v>0</v>
      </c>
      <c r="AB203" s="233">
        <f>IFERROR(_xlfn.XLOOKUP($A203,Input_Raw!$A:$A,Input_Raw!$BP:$BP),"")</f>
        <v>0</v>
      </c>
      <c r="AC203" s="242">
        <f>IFERROR(_xlfn.XLOOKUP($D203,'Modelling New'!$D:$D,'Modelling New'!P:P),"")</f>
        <v>5.8000000000000007</v>
      </c>
      <c r="AD203" s="233">
        <f>IFERROR(_xlfn.XLOOKUP($D203,'Modelling New'!$D:$D,'Modelling New'!T:T)*1000,"")</f>
        <v>433850.69222840143</v>
      </c>
      <c r="AE203" s="243">
        <f>IFERROR(_xlfn.XLOOKUP($D203,'Modelling New'!$D:$D,'Modelling New'!$O:$O),"")</f>
        <v>0.85195721512136013</v>
      </c>
      <c r="AF203" s="243">
        <f>IFERROR(_xlfn.XLOOKUP($D203,'Modelling New'!$D:$D,'Modelling New'!$W:$W),"")</f>
        <v>0.2058896603209954</v>
      </c>
      <c r="AG203" s="243">
        <f>IFERROR(_xlfn.XLOOKUP($D203,'Modelling New'!$D:$D,'Modelling New'!$AE:$AE),"")</f>
        <v>0.995</v>
      </c>
      <c r="AH203" s="243">
        <f>IFERROR(_xlfn.XLOOKUP($D203,'Modelling New'!$D:$D,'Modelling New'!$AF:$AF),"")</f>
        <v>0.995</v>
      </c>
      <c r="AI203" s="234"/>
      <c r="AJ203" s="234"/>
      <c r="AK203" s="234"/>
      <c r="AL203" s="234"/>
      <c r="AM203" s="234"/>
      <c r="AN203" s="244"/>
      <c r="AO203" s="241"/>
      <c r="AP203" s="241"/>
      <c r="AQ203" s="241"/>
      <c r="AR203" s="233">
        <f>_xlfn.XLOOKUP($D203,'Modelling New'!$D:$D,'Modelling New'!$N:$N)</f>
        <v>87.8</v>
      </c>
      <c r="AS203" s="233">
        <f t="shared" si="23"/>
        <v>0</v>
      </c>
    </row>
    <row r="204" spans="1:45">
      <c r="A204" s="232">
        <f t="shared" ref="A204:A267" si="24">A203+1</f>
        <v>46041</v>
      </c>
      <c r="B204" s="233">
        <f>YEAR(Daily_KPI[[#This Row],[Date]])+IF(MONTH(Daily_KPI[[#This Row],[Date]])&gt;=4,1,0)</f>
        <v>2026</v>
      </c>
      <c r="C204" s="234">
        <f>YEAR(Daily_KPI[[#This Row],[Date]])</f>
        <v>2026</v>
      </c>
      <c r="D204" s="235">
        <f>Daily_KPI[[#This Row],[Date]]-DAY(Daily_KPI[[#This Row],[Date]])+1</f>
        <v>46023</v>
      </c>
      <c r="E204" s="234">
        <f t="shared" si="20"/>
        <v>31</v>
      </c>
      <c r="F204" s="236">
        <f>IFERROR(_xlfn.XLOOKUP($A204,Input_Raw!$A:$A,Input_Raw!$BM:$BM),"")</f>
        <v>0</v>
      </c>
      <c r="G204" s="237">
        <f>IFERROR(_xlfn.XLOOKUP($A204,Input_Raw!$A:$A,Input_Raw!$AN:$AN),"")</f>
        <v>0</v>
      </c>
      <c r="H204" s="237"/>
      <c r="I204" s="237">
        <f>IFERROR(_xlfn.XLOOKUP($A204,Input_Raw!$A:$A,Input_Raw!$AM:$AM),"")</f>
        <v>0</v>
      </c>
      <c r="J204" s="237"/>
      <c r="K204" s="237">
        <f>IFERROR(_xlfn.XLOOKUP($A204,Input_Raw!$A:$A,Input_Raw!AO:AO),"")</f>
        <v>0</v>
      </c>
      <c r="L204" s="237">
        <f>IFERROR(_xlfn.XLOOKUP($A204,Input_Raw!$A:$A,Input_Raw!AP:AP),"")</f>
        <v>0</v>
      </c>
      <c r="M204" s="237">
        <f>IFERROR(_xlfn.XLOOKUP($A204,Input_Raw!$A:$A,Input_Raw!AS:AS),"")</f>
        <v>0</v>
      </c>
      <c r="N204" s="237">
        <f>IFERROR(_xlfn.XLOOKUP($A204,Input_Raw!$A:$A,Input_Raw!AT:AT),"")</f>
        <v>0</v>
      </c>
      <c r="O204" s="238" t="str">
        <f>IFERROR(1-(SUMIF(Plant_BD!$B:$B,$A204,Plant_BD!$AL:$AL)/($AA204+SUMIF(Plant_BD!$B:$B,$A204,Plant_BD!$AL:$AL))),"")</f>
        <v/>
      </c>
      <c r="P204" s="238"/>
      <c r="Q204" s="239"/>
      <c r="R204" s="238" t="str">
        <f>IFERROR(1-(SUMIF(Grid_BD!$B:$B,$A204,Grid_BD!$V:$V)/($AA204+SUMIF(Grid_BD!$B:$B,$A204,Grid_BD!$V:$V))),"")</f>
        <v/>
      </c>
      <c r="S204" s="234"/>
      <c r="T204" s="239"/>
      <c r="U204" s="240" t="str">
        <f t="shared" si="21"/>
        <v/>
      </c>
      <c r="V204" s="240" t="str">
        <f>IFERROR(_xlfn.XLOOKUP($A204,Input_Raw!$A:$A,Input_Raw!$BS:$BS),"")</f>
        <v/>
      </c>
      <c r="W204" s="241">
        <f t="shared" si="22"/>
        <v>0</v>
      </c>
      <c r="X204" s="233">
        <f>IFERROR(_xlfn.XLOOKUP($A204,Input_Raw!$A:$A,Input_Raw!$AW:$AW),"")</f>
        <v>0</v>
      </c>
      <c r="Y204" s="233">
        <f>IFERROR(_xlfn.XLOOKUP($A204,Input_Raw!$A:$A,Input_Raw!$BN:$BN),"")</f>
        <v>0</v>
      </c>
      <c r="Z204" s="233"/>
      <c r="AA204" s="233">
        <f>IFERROR(_xlfn.XLOOKUP($A204,Input_Raw!$A:$A,Input_Raw!$BO:$BO),"")</f>
        <v>0</v>
      </c>
      <c r="AB204" s="233">
        <f>IFERROR(_xlfn.XLOOKUP($A204,Input_Raw!$A:$A,Input_Raw!$BP:$BP),"")</f>
        <v>0</v>
      </c>
      <c r="AC204" s="242">
        <f>IFERROR(_xlfn.XLOOKUP($D204,'Modelling New'!$D:$D,'Modelling New'!P:P),"")</f>
        <v>5.8000000000000007</v>
      </c>
      <c r="AD204" s="233">
        <f>IFERROR(_xlfn.XLOOKUP($D204,'Modelling New'!$D:$D,'Modelling New'!T:T)*1000,"")</f>
        <v>433850.69222840143</v>
      </c>
      <c r="AE204" s="243">
        <f>IFERROR(_xlfn.XLOOKUP($D204,'Modelling New'!$D:$D,'Modelling New'!$O:$O),"")</f>
        <v>0.85195721512136013</v>
      </c>
      <c r="AF204" s="243">
        <f>IFERROR(_xlfn.XLOOKUP($D204,'Modelling New'!$D:$D,'Modelling New'!$W:$W),"")</f>
        <v>0.2058896603209954</v>
      </c>
      <c r="AG204" s="243">
        <f>IFERROR(_xlfn.XLOOKUP($D204,'Modelling New'!$D:$D,'Modelling New'!$AE:$AE),"")</f>
        <v>0.995</v>
      </c>
      <c r="AH204" s="243">
        <f>IFERROR(_xlfn.XLOOKUP($D204,'Modelling New'!$D:$D,'Modelling New'!$AF:$AF),"")</f>
        <v>0.995</v>
      </c>
      <c r="AI204" s="234"/>
      <c r="AJ204" s="234"/>
      <c r="AK204" s="234"/>
      <c r="AL204" s="234"/>
      <c r="AM204" s="234"/>
      <c r="AN204" s="244"/>
      <c r="AO204" s="241"/>
      <c r="AP204" s="241"/>
      <c r="AQ204" s="241"/>
      <c r="AR204" s="233">
        <f>_xlfn.XLOOKUP($D204,'Modelling New'!$D:$D,'Modelling New'!$N:$N)</f>
        <v>87.8</v>
      </c>
      <c r="AS204" s="233">
        <f t="shared" si="23"/>
        <v>0</v>
      </c>
    </row>
    <row r="205" spans="1:45">
      <c r="A205" s="232">
        <f t="shared" si="24"/>
        <v>46042</v>
      </c>
      <c r="B205" s="233">
        <f>YEAR(Daily_KPI[[#This Row],[Date]])+IF(MONTH(Daily_KPI[[#This Row],[Date]])&gt;=4,1,0)</f>
        <v>2026</v>
      </c>
      <c r="C205" s="234">
        <f>YEAR(Daily_KPI[[#This Row],[Date]])</f>
        <v>2026</v>
      </c>
      <c r="D205" s="235">
        <f>Daily_KPI[[#This Row],[Date]]-DAY(Daily_KPI[[#This Row],[Date]])+1</f>
        <v>46023</v>
      </c>
      <c r="E205" s="234">
        <f t="shared" si="20"/>
        <v>31</v>
      </c>
      <c r="F205" s="236">
        <f>IFERROR(_xlfn.XLOOKUP($A205,Input_Raw!$A:$A,Input_Raw!$BM:$BM),"")</f>
        <v>0</v>
      </c>
      <c r="G205" s="237">
        <f>IFERROR(_xlfn.XLOOKUP($A205,Input_Raw!$A:$A,Input_Raw!$AN:$AN),"")</f>
        <v>0</v>
      </c>
      <c r="H205" s="237"/>
      <c r="I205" s="237">
        <f>IFERROR(_xlfn.XLOOKUP($A205,Input_Raw!$A:$A,Input_Raw!$AM:$AM),"")</f>
        <v>0</v>
      </c>
      <c r="J205" s="237"/>
      <c r="K205" s="237">
        <f>IFERROR(_xlfn.XLOOKUP($A205,Input_Raw!$A:$A,Input_Raw!AO:AO),"")</f>
        <v>0</v>
      </c>
      <c r="L205" s="237">
        <f>IFERROR(_xlfn.XLOOKUP($A205,Input_Raw!$A:$A,Input_Raw!AP:AP),"")</f>
        <v>0</v>
      </c>
      <c r="M205" s="237">
        <f>IFERROR(_xlfn.XLOOKUP($A205,Input_Raw!$A:$A,Input_Raw!AS:AS),"")</f>
        <v>0</v>
      </c>
      <c r="N205" s="237">
        <f>IFERROR(_xlfn.XLOOKUP($A205,Input_Raw!$A:$A,Input_Raw!AT:AT),"")</f>
        <v>0</v>
      </c>
      <c r="O205" s="238" t="str">
        <f>IFERROR(1-(SUMIF(Plant_BD!$B:$B,$A205,Plant_BD!$AL:$AL)/($AA205+SUMIF(Plant_BD!$B:$B,$A205,Plant_BD!$AL:$AL))),"")</f>
        <v/>
      </c>
      <c r="P205" s="238"/>
      <c r="Q205" s="239"/>
      <c r="R205" s="238" t="str">
        <f>IFERROR(1-(SUMIF(Grid_BD!$B:$B,$A205,Grid_BD!$V:$V)/($AA205+SUMIF(Grid_BD!$B:$B,$A205,Grid_BD!$V:$V))),"")</f>
        <v/>
      </c>
      <c r="S205" s="234"/>
      <c r="T205" s="239"/>
      <c r="U205" s="240" t="str">
        <f t="shared" si="21"/>
        <v/>
      </c>
      <c r="V205" s="240" t="str">
        <f>IFERROR(_xlfn.XLOOKUP($A205,Input_Raw!$A:$A,Input_Raw!$BS:$BS),"")</f>
        <v/>
      </c>
      <c r="W205" s="241">
        <f t="shared" si="22"/>
        <v>0</v>
      </c>
      <c r="X205" s="233">
        <f>IFERROR(_xlfn.XLOOKUP($A205,Input_Raw!$A:$A,Input_Raw!$AW:$AW),"")</f>
        <v>0</v>
      </c>
      <c r="Y205" s="233">
        <f>IFERROR(_xlfn.XLOOKUP($A205,Input_Raw!$A:$A,Input_Raw!$BN:$BN),"")</f>
        <v>0</v>
      </c>
      <c r="Z205" s="233"/>
      <c r="AA205" s="233">
        <f>IFERROR(_xlfn.XLOOKUP($A205,Input_Raw!$A:$A,Input_Raw!$BO:$BO),"")</f>
        <v>0</v>
      </c>
      <c r="AB205" s="233">
        <f>IFERROR(_xlfn.XLOOKUP($A205,Input_Raw!$A:$A,Input_Raw!$BP:$BP),"")</f>
        <v>0</v>
      </c>
      <c r="AC205" s="242">
        <f>IFERROR(_xlfn.XLOOKUP($D205,'Modelling New'!$D:$D,'Modelling New'!P:P),"")</f>
        <v>5.8000000000000007</v>
      </c>
      <c r="AD205" s="233">
        <f>IFERROR(_xlfn.XLOOKUP($D205,'Modelling New'!$D:$D,'Modelling New'!T:T)*1000,"")</f>
        <v>433850.69222840143</v>
      </c>
      <c r="AE205" s="243">
        <f>IFERROR(_xlfn.XLOOKUP($D205,'Modelling New'!$D:$D,'Modelling New'!$O:$O),"")</f>
        <v>0.85195721512136013</v>
      </c>
      <c r="AF205" s="243">
        <f>IFERROR(_xlfn.XLOOKUP($D205,'Modelling New'!$D:$D,'Modelling New'!$W:$W),"")</f>
        <v>0.2058896603209954</v>
      </c>
      <c r="AG205" s="243">
        <f>IFERROR(_xlfn.XLOOKUP($D205,'Modelling New'!$D:$D,'Modelling New'!$AE:$AE),"")</f>
        <v>0.995</v>
      </c>
      <c r="AH205" s="243">
        <f>IFERROR(_xlfn.XLOOKUP($D205,'Modelling New'!$D:$D,'Modelling New'!$AF:$AF),"")</f>
        <v>0.995</v>
      </c>
      <c r="AI205" s="234"/>
      <c r="AJ205" s="234"/>
      <c r="AK205" s="234"/>
      <c r="AL205" s="234"/>
      <c r="AM205" s="234"/>
      <c r="AN205" s="244"/>
      <c r="AO205" s="241"/>
      <c r="AP205" s="241"/>
      <c r="AQ205" s="241"/>
      <c r="AR205" s="233">
        <f>_xlfn.XLOOKUP($D205,'Modelling New'!$D:$D,'Modelling New'!$N:$N)</f>
        <v>87.8</v>
      </c>
      <c r="AS205" s="233">
        <f t="shared" si="23"/>
        <v>0</v>
      </c>
    </row>
    <row r="206" spans="1:45">
      <c r="A206" s="232">
        <f t="shared" si="24"/>
        <v>46043</v>
      </c>
      <c r="B206" s="233">
        <f>YEAR(Daily_KPI[[#This Row],[Date]])+IF(MONTH(Daily_KPI[[#This Row],[Date]])&gt;=4,1,0)</f>
        <v>2026</v>
      </c>
      <c r="C206" s="234">
        <f>YEAR(Daily_KPI[[#This Row],[Date]])</f>
        <v>2026</v>
      </c>
      <c r="D206" s="235">
        <f>Daily_KPI[[#This Row],[Date]]-DAY(Daily_KPI[[#This Row],[Date]])+1</f>
        <v>46023</v>
      </c>
      <c r="E206" s="234">
        <f t="shared" si="20"/>
        <v>31</v>
      </c>
      <c r="F206" s="236">
        <f>IFERROR(_xlfn.XLOOKUP($A206,Input_Raw!$A:$A,Input_Raw!$BM:$BM),"")</f>
        <v>0</v>
      </c>
      <c r="G206" s="237">
        <f>IFERROR(_xlfn.XLOOKUP($A206,Input_Raw!$A:$A,Input_Raw!$AN:$AN),"")</f>
        <v>0</v>
      </c>
      <c r="H206" s="237"/>
      <c r="I206" s="237">
        <f>IFERROR(_xlfn.XLOOKUP($A206,Input_Raw!$A:$A,Input_Raw!$AM:$AM),"")</f>
        <v>0</v>
      </c>
      <c r="J206" s="237"/>
      <c r="K206" s="237">
        <f>IFERROR(_xlfn.XLOOKUP($A206,Input_Raw!$A:$A,Input_Raw!AO:AO),"")</f>
        <v>0</v>
      </c>
      <c r="L206" s="237">
        <f>IFERROR(_xlfn.XLOOKUP($A206,Input_Raw!$A:$A,Input_Raw!AP:AP),"")</f>
        <v>0</v>
      </c>
      <c r="M206" s="237">
        <f>IFERROR(_xlfn.XLOOKUP($A206,Input_Raw!$A:$A,Input_Raw!AS:AS),"")</f>
        <v>0</v>
      </c>
      <c r="N206" s="237">
        <f>IFERROR(_xlfn.XLOOKUP($A206,Input_Raw!$A:$A,Input_Raw!AT:AT),"")</f>
        <v>0</v>
      </c>
      <c r="O206" s="238" t="str">
        <f>IFERROR(1-(SUMIF(Plant_BD!$B:$B,$A206,Plant_BD!$AL:$AL)/($AA206+SUMIF(Plant_BD!$B:$B,$A206,Plant_BD!$AL:$AL))),"")</f>
        <v/>
      </c>
      <c r="P206" s="238"/>
      <c r="Q206" s="239"/>
      <c r="R206" s="238" t="str">
        <f>IFERROR(1-(SUMIF(Grid_BD!$B:$B,$A206,Grid_BD!$V:$V)/($AA206+SUMIF(Grid_BD!$B:$B,$A206,Grid_BD!$V:$V))),"")</f>
        <v/>
      </c>
      <c r="S206" s="234"/>
      <c r="T206" s="239"/>
      <c r="U206" s="240" t="str">
        <f t="shared" si="21"/>
        <v/>
      </c>
      <c r="V206" s="240" t="str">
        <f>IFERROR(_xlfn.XLOOKUP($A206,Input_Raw!$A:$A,Input_Raw!$BS:$BS),"")</f>
        <v/>
      </c>
      <c r="W206" s="241">
        <f t="shared" si="22"/>
        <v>0</v>
      </c>
      <c r="X206" s="233">
        <f>IFERROR(_xlfn.XLOOKUP($A206,Input_Raw!$A:$A,Input_Raw!$AW:$AW),"")</f>
        <v>0</v>
      </c>
      <c r="Y206" s="233">
        <f>IFERROR(_xlfn.XLOOKUP($A206,Input_Raw!$A:$A,Input_Raw!$BN:$BN),"")</f>
        <v>0</v>
      </c>
      <c r="Z206" s="233"/>
      <c r="AA206" s="233">
        <f>IFERROR(_xlfn.XLOOKUP($A206,Input_Raw!$A:$A,Input_Raw!$BO:$BO),"")</f>
        <v>0</v>
      </c>
      <c r="AB206" s="233">
        <f>IFERROR(_xlfn.XLOOKUP($A206,Input_Raw!$A:$A,Input_Raw!$BP:$BP),"")</f>
        <v>0</v>
      </c>
      <c r="AC206" s="242">
        <f>IFERROR(_xlfn.XLOOKUP($D206,'Modelling New'!$D:$D,'Modelling New'!P:P),"")</f>
        <v>5.8000000000000007</v>
      </c>
      <c r="AD206" s="233">
        <f>IFERROR(_xlfn.XLOOKUP($D206,'Modelling New'!$D:$D,'Modelling New'!T:T)*1000,"")</f>
        <v>433850.69222840143</v>
      </c>
      <c r="AE206" s="243">
        <f>IFERROR(_xlfn.XLOOKUP($D206,'Modelling New'!$D:$D,'Modelling New'!$O:$O),"")</f>
        <v>0.85195721512136013</v>
      </c>
      <c r="AF206" s="243">
        <f>IFERROR(_xlfn.XLOOKUP($D206,'Modelling New'!$D:$D,'Modelling New'!$W:$W),"")</f>
        <v>0.2058896603209954</v>
      </c>
      <c r="AG206" s="243">
        <f>IFERROR(_xlfn.XLOOKUP($D206,'Modelling New'!$D:$D,'Modelling New'!$AE:$AE),"")</f>
        <v>0.995</v>
      </c>
      <c r="AH206" s="243">
        <f>IFERROR(_xlfn.XLOOKUP($D206,'Modelling New'!$D:$D,'Modelling New'!$AF:$AF),"")</f>
        <v>0.995</v>
      </c>
      <c r="AI206" s="234"/>
      <c r="AJ206" s="234"/>
      <c r="AK206" s="234"/>
      <c r="AL206" s="234"/>
      <c r="AM206" s="234"/>
      <c r="AN206" s="244"/>
      <c r="AO206" s="241"/>
      <c r="AP206" s="241"/>
      <c r="AQ206" s="241"/>
      <c r="AR206" s="233">
        <f>_xlfn.XLOOKUP($D206,'Modelling New'!$D:$D,'Modelling New'!$N:$N)</f>
        <v>87.8</v>
      </c>
      <c r="AS206" s="233">
        <f t="shared" si="23"/>
        <v>0</v>
      </c>
    </row>
    <row r="207" spans="1:45">
      <c r="A207" s="232">
        <f t="shared" si="24"/>
        <v>46044</v>
      </c>
      <c r="B207" s="233">
        <f>YEAR(Daily_KPI[[#This Row],[Date]])+IF(MONTH(Daily_KPI[[#This Row],[Date]])&gt;=4,1,0)</f>
        <v>2026</v>
      </c>
      <c r="C207" s="234">
        <f>YEAR(Daily_KPI[[#This Row],[Date]])</f>
        <v>2026</v>
      </c>
      <c r="D207" s="235">
        <f>Daily_KPI[[#This Row],[Date]]-DAY(Daily_KPI[[#This Row],[Date]])+1</f>
        <v>46023</v>
      </c>
      <c r="E207" s="234">
        <f t="shared" si="20"/>
        <v>31</v>
      </c>
      <c r="F207" s="236">
        <f>IFERROR(_xlfn.XLOOKUP($A207,Input_Raw!$A:$A,Input_Raw!$BM:$BM),"")</f>
        <v>0</v>
      </c>
      <c r="G207" s="237">
        <f>IFERROR(_xlfn.XLOOKUP($A207,Input_Raw!$A:$A,Input_Raw!$AN:$AN),"")</f>
        <v>0</v>
      </c>
      <c r="H207" s="237"/>
      <c r="I207" s="237">
        <f>IFERROR(_xlfn.XLOOKUP($A207,Input_Raw!$A:$A,Input_Raw!$AM:$AM),"")</f>
        <v>0</v>
      </c>
      <c r="J207" s="237"/>
      <c r="K207" s="237">
        <f>IFERROR(_xlfn.XLOOKUP($A207,Input_Raw!$A:$A,Input_Raw!AO:AO),"")</f>
        <v>0</v>
      </c>
      <c r="L207" s="237">
        <f>IFERROR(_xlfn.XLOOKUP($A207,Input_Raw!$A:$A,Input_Raw!AP:AP),"")</f>
        <v>0</v>
      </c>
      <c r="M207" s="237">
        <f>IFERROR(_xlfn.XLOOKUP($A207,Input_Raw!$A:$A,Input_Raw!AS:AS),"")</f>
        <v>0</v>
      </c>
      <c r="N207" s="237">
        <f>IFERROR(_xlfn.XLOOKUP($A207,Input_Raw!$A:$A,Input_Raw!AT:AT),"")</f>
        <v>0</v>
      </c>
      <c r="O207" s="238" t="str">
        <f>IFERROR(1-(SUMIF(Plant_BD!$B:$B,$A207,Plant_BD!$AL:$AL)/($AA207+SUMIF(Plant_BD!$B:$B,$A207,Plant_BD!$AL:$AL))),"")</f>
        <v/>
      </c>
      <c r="P207" s="238"/>
      <c r="Q207" s="239"/>
      <c r="R207" s="238" t="str">
        <f>IFERROR(1-(SUMIF(Grid_BD!$B:$B,$A207,Grid_BD!$V:$V)/($AA207+SUMIF(Grid_BD!$B:$B,$A207,Grid_BD!$V:$V))),"")</f>
        <v/>
      </c>
      <c r="S207" s="234"/>
      <c r="T207" s="239"/>
      <c r="U207" s="240" t="str">
        <f t="shared" si="21"/>
        <v/>
      </c>
      <c r="V207" s="240" t="str">
        <f>IFERROR(_xlfn.XLOOKUP($A207,Input_Raw!$A:$A,Input_Raw!$BS:$BS),"")</f>
        <v/>
      </c>
      <c r="W207" s="241">
        <f t="shared" si="22"/>
        <v>0</v>
      </c>
      <c r="X207" s="233">
        <f>IFERROR(_xlfn.XLOOKUP($A207,Input_Raw!$A:$A,Input_Raw!$AW:$AW),"")</f>
        <v>0</v>
      </c>
      <c r="Y207" s="233">
        <f>IFERROR(_xlfn.XLOOKUP($A207,Input_Raw!$A:$A,Input_Raw!$BN:$BN),"")</f>
        <v>0</v>
      </c>
      <c r="Z207" s="233"/>
      <c r="AA207" s="233">
        <f>IFERROR(_xlfn.XLOOKUP($A207,Input_Raw!$A:$A,Input_Raw!$BO:$BO),"")</f>
        <v>0</v>
      </c>
      <c r="AB207" s="233">
        <f>IFERROR(_xlfn.XLOOKUP($A207,Input_Raw!$A:$A,Input_Raw!$BP:$BP),"")</f>
        <v>0</v>
      </c>
      <c r="AC207" s="242">
        <f>IFERROR(_xlfn.XLOOKUP($D207,'Modelling New'!$D:$D,'Modelling New'!P:P),"")</f>
        <v>5.8000000000000007</v>
      </c>
      <c r="AD207" s="233">
        <f>IFERROR(_xlfn.XLOOKUP($D207,'Modelling New'!$D:$D,'Modelling New'!T:T)*1000,"")</f>
        <v>433850.69222840143</v>
      </c>
      <c r="AE207" s="243">
        <f>IFERROR(_xlfn.XLOOKUP($D207,'Modelling New'!$D:$D,'Modelling New'!$O:$O),"")</f>
        <v>0.85195721512136013</v>
      </c>
      <c r="AF207" s="243">
        <f>IFERROR(_xlfn.XLOOKUP($D207,'Modelling New'!$D:$D,'Modelling New'!$W:$W),"")</f>
        <v>0.2058896603209954</v>
      </c>
      <c r="AG207" s="243">
        <f>IFERROR(_xlfn.XLOOKUP($D207,'Modelling New'!$D:$D,'Modelling New'!$AE:$AE),"")</f>
        <v>0.995</v>
      </c>
      <c r="AH207" s="243">
        <f>IFERROR(_xlfn.XLOOKUP($D207,'Modelling New'!$D:$D,'Modelling New'!$AF:$AF),"")</f>
        <v>0.995</v>
      </c>
      <c r="AI207" s="234"/>
      <c r="AJ207" s="234"/>
      <c r="AK207" s="234"/>
      <c r="AL207" s="234"/>
      <c r="AM207" s="234"/>
      <c r="AN207" s="244"/>
      <c r="AO207" s="241"/>
      <c r="AP207" s="241"/>
      <c r="AQ207" s="241"/>
      <c r="AR207" s="233">
        <f>_xlfn.XLOOKUP($D207,'Modelling New'!$D:$D,'Modelling New'!$N:$N)</f>
        <v>87.8</v>
      </c>
      <c r="AS207" s="233">
        <f t="shared" si="23"/>
        <v>0</v>
      </c>
    </row>
    <row r="208" spans="1:45">
      <c r="A208" s="232">
        <f t="shared" si="24"/>
        <v>46045</v>
      </c>
      <c r="B208" s="233">
        <f>YEAR(Daily_KPI[[#This Row],[Date]])+IF(MONTH(Daily_KPI[[#This Row],[Date]])&gt;=4,1,0)</f>
        <v>2026</v>
      </c>
      <c r="C208" s="234">
        <f>YEAR(Daily_KPI[[#This Row],[Date]])</f>
        <v>2026</v>
      </c>
      <c r="D208" s="235">
        <f>Daily_KPI[[#This Row],[Date]]-DAY(Daily_KPI[[#This Row],[Date]])+1</f>
        <v>46023</v>
      </c>
      <c r="E208" s="234">
        <f t="shared" si="20"/>
        <v>31</v>
      </c>
      <c r="F208" s="236">
        <f>IFERROR(_xlfn.XLOOKUP($A208,Input_Raw!$A:$A,Input_Raw!$BM:$BM),"")</f>
        <v>0</v>
      </c>
      <c r="G208" s="237">
        <f>IFERROR(_xlfn.XLOOKUP($A208,Input_Raw!$A:$A,Input_Raw!$AN:$AN),"")</f>
        <v>0</v>
      </c>
      <c r="H208" s="237"/>
      <c r="I208" s="237">
        <f>IFERROR(_xlfn.XLOOKUP($A208,Input_Raw!$A:$A,Input_Raw!$AM:$AM),"")</f>
        <v>0</v>
      </c>
      <c r="J208" s="237"/>
      <c r="K208" s="237">
        <f>IFERROR(_xlfn.XLOOKUP($A208,Input_Raw!$A:$A,Input_Raw!AO:AO),"")</f>
        <v>0</v>
      </c>
      <c r="L208" s="237">
        <f>IFERROR(_xlfn.XLOOKUP($A208,Input_Raw!$A:$A,Input_Raw!AP:AP),"")</f>
        <v>0</v>
      </c>
      <c r="M208" s="237">
        <f>IFERROR(_xlfn.XLOOKUP($A208,Input_Raw!$A:$A,Input_Raw!AS:AS),"")</f>
        <v>0</v>
      </c>
      <c r="N208" s="237">
        <f>IFERROR(_xlfn.XLOOKUP($A208,Input_Raw!$A:$A,Input_Raw!AT:AT),"")</f>
        <v>0</v>
      </c>
      <c r="O208" s="238" t="str">
        <f>IFERROR(1-(SUMIF(Plant_BD!$B:$B,$A208,Plant_BD!$AL:$AL)/($AA208+SUMIF(Plant_BD!$B:$B,$A208,Plant_BD!$AL:$AL))),"")</f>
        <v/>
      </c>
      <c r="P208" s="238"/>
      <c r="Q208" s="239"/>
      <c r="R208" s="238" t="str">
        <f>IFERROR(1-(SUMIF(Grid_BD!$B:$B,$A208,Grid_BD!$V:$V)/($AA208+SUMIF(Grid_BD!$B:$B,$A208,Grid_BD!$V:$V))),"")</f>
        <v/>
      </c>
      <c r="S208" s="234"/>
      <c r="T208" s="239"/>
      <c r="U208" s="240" t="str">
        <f t="shared" si="21"/>
        <v/>
      </c>
      <c r="V208" s="240" t="str">
        <f>IFERROR(_xlfn.XLOOKUP($A208,Input_Raw!$A:$A,Input_Raw!$BS:$BS),"")</f>
        <v/>
      </c>
      <c r="W208" s="241">
        <f t="shared" si="22"/>
        <v>0</v>
      </c>
      <c r="X208" s="233">
        <f>IFERROR(_xlfn.XLOOKUP($A208,Input_Raw!$A:$A,Input_Raw!$AW:$AW),"")</f>
        <v>0</v>
      </c>
      <c r="Y208" s="233">
        <f>IFERROR(_xlfn.XLOOKUP($A208,Input_Raw!$A:$A,Input_Raw!$BN:$BN),"")</f>
        <v>0</v>
      </c>
      <c r="Z208" s="233"/>
      <c r="AA208" s="233">
        <f>IFERROR(_xlfn.XLOOKUP($A208,Input_Raw!$A:$A,Input_Raw!$BO:$BO),"")</f>
        <v>0</v>
      </c>
      <c r="AB208" s="233">
        <f>IFERROR(_xlfn.XLOOKUP($A208,Input_Raw!$A:$A,Input_Raw!$BP:$BP),"")</f>
        <v>0</v>
      </c>
      <c r="AC208" s="242">
        <f>IFERROR(_xlfn.XLOOKUP($D208,'Modelling New'!$D:$D,'Modelling New'!P:P),"")</f>
        <v>5.8000000000000007</v>
      </c>
      <c r="AD208" s="233">
        <f>IFERROR(_xlfn.XLOOKUP($D208,'Modelling New'!$D:$D,'Modelling New'!T:T)*1000,"")</f>
        <v>433850.69222840143</v>
      </c>
      <c r="AE208" s="243">
        <f>IFERROR(_xlfn.XLOOKUP($D208,'Modelling New'!$D:$D,'Modelling New'!$O:$O),"")</f>
        <v>0.85195721512136013</v>
      </c>
      <c r="AF208" s="243">
        <f>IFERROR(_xlfn.XLOOKUP($D208,'Modelling New'!$D:$D,'Modelling New'!$W:$W),"")</f>
        <v>0.2058896603209954</v>
      </c>
      <c r="AG208" s="243">
        <f>IFERROR(_xlfn.XLOOKUP($D208,'Modelling New'!$D:$D,'Modelling New'!$AE:$AE),"")</f>
        <v>0.995</v>
      </c>
      <c r="AH208" s="243">
        <f>IFERROR(_xlfn.XLOOKUP($D208,'Modelling New'!$D:$D,'Modelling New'!$AF:$AF),"")</f>
        <v>0.995</v>
      </c>
      <c r="AI208" s="234"/>
      <c r="AJ208" s="234"/>
      <c r="AK208" s="234"/>
      <c r="AL208" s="234"/>
      <c r="AM208" s="234"/>
      <c r="AN208" s="244"/>
      <c r="AO208" s="241"/>
      <c r="AP208" s="241"/>
      <c r="AQ208" s="241"/>
      <c r="AR208" s="233">
        <f>_xlfn.XLOOKUP($D208,'Modelling New'!$D:$D,'Modelling New'!$N:$N)</f>
        <v>87.8</v>
      </c>
      <c r="AS208" s="233">
        <f t="shared" si="23"/>
        <v>0</v>
      </c>
    </row>
    <row r="209" spans="1:45">
      <c r="A209" s="232">
        <f t="shared" si="24"/>
        <v>46046</v>
      </c>
      <c r="B209" s="233">
        <f>YEAR(Daily_KPI[[#This Row],[Date]])+IF(MONTH(Daily_KPI[[#This Row],[Date]])&gt;=4,1,0)</f>
        <v>2026</v>
      </c>
      <c r="C209" s="234">
        <f>YEAR(Daily_KPI[[#This Row],[Date]])</f>
        <v>2026</v>
      </c>
      <c r="D209" s="235">
        <f>Daily_KPI[[#This Row],[Date]]-DAY(Daily_KPI[[#This Row],[Date]])+1</f>
        <v>46023</v>
      </c>
      <c r="E209" s="234">
        <f t="shared" si="20"/>
        <v>31</v>
      </c>
      <c r="F209" s="236">
        <f>IFERROR(_xlfn.XLOOKUP($A209,Input_Raw!$A:$A,Input_Raw!$BM:$BM),"")</f>
        <v>0</v>
      </c>
      <c r="G209" s="237">
        <f>IFERROR(_xlfn.XLOOKUP($A209,Input_Raw!$A:$A,Input_Raw!$AN:$AN),"")</f>
        <v>0</v>
      </c>
      <c r="H209" s="237"/>
      <c r="I209" s="237">
        <f>IFERROR(_xlfn.XLOOKUP($A209,Input_Raw!$A:$A,Input_Raw!$AM:$AM),"")</f>
        <v>0</v>
      </c>
      <c r="J209" s="237"/>
      <c r="K209" s="237">
        <f>IFERROR(_xlfn.XLOOKUP($A209,Input_Raw!$A:$A,Input_Raw!AO:AO),"")</f>
        <v>0</v>
      </c>
      <c r="L209" s="237">
        <f>IFERROR(_xlfn.XLOOKUP($A209,Input_Raw!$A:$A,Input_Raw!AP:AP),"")</f>
        <v>0</v>
      </c>
      <c r="M209" s="237">
        <f>IFERROR(_xlfn.XLOOKUP($A209,Input_Raw!$A:$A,Input_Raw!AS:AS),"")</f>
        <v>0</v>
      </c>
      <c r="N209" s="237">
        <f>IFERROR(_xlfn.XLOOKUP($A209,Input_Raw!$A:$A,Input_Raw!AT:AT),"")</f>
        <v>0</v>
      </c>
      <c r="O209" s="238" t="str">
        <f>IFERROR(1-(SUMIF(Plant_BD!$B:$B,$A209,Plant_BD!$AL:$AL)/($AA209+SUMIF(Plant_BD!$B:$B,$A209,Plant_BD!$AL:$AL))),"")</f>
        <v/>
      </c>
      <c r="P209" s="238"/>
      <c r="Q209" s="239"/>
      <c r="R209" s="238" t="str">
        <f>IFERROR(1-(SUMIF(Grid_BD!$B:$B,$A209,Grid_BD!$V:$V)/($AA209+SUMIF(Grid_BD!$B:$B,$A209,Grid_BD!$V:$V))),"")</f>
        <v/>
      </c>
      <c r="S209" s="234"/>
      <c r="T209" s="239"/>
      <c r="U209" s="240" t="str">
        <f t="shared" si="21"/>
        <v/>
      </c>
      <c r="V209" s="240" t="str">
        <f>IFERROR(_xlfn.XLOOKUP($A209,Input_Raw!$A:$A,Input_Raw!$BS:$BS),"")</f>
        <v/>
      </c>
      <c r="W209" s="241">
        <f t="shared" si="22"/>
        <v>0</v>
      </c>
      <c r="X209" s="233">
        <f>IFERROR(_xlfn.XLOOKUP($A209,Input_Raw!$A:$A,Input_Raw!$AW:$AW),"")</f>
        <v>0</v>
      </c>
      <c r="Y209" s="233">
        <f>IFERROR(_xlfn.XLOOKUP($A209,Input_Raw!$A:$A,Input_Raw!$BN:$BN),"")</f>
        <v>0</v>
      </c>
      <c r="Z209" s="233"/>
      <c r="AA209" s="233">
        <f>IFERROR(_xlfn.XLOOKUP($A209,Input_Raw!$A:$A,Input_Raw!$BO:$BO),"")</f>
        <v>0</v>
      </c>
      <c r="AB209" s="233">
        <f>IFERROR(_xlfn.XLOOKUP($A209,Input_Raw!$A:$A,Input_Raw!$BP:$BP),"")</f>
        <v>0</v>
      </c>
      <c r="AC209" s="242">
        <f>IFERROR(_xlfn.XLOOKUP($D209,'Modelling New'!$D:$D,'Modelling New'!P:P),"")</f>
        <v>5.8000000000000007</v>
      </c>
      <c r="AD209" s="233">
        <f>IFERROR(_xlfn.XLOOKUP($D209,'Modelling New'!$D:$D,'Modelling New'!T:T)*1000,"")</f>
        <v>433850.69222840143</v>
      </c>
      <c r="AE209" s="243">
        <f>IFERROR(_xlfn.XLOOKUP($D209,'Modelling New'!$D:$D,'Modelling New'!$O:$O),"")</f>
        <v>0.85195721512136013</v>
      </c>
      <c r="AF209" s="243">
        <f>IFERROR(_xlfn.XLOOKUP($D209,'Modelling New'!$D:$D,'Modelling New'!$W:$W),"")</f>
        <v>0.2058896603209954</v>
      </c>
      <c r="AG209" s="243">
        <f>IFERROR(_xlfn.XLOOKUP($D209,'Modelling New'!$D:$D,'Modelling New'!$AE:$AE),"")</f>
        <v>0.995</v>
      </c>
      <c r="AH209" s="243">
        <f>IFERROR(_xlfn.XLOOKUP($D209,'Modelling New'!$D:$D,'Modelling New'!$AF:$AF),"")</f>
        <v>0.995</v>
      </c>
      <c r="AI209" s="234"/>
      <c r="AJ209" s="234"/>
      <c r="AK209" s="234"/>
      <c r="AL209" s="234"/>
      <c r="AM209" s="234"/>
      <c r="AN209" s="244"/>
      <c r="AO209" s="241"/>
      <c r="AP209" s="241"/>
      <c r="AQ209" s="241"/>
      <c r="AR209" s="233">
        <f>_xlfn.XLOOKUP($D209,'Modelling New'!$D:$D,'Modelling New'!$N:$N)</f>
        <v>87.8</v>
      </c>
      <c r="AS209" s="233">
        <f t="shared" si="23"/>
        <v>0</v>
      </c>
    </row>
    <row r="210" spans="1:45">
      <c r="A210" s="232">
        <f t="shared" si="24"/>
        <v>46047</v>
      </c>
      <c r="B210" s="233">
        <f>YEAR(Daily_KPI[[#This Row],[Date]])+IF(MONTH(Daily_KPI[[#This Row],[Date]])&gt;=4,1,0)</f>
        <v>2026</v>
      </c>
      <c r="C210" s="234">
        <f>YEAR(Daily_KPI[[#This Row],[Date]])</f>
        <v>2026</v>
      </c>
      <c r="D210" s="235">
        <f>Daily_KPI[[#This Row],[Date]]-DAY(Daily_KPI[[#This Row],[Date]])+1</f>
        <v>46023</v>
      </c>
      <c r="E210" s="234">
        <f t="shared" si="20"/>
        <v>31</v>
      </c>
      <c r="F210" s="236">
        <f>IFERROR(_xlfn.XLOOKUP($A210,Input_Raw!$A:$A,Input_Raw!$BM:$BM),"")</f>
        <v>0</v>
      </c>
      <c r="G210" s="237">
        <f>IFERROR(_xlfn.XLOOKUP($A210,Input_Raw!$A:$A,Input_Raw!$AN:$AN),"")</f>
        <v>0</v>
      </c>
      <c r="H210" s="237"/>
      <c r="I210" s="237">
        <f>IFERROR(_xlfn.XLOOKUP($A210,Input_Raw!$A:$A,Input_Raw!$AM:$AM),"")</f>
        <v>0</v>
      </c>
      <c r="J210" s="237"/>
      <c r="K210" s="237">
        <f>IFERROR(_xlfn.XLOOKUP($A210,Input_Raw!$A:$A,Input_Raw!AO:AO),"")</f>
        <v>0</v>
      </c>
      <c r="L210" s="237">
        <f>IFERROR(_xlfn.XLOOKUP($A210,Input_Raw!$A:$A,Input_Raw!AP:AP),"")</f>
        <v>0</v>
      </c>
      <c r="M210" s="237">
        <f>IFERROR(_xlfn.XLOOKUP($A210,Input_Raw!$A:$A,Input_Raw!AS:AS),"")</f>
        <v>0</v>
      </c>
      <c r="N210" s="237">
        <f>IFERROR(_xlfn.XLOOKUP($A210,Input_Raw!$A:$A,Input_Raw!AT:AT),"")</f>
        <v>0</v>
      </c>
      <c r="O210" s="238" t="str">
        <f>IFERROR(1-(SUMIF(Plant_BD!$B:$B,$A210,Plant_BD!$AL:$AL)/($AA210+SUMIF(Plant_BD!$B:$B,$A210,Plant_BD!$AL:$AL))),"")</f>
        <v/>
      </c>
      <c r="P210" s="238"/>
      <c r="Q210" s="239"/>
      <c r="R210" s="238" t="str">
        <f>IFERROR(1-(SUMIF(Grid_BD!$B:$B,$A210,Grid_BD!$V:$V)/($AA210+SUMIF(Grid_BD!$B:$B,$A210,Grid_BD!$V:$V))),"")</f>
        <v/>
      </c>
      <c r="S210" s="234"/>
      <c r="T210" s="239"/>
      <c r="U210" s="240" t="str">
        <f t="shared" si="21"/>
        <v/>
      </c>
      <c r="V210" s="240" t="str">
        <f>IFERROR(_xlfn.XLOOKUP($A210,Input_Raw!$A:$A,Input_Raw!$BS:$BS),"")</f>
        <v/>
      </c>
      <c r="W210" s="241">
        <f t="shared" si="22"/>
        <v>0</v>
      </c>
      <c r="X210" s="233">
        <f>IFERROR(_xlfn.XLOOKUP($A210,Input_Raw!$A:$A,Input_Raw!$AW:$AW),"")</f>
        <v>0</v>
      </c>
      <c r="Y210" s="233">
        <f>IFERROR(_xlfn.XLOOKUP($A210,Input_Raw!$A:$A,Input_Raw!$BN:$BN),"")</f>
        <v>0</v>
      </c>
      <c r="Z210" s="233"/>
      <c r="AA210" s="233">
        <f>IFERROR(_xlfn.XLOOKUP($A210,Input_Raw!$A:$A,Input_Raw!$BO:$BO),"")</f>
        <v>0</v>
      </c>
      <c r="AB210" s="233">
        <f>IFERROR(_xlfn.XLOOKUP($A210,Input_Raw!$A:$A,Input_Raw!$BP:$BP),"")</f>
        <v>0</v>
      </c>
      <c r="AC210" s="242">
        <f>IFERROR(_xlfn.XLOOKUP($D210,'Modelling New'!$D:$D,'Modelling New'!P:P),"")</f>
        <v>5.8000000000000007</v>
      </c>
      <c r="AD210" s="233">
        <f>IFERROR(_xlfn.XLOOKUP($D210,'Modelling New'!$D:$D,'Modelling New'!T:T)*1000,"")</f>
        <v>433850.69222840143</v>
      </c>
      <c r="AE210" s="243">
        <f>IFERROR(_xlfn.XLOOKUP($D210,'Modelling New'!$D:$D,'Modelling New'!$O:$O),"")</f>
        <v>0.85195721512136013</v>
      </c>
      <c r="AF210" s="243">
        <f>IFERROR(_xlfn.XLOOKUP($D210,'Modelling New'!$D:$D,'Modelling New'!$W:$W),"")</f>
        <v>0.2058896603209954</v>
      </c>
      <c r="AG210" s="243">
        <f>IFERROR(_xlfn.XLOOKUP($D210,'Modelling New'!$D:$D,'Modelling New'!$AE:$AE),"")</f>
        <v>0.995</v>
      </c>
      <c r="AH210" s="243">
        <f>IFERROR(_xlfn.XLOOKUP($D210,'Modelling New'!$D:$D,'Modelling New'!$AF:$AF),"")</f>
        <v>0.995</v>
      </c>
      <c r="AI210" s="234"/>
      <c r="AJ210" s="234"/>
      <c r="AK210" s="234"/>
      <c r="AL210" s="234"/>
      <c r="AM210" s="234"/>
      <c r="AN210" s="244"/>
      <c r="AO210" s="241"/>
      <c r="AP210" s="241"/>
      <c r="AQ210" s="241"/>
      <c r="AR210" s="233">
        <f>_xlfn.XLOOKUP($D210,'Modelling New'!$D:$D,'Modelling New'!$N:$N)</f>
        <v>87.8</v>
      </c>
      <c r="AS210" s="233">
        <f t="shared" si="23"/>
        <v>0</v>
      </c>
    </row>
    <row r="211" spans="1:45">
      <c r="A211" s="232">
        <f t="shared" si="24"/>
        <v>46048</v>
      </c>
      <c r="B211" s="233">
        <f>YEAR(Daily_KPI[[#This Row],[Date]])+IF(MONTH(Daily_KPI[[#This Row],[Date]])&gt;=4,1,0)</f>
        <v>2026</v>
      </c>
      <c r="C211" s="234">
        <f>YEAR(Daily_KPI[[#This Row],[Date]])</f>
        <v>2026</v>
      </c>
      <c r="D211" s="235">
        <f>Daily_KPI[[#This Row],[Date]]-DAY(Daily_KPI[[#This Row],[Date]])+1</f>
        <v>46023</v>
      </c>
      <c r="E211" s="234">
        <f t="shared" si="20"/>
        <v>31</v>
      </c>
      <c r="F211" s="236">
        <f>IFERROR(_xlfn.XLOOKUP($A211,Input_Raw!$A:$A,Input_Raw!$BM:$BM),"")</f>
        <v>0</v>
      </c>
      <c r="G211" s="237">
        <f>IFERROR(_xlfn.XLOOKUP($A211,Input_Raw!$A:$A,Input_Raw!$AN:$AN),"")</f>
        <v>0</v>
      </c>
      <c r="H211" s="237"/>
      <c r="I211" s="237">
        <f>IFERROR(_xlfn.XLOOKUP($A211,Input_Raw!$A:$A,Input_Raw!$AM:$AM),"")</f>
        <v>0</v>
      </c>
      <c r="J211" s="237"/>
      <c r="K211" s="237">
        <f>IFERROR(_xlfn.XLOOKUP($A211,Input_Raw!$A:$A,Input_Raw!AO:AO),"")</f>
        <v>0</v>
      </c>
      <c r="L211" s="237">
        <f>IFERROR(_xlfn.XLOOKUP($A211,Input_Raw!$A:$A,Input_Raw!AP:AP),"")</f>
        <v>0</v>
      </c>
      <c r="M211" s="237">
        <f>IFERROR(_xlfn.XLOOKUP($A211,Input_Raw!$A:$A,Input_Raw!AS:AS),"")</f>
        <v>0</v>
      </c>
      <c r="N211" s="237">
        <f>IFERROR(_xlfn.XLOOKUP($A211,Input_Raw!$A:$A,Input_Raw!AT:AT),"")</f>
        <v>0</v>
      </c>
      <c r="O211" s="238" t="str">
        <f>IFERROR(1-(SUMIF(Plant_BD!$B:$B,$A211,Plant_BD!$AL:$AL)/($AA211+SUMIF(Plant_BD!$B:$B,$A211,Plant_BD!$AL:$AL))),"")</f>
        <v/>
      </c>
      <c r="P211" s="238"/>
      <c r="Q211" s="239"/>
      <c r="R211" s="238" t="str">
        <f>IFERROR(1-(SUMIF(Grid_BD!$B:$B,$A211,Grid_BD!$V:$V)/($AA211+SUMIF(Grid_BD!$B:$B,$A211,Grid_BD!$V:$V))),"")</f>
        <v/>
      </c>
      <c r="S211" s="234"/>
      <c r="T211" s="239"/>
      <c r="U211" s="240" t="str">
        <f t="shared" si="21"/>
        <v/>
      </c>
      <c r="V211" s="240" t="str">
        <f>IFERROR(_xlfn.XLOOKUP($A211,Input_Raw!$A:$A,Input_Raw!$BS:$BS),"")</f>
        <v/>
      </c>
      <c r="W211" s="241">
        <f t="shared" si="22"/>
        <v>0</v>
      </c>
      <c r="X211" s="233">
        <f>IFERROR(_xlfn.XLOOKUP($A211,Input_Raw!$A:$A,Input_Raw!$AW:$AW),"")</f>
        <v>0</v>
      </c>
      <c r="Y211" s="233">
        <f>IFERROR(_xlfn.XLOOKUP($A211,Input_Raw!$A:$A,Input_Raw!$BN:$BN),"")</f>
        <v>0</v>
      </c>
      <c r="Z211" s="233"/>
      <c r="AA211" s="233">
        <f>IFERROR(_xlfn.XLOOKUP($A211,Input_Raw!$A:$A,Input_Raw!$BO:$BO),"")</f>
        <v>0</v>
      </c>
      <c r="AB211" s="233">
        <f>IFERROR(_xlfn.XLOOKUP($A211,Input_Raw!$A:$A,Input_Raw!$BP:$BP),"")</f>
        <v>0</v>
      </c>
      <c r="AC211" s="242">
        <f>IFERROR(_xlfn.XLOOKUP($D211,'Modelling New'!$D:$D,'Modelling New'!P:P),"")</f>
        <v>5.8000000000000007</v>
      </c>
      <c r="AD211" s="233">
        <f>IFERROR(_xlfn.XLOOKUP($D211,'Modelling New'!$D:$D,'Modelling New'!T:T)*1000,"")</f>
        <v>433850.69222840143</v>
      </c>
      <c r="AE211" s="243">
        <f>IFERROR(_xlfn.XLOOKUP($D211,'Modelling New'!$D:$D,'Modelling New'!$O:$O),"")</f>
        <v>0.85195721512136013</v>
      </c>
      <c r="AF211" s="243">
        <f>IFERROR(_xlfn.XLOOKUP($D211,'Modelling New'!$D:$D,'Modelling New'!$W:$W),"")</f>
        <v>0.2058896603209954</v>
      </c>
      <c r="AG211" s="243">
        <f>IFERROR(_xlfn.XLOOKUP($D211,'Modelling New'!$D:$D,'Modelling New'!$AE:$AE),"")</f>
        <v>0.995</v>
      </c>
      <c r="AH211" s="243">
        <f>IFERROR(_xlfn.XLOOKUP($D211,'Modelling New'!$D:$D,'Modelling New'!$AF:$AF),"")</f>
        <v>0.995</v>
      </c>
      <c r="AI211" s="234"/>
      <c r="AJ211" s="234"/>
      <c r="AK211" s="234"/>
      <c r="AL211" s="234"/>
      <c r="AM211" s="234"/>
      <c r="AN211" s="244"/>
      <c r="AO211" s="241"/>
      <c r="AP211" s="241"/>
      <c r="AQ211" s="241"/>
      <c r="AR211" s="233">
        <f>_xlfn.XLOOKUP($D211,'Modelling New'!$D:$D,'Modelling New'!$N:$N)</f>
        <v>87.8</v>
      </c>
      <c r="AS211" s="233">
        <f t="shared" si="23"/>
        <v>0</v>
      </c>
    </row>
    <row r="212" spans="1:45">
      <c r="A212" s="232">
        <f t="shared" si="24"/>
        <v>46049</v>
      </c>
      <c r="B212" s="233">
        <f>YEAR(Daily_KPI[[#This Row],[Date]])+IF(MONTH(Daily_KPI[[#This Row],[Date]])&gt;=4,1,0)</f>
        <v>2026</v>
      </c>
      <c r="C212" s="234">
        <f>YEAR(Daily_KPI[[#This Row],[Date]])</f>
        <v>2026</v>
      </c>
      <c r="D212" s="235">
        <f>Daily_KPI[[#This Row],[Date]]-DAY(Daily_KPI[[#This Row],[Date]])+1</f>
        <v>46023</v>
      </c>
      <c r="E212" s="234">
        <f t="shared" si="20"/>
        <v>31</v>
      </c>
      <c r="F212" s="236">
        <f>IFERROR(_xlfn.XLOOKUP($A212,Input_Raw!$A:$A,Input_Raw!$BM:$BM),"")</f>
        <v>0</v>
      </c>
      <c r="G212" s="237">
        <f>IFERROR(_xlfn.XLOOKUP($A212,Input_Raw!$A:$A,Input_Raw!$AN:$AN),"")</f>
        <v>0</v>
      </c>
      <c r="H212" s="237"/>
      <c r="I212" s="237">
        <f>IFERROR(_xlfn.XLOOKUP($A212,Input_Raw!$A:$A,Input_Raw!$AM:$AM),"")</f>
        <v>0</v>
      </c>
      <c r="J212" s="237"/>
      <c r="K212" s="237">
        <f>IFERROR(_xlfn.XLOOKUP($A212,Input_Raw!$A:$A,Input_Raw!AO:AO),"")</f>
        <v>0</v>
      </c>
      <c r="L212" s="237">
        <f>IFERROR(_xlfn.XLOOKUP($A212,Input_Raw!$A:$A,Input_Raw!AP:AP),"")</f>
        <v>0</v>
      </c>
      <c r="M212" s="237">
        <f>IFERROR(_xlfn.XLOOKUP($A212,Input_Raw!$A:$A,Input_Raw!AS:AS),"")</f>
        <v>0</v>
      </c>
      <c r="N212" s="237">
        <f>IFERROR(_xlfn.XLOOKUP($A212,Input_Raw!$A:$A,Input_Raw!AT:AT),"")</f>
        <v>0</v>
      </c>
      <c r="O212" s="238" t="str">
        <f>IFERROR(1-(SUMIF(Plant_BD!$B:$B,$A212,Plant_BD!$AL:$AL)/($AA212+SUMIF(Plant_BD!$B:$B,$A212,Plant_BD!$AL:$AL))),"")</f>
        <v/>
      </c>
      <c r="P212" s="238"/>
      <c r="Q212" s="239"/>
      <c r="R212" s="238" t="str">
        <f>IFERROR(1-(SUMIF(Grid_BD!$B:$B,$A212,Grid_BD!$V:$V)/($AA212+SUMIF(Grid_BD!$B:$B,$A212,Grid_BD!$V:$V))),"")</f>
        <v/>
      </c>
      <c r="S212" s="234"/>
      <c r="T212" s="239"/>
      <c r="U212" s="240" t="str">
        <f t="shared" si="21"/>
        <v/>
      </c>
      <c r="V212" s="240" t="str">
        <f>IFERROR(_xlfn.XLOOKUP($A212,Input_Raw!$A:$A,Input_Raw!$BS:$BS),"")</f>
        <v/>
      </c>
      <c r="W212" s="241">
        <f t="shared" si="22"/>
        <v>0</v>
      </c>
      <c r="X212" s="233">
        <f>IFERROR(_xlfn.XLOOKUP($A212,Input_Raw!$A:$A,Input_Raw!$AW:$AW),"")</f>
        <v>0</v>
      </c>
      <c r="Y212" s="233">
        <f>IFERROR(_xlfn.XLOOKUP($A212,Input_Raw!$A:$A,Input_Raw!$BN:$BN),"")</f>
        <v>0</v>
      </c>
      <c r="Z212" s="233"/>
      <c r="AA212" s="233">
        <f>IFERROR(_xlfn.XLOOKUP($A212,Input_Raw!$A:$A,Input_Raw!$BO:$BO),"")</f>
        <v>0</v>
      </c>
      <c r="AB212" s="233">
        <f>IFERROR(_xlfn.XLOOKUP($A212,Input_Raw!$A:$A,Input_Raw!$BP:$BP),"")</f>
        <v>0</v>
      </c>
      <c r="AC212" s="242">
        <f>IFERROR(_xlfn.XLOOKUP($D212,'Modelling New'!$D:$D,'Modelling New'!P:P),"")</f>
        <v>5.8000000000000007</v>
      </c>
      <c r="AD212" s="233">
        <f>IFERROR(_xlfn.XLOOKUP($D212,'Modelling New'!$D:$D,'Modelling New'!T:T)*1000,"")</f>
        <v>433850.69222840143</v>
      </c>
      <c r="AE212" s="243">
        <f>IFERROR(_xlfn.XLOOKUP($D212,'Modelling New'!$D:$D,'Modelling New'!$O:$O),"")</f>
        <v>0.85195721512136013</v>
      </c>
      <c r="AF212" s="243">
        <f>IFERROR(_xlfn.XLOOKUP($D212,'Modelling New'!$D:$D,'Modelling New'!$W:$W),"")</f>
        <v>0.2058896603209954</v>
      </c>
      <c r="AG212" s="243">
        <f>IFERROR(_xlfn.XLOOKUP($D212,'Modelling New'!$D:$D,'Modelling New'!$AE:$AE),"")</f>
        <v>0.995</v>
      </c>
      <c r="AH212" s="243">
        <f>IFERROR(_xlfn.XLOOKUP($D212,'Modelling New'!$D:$D,'Modelling New'!$AF:$AF),"")</f>
        <v>0.995</v>
      </c>
      <c r="AI212" s="234"/>
      <c r="AJ212" s="234"/>
      <c r="AK212" s="234"/>
      <c r="AL212" s="234"/>
      <c r="AM212" s="234"/>
      <c r="AN212" s="244"/>
      <c r="AO212" s="241"/>
      <c r="AP212" s="241"/>
      <c r="AQ212" s="241"/>
      <c r="AR212" s="233">
        <f>_xlfn.XLOOKUP($D212,'Modelling New'!$D:$D,'Modelling New'!$N:$N)</f>
        <v>87.8</v>
      </c>
      <c r="AS212" s="233">
        <f t="shared" si="23"/>
        <v>0</v>
      </c>
    </row>
    <row r="213" spans="1:45">
      <c r="A213" s="232">
        <f t="shared" si="24"/>
        <v>46050</v>
      </c>
      <c r="B213" s="233">
        <f>YEAR(Daily_KPI[[#This Row],[Date]])+IF(MONTH(Daily_KPI[[#This Row],[Date]])&gt;=4,1,0)</f>
        <v>2026</v>
      </c>
      <c r="C213" s="234">
        <f>YEAR(Daily_KPI[[#This Row],[Date]])</f>
        <v>2026</v>
      </c>
      <c r="D213" s="235">
        <f>Daily_KPI[[#This Row],[Date]]-DAY(Daily_KPI[[#This Row],[Date]])+1</f>
        <v>46023</v>
      </c>
      <c r="E213" s="234">
        <f t="shared" si="20"/>
        <v>31</v>
      </c>
      <c r="F213" s="236">
        <f>IFERROR(_xlfn.XLOOKUP($A213,Input_Raw!$A:$A,Input_Raw!$BM:$BM),"")</f>
        <v>0</v>
      </c>
      <c r="G213" s="237">
        <f>IFERROR(_xlfn.XLOOKUP($A213,Input_Raw!$A:$A,Input_Raw!$AN:$AN),"")</f>
        <v>0</v>
      </c>
      <c r="H213" s="237"/>
      <c r="I213" s="237">
        <f>IFERROR(_xlfn.XLOOKUP($A213,Input_Raw!$A:$A,Input_Raw!$AM:$AM),"")</f>
        <v>0</v>
      </c>
      <c r="J213" s="237"/>
      <c r="K213" s="237">
        <f>IFERROR(_xlfn.XLOOKUP($A213,Input_Raw!$A:$A,Input_Raw!AO:AO),"")</f>
        <v>0</v>
      </c>
      <c r="L213" s="237">
        <f>IFERROR(_xlfn.XLOOKUP($A213,Input_Raw!$A:$A,Input_Raw!AP:AP),"")</f>
        <v>0</v>
      </c>
      <c r="M213" s="237">
        <f>IFERROR(_xlfn.XLOOKUP($A213,Input_Raw!$A:$A,Input_Raw!AS:AS),"")</f>
        <v>0</v>
      </c>
      <c r="N213" s="237">
        <f>IFERROR(_xlfn.XLOOKUP($A213,Input_Raw!$A:$A,Input_Raw!AT:AT),"")</f>
        <v>0</v>
      </c>
      <c r="O213" s="238" t="str">
        <f>IFERROR(1-(SUMIF(Plant_BD!$B:$B,$A213,Plant_BD!$AL:$AL)/($AA213+SUMIF(Plant_BD!$B:$B,$A213,Plant_BD!$AL:$AL))),"")</f>
        <v/>
      </c>
      <c r="P213" s="238"/>
      <c r="Q213" s="239"/>
      <c r="R213" s="238" t="str">
        <f>IFERROR(1-(SUMIF(Grid_BD!$B:$B,$A213,Grid_BD!$V:$V)/($AA213+SUMIF(Grid_BD!$B:$B,$A213,Grid_BD!$V:$V))),"")</f>
        <v/>
      </c>
      <c r="S213" s="234"/>
      <c r="T213" s="239"/>
      <c r="U213" s="240" t="str">
        <f t="shared" si="21"/>
        <v/>
      </c>
      <c r="V213" s="240" t="str">
        <f>IFERROR(_xlfn.XLOOKUP($A213,Input_Raw!$A:$A,Input_Raw!$BS:$BS),"")</f>
        <v/>
      </c>
      <c r="W213" s="241">
        <f t="shared" si="22"/>
        <v>0</v>
      </c>
      <c r="X213" s="233">
        <f>IFERROR(_xlfn.XLOOKUP($A213,Input_Raw!$A:$A,Input_Raw!$AW:$AW),"")</f>
        <v>0</v>
      </c>
      <c r="Y213" s="233">
        <f>IFERROR(_xlfn.XLOOKUP($A213,Input_Raw!$A:$A,Input_Raw!$BN:$BN),"")</f>
        <v>0</v>
      </c>
      <c r="Z213" s="233"/>
      <c r="AA213" s="233">
        <f>IFERROR(_xlfn.XLOOKUP($A213,Input_Raw!$A:$A,Input_Raw!$BO:$BO),"")</f>
        <v>0</v>
      </c>
      <c r="AB213" s="233">
        <f>IFERROR(_xlfn.XLOOKUP($A213,Input_Raw!$A:$A,Input_Raw!$BP:$BP),"")</f>
        <v>0</v>
      </c>
      <c r="AC213" s="242">
        <f>IFERROR(_xlfn.XLOOKUP($D213,'Modelling New'!$D:$D,'Modelling New'!P:P),"")</f>
        <v>5.8000000000000007</v>
      </c>
      <c r="AD213" s="233">
        <f>IFERROR(_xlfn.XLOOKUP($D213,'Modelling New'!$D:$D,'Modelling New'!T:T)*1000,"")</f>
        <v>433850.69222840143</v>
      </c>
      <c r="AE213" s="243">
        <f>IFERROR(_xlfn.XLOOKUP($D213,'Modelling New'!$D:$D,'Modelling New'!$O:$O),"")</f>
        <v>0.85195721512136013</v>
      </c>
      <c r="AF213" s="243">
        <f>IFERROR(_xlfn.XLOOKUP($D213,'Modelling New'!$D:$D,'Modelling New'!$W:$W),"")</f>
        <v>0.2058896603209954</v>
      </c>
      <c r="AG213" s="243">
        <f>IFERROR(_xlfn.XLOOKUP($D213,'Modelling New'!$D:$D,'Modelling New'!$AE:$AE),"")</f>
        <v>0.995</v>
      </c>
      <c r="AH213" s="243">
        <f>IFERROR(_xlfn.XLOOKUP($D213,'Modelling New'!$D:$D,'Modelling New'!$AF:$AF),"")</f>
        <v>0.995</v>
      </c>
      <c r="AI213" s="234"/>
      <c r="AJ213" s="234"/>
      <c r="AK213" s="234"/>
      <c r="AL213" s="234"/>
      <c r="AM213" s="234"/>
      <c r="AN213" s="244"/>
      <c r="AO213" s="241"/>
      <c r="AP213" s="241"/>
      <c r="AQ213" s="241"/>
      <c r="AR213" s="233">
        <f>_xlfn.XLOOKUP($D213,'Modelling New'!$D:$D,'Modelling New'!$N:$N)</f>
        <v>87.8</v>
      </c>
      <c r="AS213" s="233">
        <f t="shared" si="23"/>
        <v>0</v>
      </c>
    </row>
    <row r="214" spans="1:45">
      <c r="A214" s="232">
        <f t="shared" si="24"/>
        <v>46051</v>
      </c>
      <c r="B214" s="233">
        <f>YEAR(Daily_KPI[[#This Row],[Date]])+IF(MONTH(Daily_KPI[[#This Row],[Date]])&gt;=4,1,0)</f>
        <v>2026</v>
      </c>
      <c r="C214" s="234">
        <f>YEAR(Daily_KPI[[#This Row],[Date]])</f>
        <v>2026</v>
      </c>
      <c r="D214" s="235">
        <f>Daily_KPI[[#This Row],[Date]]-DAY(Daily_KPI[[#This Row],[Date]])+1</f>
        <v>46023</v>
      </c>
      <c r="E214" s="234">
        <f t="shared" si="20"/>
        <v>31</v>
      </c>
      <c r="F214" s="236">
        <f>IFERROR(_xlfn.XLOOKUP($A214,Input_Raw!$A:$A,Input_Raw!$BM:$BM),"")</f>
        <v>0</v>
      </c>
      <c r="G214" s="237">
        <f>IFERROR(_xlfn.XLOOKUP($A214,Input_Raw!$A:$A,Input_Raw!$AN:$AN),"")</f>
        <v>0</v>
      </c>
      <c r="H214" s="237"/>
      <c r="I214" s="237">
        <f>IFERROR(_xlfn.XLOOKUP($A214,Input_Raw!$A:$A,Input_Raw!$AM:$AM),"")</f>
        <v>0</v>
      </c>
      <c r="J214" s="237"/>
      <c r="K214" s="237">
        <f>IFERROR(_xlfn.XLOOKUP($A214,Input_Raw!$A:$A,Input_Raw!AO:AO),"")</f>
        <v>0</v>
      </c>
      <c r="L214" s="237">
        <f>IFERROR(_xlfn.XLOOKUP($A214,Input_Raw!$A:$A,Input_Raw!AP:AP),"")</f>
        <v>0</v>
      </c>
      <c r="M214" s="237">
        <f>IFERROR(_xlfn.XLOOKUP($A214,Input_Raw!$A:$A,Input_Raw!AS:AS),"")</f>
        <v>0</v>
      </c>
      <c r="N214" s="237">
        <f>IFERROR(_xlfn.XLOOKUP($A214,Input_Raw!$A:$A,Input_Raw!AT:AT),"")</f>
        <v>0</v>
      </c>
      <c r="O214" s="238" t="str">
        <f>IFERROR(1-(SUMIF(Plant_BD!$B:$B,$A214,Plant_BD!$AL:$AL)/($AA214+SUMIF(Plant_BD!$B:$B,$A214,Plant_BD!$AL:$AL))),"")</f>
        <v/>
      </c>
      <c r="P214" s="238"/>
      <c r="Q214" s="239"/>
      <c r="R214" s="238" t="str">
        <f>IFERROR(1-(SUMIF(Grid_BD!$B:$B,$A214,Grid_BD!$V:$V)/($AA214+SUMIF(Grid_BD!$B:$B,$A214,Grid_BD!$V:$V))),"")</f>
        <v/>
      </c>
      <c r="S214" s="234"/>
      <c r="T214" s="239"/>
      <c r="U214" s="240" t="str">
        <f t="shared" si="21"/>
        <v/>
      </c>
      <c r="V214" s="240" t="str">
        <f>IFERROR(_xlfn.XLOOKUP($A214,Input_Raw!$A:$A,Input_Raw!$BS:$BS),"")</f>
        <v/>
      </c>
      <c r="W214" s="241">
        <f t="shared" si="22"/>
        <v>0</v>
      </c>
      <c r="X214" s="233">
        <f>IFERROR(_xlfn.XLOOKUP($A214,Input_Raw!$A:$A,Input_Raw!$AW:$AW),"")</f>
        <v>0</v>
      </c>
      <c r="Y214" s="233">
        <f>IFERROR(_xlfn.XLOOKUP($A214,Input_Raw!$A:$A,Input_Raw!$BN:$BN),"")</f>
        <v>0</v>
      </c>
      <c r="Z214" s="233"/>
      <c r="AA214" s="233">
        <f>IFERROR(_xlfn.XLOOKUP($A214,Input_Raw!$A:$A,Input_Raw!$BO:$BO),"")</f>
        <v>0</v>
      </c>
      <c r="AB214" s="233">
        <f>IFERROR(_xlfn.XLOOKUP($A214,Input_Raw!$A:$A,Input_Raw!$BP:$BP),"")</f>
        <v>0</v>
      </c>
      <c r="AC214" s="242">
        <f>IFERROR(_xlfn.XLOOKUP($D214,'Modelling New'!$D:$D,'Modelling New'!P:P),"")</f>
        <v>5.8000000000000007</v>
      </c>
      <c r="AD214" s="233">
        <f>IFERROR(_xlfn.XLOOKUP($D214,'Modelling New'!$D:$D,'Modelling New'!T:T)*1000,"")</f>
        <v>433850.69222840143</v>
      </c>
      <c r="AE214" s="243">
        <f>IFERROR(_xlfn.XLOOKUP($D214,'Modelling New'!$D:$D,'Modelling New'!$O:$O),"")</f>
        <v>0.85195721512136013</v>
      </c>
      <c r="AF214" s="243">
        <f>IFERROR(_xlfn.XLOOKUP($D214,'Modelling New'!$D:$D,'Modelling New'!$W:$W),"")</f>
        <v>0.2058896603209954</v>
      </c>
      <c r="AG214" s="243">
        <f>IFERROR(_xlfn.XLOOKUP($D214,'Modelling New'!$D:$D,'Modelling New'!$AE:$AE),"")</f>
        <v>0.995</v>
      </c>
      <c r="AH214" s="243">
        <f>IFERROR(_xlfn.XLOOKUP($D214,'Modelling New'!$D:$D,'Modelling New'!$AF:$AF),"")</f>
        <v>0.995</v>
      </c>
      <c r="AI214" s="234"/>
      <c r="AJ214" s="234"/>
      <c r="AK214" s="234"/>
      <c r="AL214" s="234"/>
      <c r="AM214" s="234"/>
      <c r="AN214" s="244"/>
      <c r="AO214" s="241"/>
      <c r="AP214" s="241"/>
      <c r="AQ214" s="241"/>
      <c r="AR214" s="233">
        <f>_xlfn.XLOOKUP($D214,'Modelling New'!$D:$D,'Modelling New'!$N:$N)</f>
        <v>87.8</v>
      </c>
      <c r="AS214" s="233">
        <f t="shared" si="23"/>
        <v>0</v>
      </c>
    </row>
    <row r="215" spans="1:45">
      <c r="A215" s="232">
        <f t="shared" si="24"/>
        <v>46052</v>
      </c>
      <c r="B215" s="233">
        <f>YEAR(Daily_KPI[[#This Row],[Date]])+IF(MONTH(Daily_KPI[[#This Row],[Date]])&gt;=4,1,0)</f>
        <v>2026</v>
      </c>
      <c r="C215" s="234">
        <f>YEAR(Daily_KPI[[#This Row],[Date]])</f>
        <v>2026</v>
      </c>
      <c r="D215" s="235">
        <f>Daily_KPI[[#This Row],[Date]]-DAY(Daily_KPI[[#This Row],[Date]])+1</f>
        <v>46023</v>
      </c>
      <c r="E215" s="234">
        <f t="shared" si="20"/>
        <v>31</v>
      </c>
      <c r="F215" s="236">
        <f>IFERROR(_xlfn.XLOOKUP($A215,Input_Raw!$A:$A,Input_Raw!$BM:$BM),"")</f>
        <v>0</v>
      </c>
      <c r="G215" s="237">
        <f>IFERROR(_xlfn.XLOOKUP($A215,Input_Raw!$A:$A,Input_Raw!$AN:$AN),"")</f>
        <v>0</v>
      </c>
      <c r="H215" s="237"/>
      <c r="I215" s="237">
        <f>IFERROR(_xlfn.XLOOKUP($A215,Input_Raw!$A:$A,Input_Raw!$AM:$AM),"")</f>
        <v>0</v>
      </c>
      <c r="J215" s="237"/>
      <c r="K215" s="237">
        <f>IFERROR(_xlfn.XLOOKUP($A215,Input_Raw!$A:$A,Input_Raw!AO:AO),"")</f>
        <v>0</v>
      </c>
      <c r="L215" s="237">
        <f>IFERROR(_xlfn.XLOOKUP($A215,Input_Raw!$A:$A,Input_Raw!AP:AP),"")</f>
        <v>0</v>
      </c>
      <c r="M215" s="237">
        <f>IFERROR(_xlfn.XLOOKUP($A215,Input_Raw!$A:$A,Input_Raw!AS:AS),"")</f>
        <v>0</v>
      </c>
      <c r="N215" s="237">
        <f>IFERROR(_xlfn.XLOOKUP($A215,Input_Raw!$A:$A,Input_Raw!AT:AT),"")</f>
        <v>0</v>
      </c>
      <c r="O215" s="238" t="str">
        <f>IFERROR(1-(SUMIF(Plant_BD!$B:$B,$A215,Plant_BD!$AL:$AL)/($AA215+SUMIF(Plant_BD!$B:$B,$A215,Plant_BD!$AL:$AL))),"")</f>
        <v/>
      </c>
      <c r="P215" s="238"/>
      <c r="Q215" s="239"/>
      <c r="R215" s="238" t="str">
        <f>IFERROR(1-(SUMIF(Grid_BD!$B:$B,$A215,Grid_BD!$V:$V)/($AA215+SUMIF(Grid_BD!$B:$B,$A215,Grid_BD!$V:$V))),"")</f>
        <v/>
      </c>
      <c r="S215" s="234"/>
      <c r="T215" s="239"/>
      <c r="U215" s="240" t="str">
        <f t="shared" si="21"/>
        <v/>
      </c>
      <c r="V215" s="240" t="str">
        <f>IFERROR(_xlfn.XLOOKUP($A215,Input_Raw!$A:$A,Input_Raw!$BS:$BS),"")</f>
        <v/>
      </c>
      <c r="W215" s="241">
        <f t="shared" si="22"/>
        <v>0</v>
      </c>
      <c r="X215" s="233">
        <f>IFERROR(_xlfn.XLOOKUP($A215,Input_Raw!$A:$A,Input_Raw!$AW:$AW),"")</f>
        <v>0</v>
      </c>
      <c r="Y215" s="233">
        <f>IFERROR(_xlfn.XLOOKUP($A215,Input_Raw!$A:$A,Input_Raw!$BN:$BN),"")</f>
        <v>0</v>
      </c>
      <c r="Z215" s="233"/>
      <c r="AA215" s="233">
        <f>IFERROR(_xlfn.XLOOKUP($A215,Input_Raw!$A:$A,Input_Raw!$BO:$BO),"")</f>
        <v>0</v>
      </c>
      <c r="AB215" s="233">
        <f>IFERROR(_xlfn.XLOOKUP($A215,Input_Raw!$A:$A,Input_Raw!$BP:$BP),"")</f>
        <v>0</v>
      </c>
      <c r="AC215" s="242">
        <f>IFERROR(_xlfn.XLOOKUP($D215,'Modelling New'!$D:$D,'Modelling New'!P:P),"")</f>
        <v>5.8000000000000007</v>
      </c>
      <c r="AD215" s="233">
        <f>IFERROR(_xlfn.XLOOKUP($D215,'Modelling New'!$D:$D,'Modelling New'!T:T)*1000,"")</f>
        <v>433850.69222840143</v>
      </c>
      <c r="AE215" s="243">
        <f>IFERROR(_xlfn.XLOOKUP($D215,'Modelling New'!$D:$D,'Modelling New'!$O:$O),"")</f>
        <v>0.85195721512136013</v>
      </c>
      <c r="AF215" s="243">
        <f>IFERROR(_xlfn.XLOOKUP($D215,'Modelling New'!$D:$D,'Modelling New'!$W:$W),"")</f>
        <v>0.2058896603209954</v>
      </c>
      <c r="AG215" s="243">
        <f>IFERROR(_xlfn.XLOOKUP($D215,'Modelling New'!$D:$D,'Modelling New'!$AE:$AE),"")</f>
        <v>0.995</v>
      </c>
      <c r="AH215" s="243">
        <f>IFERROR(_xlfn.XLOOKUP($D215,'Modelling New'!$D:$D,'Modelling New'!$AF:$AF),"")</f>
        <v>0.995</v>
      </c>
      <c r="AI215" s="234"/>
      <c r="AJ215" s="234"/>
      <c r="AK215" s="234"/>
      <c r="AL215" s="234"/>
      <c r="AM215" s="234"/>
      <c r="AN215" s="244"/>
      <c r="AO215" s="241"/>
      <c r="AP215" s="241"/>
      <c r="AQ215" s="241"/>
      <c r="AR215" s="233">
        <f>_xlfn.XLOOKUP($D215,'Modelling New'!$D:$D,'Modelling New'!$N:$N)</f>
        <v>87.8</v>
      </c>
      <c r="AS215" s="233">
        <f t="shared" si="23"/>
        <v>0</v>
      </c>
    </row>
    <row r="216" spans="1:45">
      <c r="A216" s="232">
        <f t="shared" si="24"/>
        <v>46053</v>
      </c>
      <c r="B216" s="233">
        <f>YEAR(Daily_KPI[[#This Row],[Date]])+IF(MONTH(Daily_KPI[[#This Row],[Date]])&gt;=4,1,0)</f>
        <v>2026</v>
      </c>
      <c r="C216" s="234">
        <f>YEAR(Daily_KPI[[#This Row],[Date]])</f>
        <v>2026</v>
      </c>
      <c r="D216" s="235">
        <f>Daily_KPI[[#This Row],[Date]]-DAY(Daily_KPI[[#This Row],[Date]])+1</f>
        <v>46023</v>
      </c>
      <c r="E216" s="234">
        <f t="shared" si="20"/>
        <v>31</v>
      </c>
      <c r="F216" s="236">
        <f>IFERROR(_xlfn.XLOOKUP($A216,Input_Raw!$A:$A,Input_Raw!$BM:$BM),"")</f>
        <v>0</v>
      </c>
      <c r="G216" s="237">
        <f>IFERROR(_xlfn.XLOOKUP($A216,Input_Raw!$A:$A,Input_Raw!$AN:$AN),"")</f>
        <v>0</v>
      </c>
      <c r="H216" s="237"/>
      <c r="I216" s="237">
        <f>IFERROR(_xlfn.XLOOKUP($A216,Input_Raw!$A:$A,Input_Raw!$AM:$AM),"")</f>
        <v>0</v>
      </c>
      <c r="J216" s="237"/>
      <c r="K216" s="237">
        <f>IFERROR(_xlfn.XLOOKUP($A216,Input_Raw!$A:$A,Input_Raw!AO:AO),"")</f>
        <v>0</v>
      </c>
      <c r="L216" s="237">
        <f>IFERROR(_xlfn.XLOOKUP($A216,Input_Raw!$A:$A,Input_Raw!AP:AP),"")</f>
        <v>0</v>
      </c>
      <c r="M216" s="237">
        <f>IFERROR(_xlfn.XLOOKUP($A216,Input_Raw!$A:$A,Input_Raw!AS:AS),"")</f>
        <v>0</v>
      </c>
      <c r="N216" s="237">
        <f>IFERROR(_xlfn.XLOOKUP($A216,Input_Raw!$A:$A,Input_Raw!AT:AT),"")</f>
        <v>0</v>
      </c>
      <c r="O216" s="238" t="str">
        <f>IFERROR(1-(SUMIF(Plant_BD!$B:$B,$A216,Plant_BD!$AL:$AL)/($AA216+SUMIF(Plant_BD!$B:$B,$A216,Plant_BD!$AL:$AL))),"")</f>
        <v/>
      </c>
      <c r="P216" s="238"/>
      <c r="Q216" s="239"/>
      <c r="R216" s="238" t="str">
        <f>IFERROR(1-(SUMIF(Grid_BD!$B:$B,$A216,Grid_BD!$V:$V)/($AA216+SUMIF(Grid_BD!$B:$B,$A216,Grid_BD!$V:$V))),"")</f>
        <v/>
      </c>
      <c r="S216" s="234"/>
      <c r="T216" s="239"/>
      <c r="U216" s="240" t="str">
        <f t="shared" si="21"/>
        <v/>
      </c>
      <c r="V216" s="240" t="str">
        <f>IFERROR(_xlfn.XLOOKUP($A216,Input_Raw!$A:$A,Input_Raw!$BS:$BS),"")</f>
        <v/>
      </c>
      <c r="W216" s="241">
        <f t="shared" si="22"/>
        <v>0</v>
      </c>
      <c r="X216" s="233">
        <f>IFERROR(_xlfn.XLOOKUP($A216,Input_Raw!$A:$A,Input_Raw!$AW:$AW),"")</f>
        <v>0</v>
      </c>
      <c r="Y216" s="233">
        <f>IFERROR(_xlfn.XLOOKUP($A216,Input_Raw!$A:$A,Input_Raw!$BN:$BN),"")</f>
        <v>0</v>
      </c>
      <c r="Z216" s="233"/>
      <c r="AA216" s="233">
        <f>IFERROR(_xlfn.XLOOKUP($A216,Input_Raw!$A:$A,Input_Raw!$BO:$BO),"")</f>
        <v>0</v>
      </c>
      <c r="AB216" s="233">
        <f>IFERROR(_xlfn.XLOOKUP($A216,Input_Raw!$A:$A,Input_Raw!$BP:$BP),"")</f>
        <v>0</v>
      </c>
      <c r="AC216" s="242">
        <f>IFERROR(_xlfn.XLOOKUP($D216,'Modelling New'!$D:$D,'Modelling New'!P:P),"")</f>
        <v>5.8000000000000007</v>
      </c>
      <c r="AD216" s="233">
        <f>IFERROR(_xlfn.XLOOKUP($D216,'Modelling New'!$D:$D,'Modelling New'!T:T)*1000,"")</f>
        <v>433850.69222840143</v>
      </c>
      <c r="AE216" s="243">
        <f>IFERROR(_xlfn.XLOOKUP($D216,'Modelling New'!$D:$D,'Modelling New'!$O:$O),"")</f>
        <v>0.85195721512136013</v>
      </c>
      <c r="AF216" s="243">
        <f>IFERROR(_xlfn.XLOOKUP($D216,'Modelling New'!$D:$D,'Modelling New'!$W:$W),"")</f>
        <v>0.2058896603209954</v>
      </c>
      <c r="AG216" s="243">
        <f>IFERROR(_xlfn.XLOOKUP($D216,'Modelling New'!$D:$D,'Modelling New'!$AE:$AE),"")</f>
        <v>0.995</v>
      </c>
      <c r="AH216" s="243">
        <f>IFERROR(_xlfn.XLOOKUP($D216,'Modelling New'!$D:$D,'Modelling New'!$AF:$AF),"")</f>
        <v>0.995</v>
      </c>
      <c r="AI216" s="234"/>
      <c r="AJ216" s="234"/>
      <c r="AK216" s="234"/>
      <c r="AL216" s="234"/>
      <c r="AM216" s="234"/>
      <c r="AN216" s="244"/>
      <c r="AO216" s="241"/>
      <c r="AP216" s="241"/>
      <c r="AQ216" s="241"/>
      <c r="AR216" s="233">
        <f>_xlfn.XLOOKUP($D216,'Modelling New'!$D:$D,'Modelling New'!$N:$N)</f>
        <v>87.8</v>
      </c>
      <c r="AS216" s="233">
        <f t="shared" si="23"/>
        <v>0</v>
      </c>
    </row>
    <row r="217" spans="1:45">
      <c r="A217" s="232">
        <f t="shared" si="24"/>
        <v>46054</v>
      </c>
      <c r="B217" s="233">
        <f>YEAR(Daily_KPI[[#This Row],[Date]])+IF(MONTH(Daily_KPI[[#This Row],[Date]])&gt;=4,1,0)</f>
        <v>2026</v>
      </c>
      <c r="C217" s="234">
        <f>YEAR(Daily_KPI[[#This Row],[Date]])</f>
        <v>2026</v>
      </c>
      <c r="D217" s="235">
        <f>Daily_KPI[[#This Row],[Date]]-DAY(Daily_KPI[[#This Row],[Date]])+1</f>
        <v>46054</v>
      </c>
      <c r="E217" s="234">
        <f t="shared" si="20"/>
        <v>28</v>
      </c>
      <c r="F217" s="236">
        <f>IFERROR(_xlfn.XLOOKUP($A217,Input_Raw!$A:$A,Input_Raw!$BM:$BM),"")</f>
        <v>0</v>
      </c>
      <c r="G217" s="237">
        <f>IFERROR(_xlfn.XLOOKUP($A217,Input_Raw!$A:$A,Input_Raw!$AN:$AN),"")</f>
        <v>0</v>
      </c>
      <c r="H217" s="237"/>
      <c r="I217" s="237">
        <f>IFERROR(_xlfn.XLOOKUP($A217,Input_Raw!$A:$A,Input_Raw!$AM:$AM),"")</f>
        <v>0</v>
      </c>
      <c r="J217" s="237"/>
      <c r="K217" s="237">
        <f>IFERROR(_xlfn.XLOOKUP($A217,Input_Raw!$A:$A,Input_Raw!AO:AO),"")</f>
        <v>0</v>
      </c>
      <c r="L217" s="237">
        <f>IFERROR(_xlfn.XLOOKUP($A217,Input_Raw!$A:$A,Input_Raw!AP:AP),"")</f>
        <v>0</v>
      </c>
      <c r="M217" s="237">
        <f>IFERROR(_xlfn.XLOOKUP($A217,Input_Raw!$A:$A,Input_Raw!AS:AS),"")</f>
        <v>0</v>
      </c>
      <c r="N217" s="237">
        <f>IFERROR(_xlfn.XLOOKUP($A217,Input_Raw!$A:$A,Input_Raw!AT:AT),"")</f>
        <v>0</v>
      </c>
      <c r="O217" s="238" t="str">
        <f>IFERROR(1-(SUMIF(Plant_BD!$B:$B,$A217,Plant_BD!$AL:$AL)/($AA217+SUMIF(Plant_BD!$B:$B,$A217,Plant_BD!$AL:$AL))),"")</f>
        <v/>
      </c>
      <c r="P217" s="238"/>
      <c r="Q217" s="239"/>
      <c r="R217" s="238" t="str">
        <f>IFERROR(1-(SUMIF(Grid_BD!$B:$B,$A217,Grid_BD!$V:$V)/($AA217+SUMIF(Grid_BD!$B:$B,$A217,Grid_BD!$V:$V))),"")</f>
        <v/>
      </c>
      <c r="S217" s="234"/>
      <c r="T217" s="239"/>
      <c r="U217" s="240" t="str">
        <f t="shared" si="21"/>
        <v/>
      </c>
      <c r="V217" s="240" t="str">
        <f>IFERROR(_xlfn.XLOOKUP($A217,Input_Raw!$A:$A,Input_Raw!$BS:$BS),"")</f>
        <v/>
      </c>
      <c r="W217" s="241">
        <f t="shared" si="22"/>
        <v>0</v>
      </c>
      <c r="X217" s="233">
        <f>IFERROR(_xlfn.XLOOKUP($A217,Input_Raw!$A:$A,Input_Raw!$AW:$AW),"")</f>
        <v>0</v>
      </c>
      <c r="Y217" s="233">
        <f>IFERROR(_xlfn.XLOOKUP($A217,Input_Raw!$A:$A,Input_Raw!$BN:$BN),"")</f>
        <v>0</v>
      </c>
      <c r="Z217" s="233"/>
      <c r="AA217" s="233">
        <f>IFERROR(_xlfn.XLOOKUP($A217,Input_Raw!$A:$A,Input_Raw!$BO:$BO),"")</f>
        <v>0</v>
      </c>
      <c r="AB217" s="233">
        <f>IFERROR(_xlfn.XLOOKUP($A217,Input_Raw!$A:$A,Input_Raw!$BP:$BP),"")</f>
        <v>0</v>
      </c>
      <c r="AC217" s="242">
        <f>IFERROR(_xlfn.XLOOKUP($D217,'Modelling New'!$D:$D,'Modelling New'!P:P),"")</f>
        <v>6.5321428571428575</v>
      </c>
      <c r="AD217" s="233">
        <f>IFERROR(_xlfn.XLOOKUP($D217,'Modelling New'!$D:$D,'Modelling New'!T:T)*1000,"")</f>
        <v>479788.20340456784</v>
      </c>
      <c r="AE217" s="243">
        <f>IFERROR(_xlfn.XLOOKUP($D217,'Modelling New'!$D:$D,'Modelling New'!$O:$O),"")</f>
        <v>0.83656439316254438</v>
      </c>
      <c r="AF217" s="243">
        <f>IFERROR(_xlfn.XLOOKUP($D217,'Modelling New'!$D:$D,'Modelling New'!$W:$W),"")</f>
        <v>0.22768992188903184</v>
      </c>
      <c r="AG217" s="243">
        <f>IFERROR(_xlfn.XLOOKUP($D217,'Modelling New'!$D:$D,'Modelling New'!$AE:$AE),"")</f>
        <v>0.995</v>
      </c>
      <c r="AH217" s="243">
        <f>IFERROR(_xlfn.XLOOKUP($D217,'Modelling New'!$D:$D,'Modelling New'!$AF:$AF),"")</f>
        <v>0.995</v>
      </c>
      <c r="AI217" s="234"/>
      <c r="AJ217" s="234"/>
      <c r="AK217" s="234"/>
      <c r="AL217" s="234"/>
      <c r="AM217" s="234"/>
      <c r="AN217" s="244"/>
      <c r="AO217" s="241"/>
      <c r="AP217" s="241"/>
      <c r="AQ217" s="241"/>
      <c r="AR217" s="233">
        <f>_xlfn.XLOOKUP($D217,'Modelling New'!$D:$D,'Modelling New'!$N:$N)</f>
        <v>87.8</v>
      </c>
      <c r="AS217" s="233">
        <f t="shared" si="23"/>
        <v>0</v>
      </c>
    </row>
    <row r="218" spans="1:45">
      <c r="A218" s="232">
        <f t="shared" si="24"/>
        <v>46055</v>
      </c>
      <c r="B218" s="233">
        <f>YEAR(Daily_KPI[[#This Row],[Date]])+IF(MONTH(Daily_KPI[[#This Row],[Date]])&gt;=4,1,0)</f>
        <v>2026</v>
      </c>
      <c r="C218" s="234">
        <f>YEAR(Daily_KPI[[#This Row],[Date]])</f>
        <v>2026</v>
      </c>
      <c r="D218" s="235">
        <f>Daily_KPI[[#This Row],[Date]]-DAY(Daily_KPI[[#This Row],[Date]])+1</f>
        <v>46054</v>
      </c>
      <c r="E218" s="234">
        <f t="shared" si="20"/>
        <v>28</v>
      </c>
      <c r="F218" s="236">
        <f>IFERROR(_xlfn.XLOOKUP($A218,Input_Raw!$A:$A,Input_Raw!$BM:$BM),"")</f>
        <v>0</v>
      </c>
      <c r="G218" s="237">
        <f>IFERROR(_xlfn.XLOOKUP($A218,Input_Raw!$A:$A,Input_Raw!$AN:$AN),"")</f>
        <v>0</v>
      </c>
      <c r="H218" s="237"/>
      <c r="I218" s="237">
        <f>IFERROR(_xlfn.XLOOKUP($A218,Input_Raw!$A:$A,Input_Raw!$AM:$AM),"")</f>
        <v>0</v>
      </c>
      <c r="J218" s="237"/>
      <c r="K218" s="237">
        <f>IFERROR(_xlfn.XLOOKUP($A218,Input_Raw!$A:$A,Input_Raw!AO:AO),"")</f>
        <v>0</v>
      </c>
      <c r="L218" s="237">
        <f>IFERROR(_xlfn.XLOOKUP($A218,Input_Raw!$A:$A,Input_Raw!AP:AP),"")</f>
        <v>0</v>
      </c>
      <c r="M218" s="237">
        <f>IFERROR(_xlfn.XLOOKUP($A218,Input_Raw!$A:$A,Input_Raw!AS:AS),"")</f>
        <v>0</v>
      </c>
      <c r="N218" s="237">
        <f>IFERROR(_xlfn.XLOOKUP($A218,Input_Raw!$A:$A,Input_Raw!AT:AT),"")</f>
        <v>0</v>
      </c>
      <c r="O218" s="238" t="str">
        <f>IFERROR(1-(SUMIF(Plant_BD!$B:$B,$A218,Plant_BD!$AL:$AL)/($AA218+SUMIF(Plant_BD!$B:$B,$A218,Plant_BD!$AL:$AL))),"")</f>
        <v/>
      </c>
      <c r="P218" s="238"/>
      <c r="Q218" s="239"/>
      <c r="R218" s="238" t="str">
        <f>IFERROR(1-(SUMIF(Grid_BD!$B:$B,$A218,Grid_BD!$V:$V)/($AA218+SUMIF(Grid_BD!$B:$B,$A218,Grid_BD!$V:$V))),"")</f>
        <v/>
      </c>
      <c r="S218" s="234"/>
      <c r="T218" s="239"/>
      <c r="U218" s="240" t="str">
        <f t="shared" si="21"/>
        <v/>
      </c>
      <c r="V218" s="240" t="str">
        <f>IFERROR(_xlfn.XLOOKUP($A218,Input_Raw!$A:$A,Input_Raw!$BS:$BS),"")</f>
        <v/>
      </c>
      <c r="W218" s="241">
        <f t="shared" si="22"/>
        <v>0</v>
      </c>
      <c r="X218" s="233">
        <f>IFERROR(_xlfn.XLOOKUP($A218,Input_Raw!$A:$A,Input_Raw!$AW:$AW),"")</f>
        <v>0</v>
      </c>
      <c r="Y218" s="233">
        <f>IFERROR(_xlfn.XLOOKUP($A218,Input_Raw!$A:$A,Input_Raw!$BN:$BN),"")</f>
        <v>0</v>
      </c>
      <c r="Z218" s="233"/>
      <c r="AA218" s="233">
        <f>IFERROR(_xlfn.XLOOKUP($A218,Input_Raw!$A:$A,Input_Raw!$BO:$BO),"")</f>
        <v>0</v>
      </c>
      <c r="AB218" s="233">
        <f>IFERROR(_xlfn.XLOOKUP($A218,Input_Raw!$A:$A,Input_Raw!$BP:$BP),"")</f>
        <v>0</v>
      </c>
      <c r="AC218" s="242">
        <f>IFERROR(_xlfn.XLOOKUP($D218,'Modelling New'!$D:$D,'Modelling New'!P:P),"")</f>
        <v>6.5321428571428575</v>
      </c>
      <c r="AD218" s="233">
        <f>IFERROR(_xlfn.XLOOKUP($D218,'Modelling New'!$D:$D,'Modelling New'!T:T)*1000,"")</f>
        <v>479788.20340456784</v>
      </c>
      <c r="AE218" s="243">
        <f>IFERROR(_xlfn.XLOOKUP($D218,'Modelling New'!$D:$D,'Modelling New'!$O:$O),"")</f>
        <v>0.83656439316254438</v>
      </c>
      <c r="AF218" s="243">
        <f>IFERROR(_xlfn.XLOOKUP($D218,'Modelling New'!$D:$D,'Modelling New'!$W:$W),"")</f>
        <v>0.22768992188903184</v>
      </c>
      <c r="AG218" s="243">
        <f>IFERROR(_xlfn.XLOOKUP($D218,'Modelling New'!$D:$D,'Modelling New'!$AE:$AE),"")</f>
        <v>0.995</v>
      </c>
      <c r="AH218" s="243">
        <f>IFERROR(_xlfn.XLOOKUP($D218,'Modelling New'!$D:$D,'Modelling New'!$AF:$AF),"")</f>
        <v>0.995</v>
      </c>
      <c r="AI218" s="234"/>
      <c r="AJ218" s="234"/>
      <c r="AK218" s="234"/>
      <c r="AL218" s="234"/>
      <c r="AM218" s="234"/>
      <c r="AN218" s="244"/>
      <c r="AO218" s="241"/>
      <c r="AP218" s="241"/>
      <c r="AQ218" s="241"/>
      <c r="AR218" s="233">
        <f>_xlfn.XLOOKUP($D218,'Modelling New'!$D:$D,'Modelling New'!$N:$N)</f>
        <v>87.8</v>
      </c>
      <c r="AS218" s="233">
        <f t="shared" si="23"/>
        <v>0</v>
      </c>
    </row>
    <row r="219" spans="1:45">
      <c r="A219" s="232">
        <f t="shared" si="24"/>
        <v>46056</v>
      </c>
      <c r="B219" s="233">
        <f>YEAR(Daily_KPI[[#This Row],[Date]])+IF(MONTH(Daily_KPI[[#This Row],[Date]])&gt;=4,1,0)</f>
        <v>2026</v>
      </c>
      <c r="C219" s="234">
        <f>YEAR(Daily_KPI[[#This Row],[Date]])</f>
        <v>2026</v>
      </c>
      <c r="D219" s="235">
        <f>Daily_KPI[[#This Row],[Date]]-DAY(Daily_KPI[[#This Row],[Date]])+1</f>
        <v>46054</v>
      </c>
      <c r="E219" s="234">
        <f t="shared" si="20"/>
        <v>28</v>
      </c>
      <c r="F219" s="236">
        <f>IFERROR(_xlfn.XLOOKUP($A219,Input_Raw!$A:$A,Input_Raw!$BM:$BM),"")</f>
        <v>0</v>
      </c>
      <c r="G219" s="237">
        <f>IFERROR(_xlfn.XLOOKUP($A219,Input_Raw!$A:$A,Input_Raw!$AN:$AN),"")</f>
        <v>0</v>
      </c>
      <c r="H219" s="237"/>
      <c r="I219" s="237">
        <f>IFERROR(_xlfn.XLOOKUP($A219,Input_Raw!$A:$A,Input_Raw!$AM:$AM),"")</f>
        <v>0</v>
      </c>
      <c r="J219" s="237"/>
      <c r="K219" s="237">
        <f>IFERROR(_xlfn.XLOOKUP($A219,Input_Raw!$A:$A,Input_Raw!AO:AO),"")</f>
        <v>0</v>
      </c>
      <c r="L219" s="237">
        <f>IFERROR(_xlfn.XLOOKUP($A219,Input_Raw!$A:$A,Input_Raw!AP:AP),"")</f>
        <v>0</v>
      </c>
      <c r="M219" s="237">
        <f>IFERROR(_xlfn.XLOOKUP($A219,Input_Raw!$A:$A,Input_Raw!AS:AS),"")</f>
        <v>0</v>
      </c>
      <c r="N219" s="237">
        <f>IFERROR(_xlfn.XLOOKUP($A219,Input_Raw!$A:$A,Input_Raw!AT:AT),"")</f>
        <v>0</v>
      </c>
      <c r="O219" s="238" t="str">
        <f>IFERROR(1-(SUMIF(Plant_BD!$B:$B,$A219,Plant_BD!$AL:$AL)/($AA219+SUMIF(Plant_BD!$B:$B,$A219,Plant_BD!$AL:$AL))),"")</f>
        <v/>
      </c>
      <c r="P219" s="238"/>
      <c r="Q219" s="239"/>
      <c r="R219" s="238" t="str">
        <f>IFERROR(1-(SUMIF(Grid_BD!$B:$B,$A219,Grid_BD!$V:$V)/($AA219+SUMIF(Grid_BD!$B:$B,$A219,Grid_BD!$V:$V))),"")</f>
        <v/>
      </c>
      <c r="S219" s="234"/>
      <c r="T219" s="239"/>
      <c r="U219" s="240" t="str">
        <f t="shared" si="21"/>
        <v/>
      </c>
      <c r="V219" s="240" t="str">
        <f>IFERROR(_xlfn.XLOOKUP($A219,Input_Raw!$A:$A,Input_Raw!$BS:$BS),"")</f>
        <v/>
      </c>
      <c r="W219" s="241">
        <f t="shared" si="22"/>
        <v>0</v>
      </c>
      <c r="X219" s="233">
        <f>IFERROR(_xlfn.XLOOKUP($A219,Input_Raw!$A:$A,Input_Raw!$AW:$AW),"")</f>
        <v>0</v>
      </c>
      <c r="Y219" s="233">
        <f>IFERROR(_xlfn.XLOOKUP($A219,Input_Raw!$A:$A,Input_Raw!$BN:$BN),"")</f>
        <v>0</v>
      </c>
      <c r="Z219" s="233"/>
      <c r="AA219" s="233">
        <f>IFERROR(_xlfn.XLOOKUP($A219,Input_Raw!$A:$A,Input_Raw!$BO:$BO),"")</f>
        <v>0</v>
      </c>
      <c r="AB219" s="233">
        <f>IFERROR(_xlfn.XLOOKUP($A219,Input_Raw!$A:$A,Input_Raw!$BP:$BP),"")</f>
        <v>0</v>
      </c>
      <c r="AC219" s="242">
        <f>IFERROR(_xlfn.XLOOKUP($D219,'Modelling New'!$D:$D,'Modelling New'!P:P),"")</f>
        <v>6.5321428571428575</v>
      </c>
      <c r="AD219" s="233">
        <f>IFERROR(_xlfn.XLOOKUP($D219,'Modelling New'!$D:$D,'Modelling New'!T:T)*1000,"")</f>
        <v>479788.20340456784</v>
      </c>
      <c r="AE219" s="243">
        <f>IFERROR(_xlfn.XLOOKUP($D219,'Modelling New'!$D:$D,'Modelling New'!$O:$O),"")</f>
        <v>0.83656439316254438</v>
      </c>
      <c r="AF219" s="243">
        <f>IFERROR(_xlfn.XLOOKUP($D219,'Modelling New'!$D:$D,'Modelling New'!$W:$W),"")</f>
        <v>0.22768992188903184</v>
      </c>
      <c r="AG219" s="243">
        <f>IFERROR(_xlfn.XLOOKUP($D219,'Modelling New'!$D:$D,'Modelling New'!$AE:$AE),"")</f>
        <v>0.995</v>
      </c>
      <c r="AH219" s="243">
        <f>IFERROR(_xlfn.XLOOKUP($D219,'Modelling New'!$D:$D,'Modelling New'!$AF:$AF),"")</f>
        <v>0.995</v>
      </c>
      <c r="AI219" s="234"/>
      <c r="AJ219" s="234"/>
      <c r="AK219" s="234"/>
      <c r="AL219" s="234"/>
      <c r="AM219" s="234"/>
      <c r="AN219" s="244"/>
      <c r="AO219" s="241"/>
      <c r="AP219" s="241"/>
      <c r="AQ219" s="241"/>
      <c r="AR219" s="233">
        <f>_xlfn.XLOOKUP($D219,'Modelling New'!$D:$D,'Modelling New'!$N:$N)</f>
        <v>87.8</v>
      </c>
      <c r="AS219" s="233">
        <f t="shared" si="23"/>
        <v>0</v>
      </c>
    </row>
    <row r="220" spans="1:45">
      <c r="A220" s="232">
        <f t="shared" si="24"/>
        <v>46057</v>
      </c>
      <c r="B220" s="233">
        <f>YEAR(Daily_KPI[[#This Row],[Date]])+IF(MONTH(Daily_KPI[[#This Row],[Date]])&gt;=4,1,0)</f>
        <v>2026</v>
      </c>
      <c r="C220" s="234">
        <f>YEAR(Daily_KPI[[#This Row],[Date]])</f>
        <v>2026</v>
      </c>
      <c r="D220" s="235">
        <f>Daily_KPI[[#This Row],[Date]]-DAY(Daily_KPI[[#This Row],[Date]])+1</f>
        <v>46054</v>
      </c>
      <c r="E220" s="234">
        <f t="shared" si="20"/>
        <v>28</v>
      </c>
      <c r="F220" s="236">
        <f>IFERROR(_xlfn.XLOOKUP($A220,Input_Raw!$A:$A,Input_Raw!$BM:$BM),"")</f>
        <v>0</v>
      </c>
      <c r="G220" s="237">
        <f>IFERROR(_xlfn.XLOOKUP($A220,Input_Raw!$A:$A,Input_Raw!$AN:$AN),"")</f>
        <v>0</v>
      </c>
      <c r="H220" s="237"/>
      <c r="I220" s="237">
        <f>IFERROR(_xlfn.XLOOKUP($A220,Input_Raw!$A:$A,Input_Raw!$AM:$AM),"")</f>
        <v>0</v>
      </c>
      <c r="J220" s="237"/>
      <c r="K220" s="237">
        <f>IFERROR(_xlfn.XLOOKUP($A220,Input_Raw!$A:$A,Input_Raw!AO:AO),"")</f>
        <v>0</v>
      </c>
      <c r="L220" s="237">
        <f>IFERROR(_xlfn.XLOOKUP($A220,Input_Raw!$A:$A,Input_Raw!AP:AP),"")</f>
        <v>0</v>
      </c>
      <c r="M220" s="237">
        <f>IFERROR(_xlfn.XLOOKUP($A220,Input_Raw!$A:$A,Input_Raw!AS:AS),"")</f>
        <v>0</v>
      </c>
      <c r="N220" s="237">
        <f>IFERROR(_xlfn.XLOOKUP($A220,Input_Raw!$A:$A,Input_Raw!AT:AT),"")</f>
        <v>0</v>
      </c>
      <c r="O220" s="238" t="str">
        <f>IFERROR(1-(SUMIF(Plant_BD!$B:$B,$A220,Plant_BD!$AL:$AL)/($AA220+SUMIF(Plant_BD!$B:$B,$A220,Plant_BD!$AL:$AL))),"")</f>
        <v/>
      </c>
      <c r="P220" s="238"/>
      <c r="Q220" s="239"/>
      <c r="R220" s="238" t="str">
        <f>IFERROR(1-(SUMIF(Grid_BD!$B:$B,$A220,Grid_BD!$V:$V)/($AA220+SUMIF(Grid_BD!$B:$B,$A220,Grid_BD!$V:$V))),"")</f>
        <v/>
      </c>
      <c r="S220" s="234"/>
      <c r="T220" s="239"/>
      <c r="U220" s="240" t="str">
        <f t="shared" si="21"/>
        <v/>
      </c>
      <c r="V220" s="240" t="str">
        <f>IFERROR(_xlfn.XLOOKUP($A220,Input_Raw!$A:$A,Input_Raw!$BS:$BS),"")</f>
        <v/>
      </c>
      <c r="W220" s="241">
        <f t="shared" si="22"/>
        <v>0</v>
      </c>
      <c r="X220" s="233">
        <f>IFERROR(_xlfn.XLOOKUP($A220,Input_Raw!$A:$A,Input_Raw!$AW:$AW),"")</f>
        <v>0</v>
      </c>
      <c r="Y220" s="233">
        <f>IFERROR(_xlfn.XLOOKUP($A220,Input_Raw!$A:$A,Input_Raw!$BN:$BN),"")</f>
        <v>0</v>
      </c>
      <c r="Z220" s="233"/>
      <c r="AA220" s="233">
        <f>IFERROR(_xlfn.XLOOKUP($A220,Input_Raw!$A:$A,Input_Raw!$BO:$BO),"")</f>
        <v>0</v>
      </c>
      <c r="AB220" s="233">
        <f>IFERROR(_xlfn.XLOOKUP($A220,Input_Raw!$A:$A,Input_Raw!$BP:$BP),"")</f>
        <v>0</v>
      </c>
      <c r="AC220" s="242">
        <f>IFERROR(_xlfn.XLOOKUP($D220,'Modelling New'!$D:$D,'Modelling New'!P:P),"")</f>
        <v>6.5321428571428575</v>
      </c>
      <c r="AD220" s="233">
        <f>IFERROR(_xlfn.XLOOKUP($D220,'Modelling New'!$D:$D,'Modelling New'!T:T)*1000,"")</f>
        <v>479788.20340456784</v>
      </c>
      <c r="AE220" s="243">
        <f>IFERROR(_xlfn.XLOOKUP($D220,'Modelling New'!$D:$D,'Modelling New'!$O:$O),"")</f>
        <v>0.83656439316254438</v>
      </c>
      <c r="AF220" s="243">
        <f>IFERROR(_xlfn.XLOOKUP($D220,'Modelling New'!$D:$D,'Modelling New'!$W:$W),"")</f>
        <v>0.22768992188903184</v>
      </c>
      <c r="AG220" s="243">
        <f>IFERROR(_xlfn.XLOOKUP($D220,'Modelling New'!$D:$D,'Modelling New'!$AE:$AE),"")</f>
        <v>0.995</v>
      </c>
      <c r="AH220" s="243">
        <f>IFERROR(_xlfn.XLOOKUP($D220,'Modelling New'!$D:$D,'Modelling New'!$AF:$AF),"")</f>
        <v>0.995</v>
      </c>
      <c r="AI220" s="234"/>
      <c r="AJ220" s="234"/>
      <c r="AK220" s="234"/>
      <c r="AL220" s="234"/>
      <c r="AM220" s="234"/>
      <c r="AN220" s="244"/>
      <c r="AO220" s="241"/>
      <c r="AP220" s="241"/>
      <c r="AQ220" s="241"/>
      <c r="AR220" s="233">
        <f>_xlfn.XLOOKUP($D220,'Modelling New'!$D:$D,'Modelling New'!$N:$N)</f>
        <v>87.8</v>
      </c>
      <c r="AS220" s="233">
        <f t="shared" si="23"/>
        <v>0</v>
      </c>
    </row>
    <row r="221" spans="1:45">
      <c r="A221" s="232">
        <f t="shared" si="24"/>
        <v>46058</v>
      </c>
      <c r="B221" s="233">
        <f>YEAR(Daily_KPI[[#This Row],[Date]])+IF(MONTH(Daily_KPI[[#This Row],[Date]])&gt;=4,1,0)</f>
        <v>2026</v>
      </c>
      <c r="C221" s="234">
        <f>YEAR(Daily_KPI[[#This Row],[Date]])</f>
        <v>2026</v>
      </c>
      <c r="D221" s="235">
        <f>Daily_KPI[[#This Row],[Date]]-DAY(Daily_KPI[[#This Row],[Date]])+1</f>
        <v>46054</v>
      </c>
      <c r="E221" s="234">
        <f t="shared" si="20"/>
        <v>28</v>
      </c>
      <c r="F221" s="236">
        <f>IFERROR(_xlfn.XLOOKUP($A221,Input_Raw!$A:$A,Input_Raw!$BM:$BM),"")</f>
        <v>0</v>
      </c>
      <c r="G221" s="237">
        <f>IFERROR(_xlfn.XLOOKUP($A221,Input_Raw!$A:$A,Input_Raw!$AN:$AN),"")</f>
        <v>0</v>
      </c>
      <c r="H221" s="237"/>
      <c r="I221" s="237">
        <f>IFERROR(_xlfn.XLOOKUP($A221,Input_Raw!$A:$A,Input_Raw!$AM:$AM),"")</f>
        <v>0</v>
      </c>
      <c r="J221" s="237"/>
      <c r="K221" s="237">
        <f>IFERROR(_xlfn.XLOOKUP($A221,Input_Raw!$A:$A,Input_Raw!AO:AO),"")</f>
        <v>0</v>
      </c>
      <c r="L221" s="237">
        <f>IFERROR(_xlfn.XLOOKUP($A221,Input_Raw!$A:$A,Input_Raw!AP:AP),"")</f>
        <v>0</v>
      </c>
      <c r="M221" s="237">
        <f>IFERROR(_xlfn.XLOOKUP($A221,Input_Raw!$A:$A,Input_Raw!AS:AS),"")</f>
        <v>0</v>
      </c>
      <c r="N221" s="237">
        <f>IFERROR(_xlfn.XLOOKUP($A221,Input_Raw!$A:$A,Input_Raw!AT:AT),"")</f>
        <v>0</v>
      </c>
      <c r="O221" s="238" t="str">
        <f>IFERROR(1-(SUMIF(Plant_BD!$B:$B,$A221,Plant_BD!$AL:$AL)/($AA221+SUMIF(Plant_BD!$B:$B,$A221,Plant_BD!$AL:$AL))),"")</f>
        <v/>
      </c>
      <c r="P221" s="238"/>
      <c r="Q221" s="239"/>
      <c r="R221" s="238" t="str">
        <f>IFERROR(1-(SUMIF(Grid_BD!$B:$B,$A221,Grid_BD!$V:$V)/($AA221+SUMIF(Grid_BD!$B:$B,$A221,Grid_BD!$V:$V))),"")</f>
        <v/>
      </c>
      <c r="S221" s="234"/>
      <c r="T221" s="239"/>
      <c r="U221" s="240" t="str">
        <f t="shared" si="21"/>
        <v/>
      </c>
      <c r="V221" s="240" t="str">
        <f>IFERROR(_xlfn.XLOOKUP($A221,Input_Raw!$A:$A,Input_Raw!$BS:$BS),"")</f>
        <v/>
      </c>
      <c r="W221" s="241">
        <f t="shared" si="22"/>
        <v>0</v>
      </c>
      <c r="X221" s="233">
        <f>IFERROR(_xlfn.XLOOKUP($A221,Input_Raw!$A:$A,Input_Raw!$AW:$AW),"")</f>
        <v>0</v>
      </c>
      <c r="Y221" s="233">
        <f>IFERROR(_xlfn.XLOOKUP($A221,Input_Raw!$A:$A,Input_Raw!$BN:$BN),"")</f>
        <v>0</v>
      </c>
      <c r="Z221" s="233"/>
      <c r="AA221" s="233">
        <f>IFERROR(_xlfn.XLOOKUP($A221,Input_Raw!$A:$A,Input_Raw!$BO:$BO),"")</f>
        <v>0</v>
      </c>
      <c r="AB221" s="233">
        <f>IFERROR(_xlfn.XLOOKUP($A221,Input_Raw!$A:$A,Input_Raw!$BP:$BP),"")</f>
        <v>0</v>
      </c>
      <c r="AC221" s="242">
        <f>IFERROR(_xlfn.XLOOKUP($D221,'Modelling New'!$D:$D,'Modelling New'!P:P),"")</f>
        <v>6.5321428571428575</v>
      </c>
      <c r="AD221" s="233">
        <f>IFERROR(_xlfn.XLOOKUP($D221,'Modelling New'!$D:$D,'Modelling New'!T:T)*1000,"")</f>
        <v>479788.20340456784</v>
      </c>
      <c r="AE221" s="243">
        <f>IFERROR(_xlfn.XLOOKUP($D221,'Modelling New'!$D:$D,'Modelling New'!$O:$O),"")</f>
        <v>0.83656439316254438</v>
      </c>
      <c r="AF221" s="243">
        <f>IFERROR(_xlfn.XLOOKUP($D221,'Modelling New'!$D:$D,'Modelling New'!$W:$W),"")</f>
        <v>0.22768992188903184</v>
      </c>
      <c r="AG221" s="243">
        <f>IFERROR(_xlfn.XLOOKUP($D221,'Modelling New'!$D:$D,'Modelling New'!$AE:$AE),"")</f>
        <v>0.995</v>
      </c>
      <c r="AH221" s="243">
        <f>IFERROR(_xlfn.XLOOKUP($D221,'Modelling New'!$D:$D,'Modelling New'!$AF:$AF),"")</f>
        <v>0.995</v>
      </c>
      <c r="AI221" s="234"/>
      <c r="AJ221" s="234"/>
      <c r="AK221" s="234"/>
      <c r="AL221" s="234"/>
      <c r="AM221" s="234"/>
      <c r="AN221" s="244"/>
      <c r="AO221" s="241"/>
      <c r="AP221" s="241"/>
      <c r="AQ221" s="241"/>
      <c r="AR221" s="233">
        <f>_xlfn.XLOOKUP($D221,'Modelling New'!$D:$D,'Modelling New'!$N:$N)</f>
        <v>87.8</v>
      </c>
      <c r="AS221" s="233">
        <f t="shared" si="23"/>
        <v>0</v>
      </c>
    </row>
    <row r="222" spans="1:45">
      <c r="A222" s="232">
        <f t="shared" si="24"/>
        <v>46059</v>
      </c>
      <c r="B222" s="233">
        <f>YEAR(Daily_KPI[[#This Row],[Date]])+IF(MONTH(Daily_KPI[[#This Row],[Date]])&gt;=4,1,0)</f>
        <v>2026</v>
      </c>
      <c r="C222" s="234">
        <f>YEAR(Daily_KPI[[#This Row],[Date]])</f>
        <v>2026</v>
      </c>
      <c r="D222" s="235">
        <f>Daily_KPI[[#This Row],[Date]]-DAY(Daily_KPI[[#This Row],[Date]])+1</f>
        <v>46054</v>
      </c>
      <c r="E222" s="234">
        <f t="shared" si="20"/>
        <v>28</v>
      </c>
      <c r="F222" s="236">
        <f>IFERROR(_xlfn.XLOOKUP($A222,Input_Raw!$A:$A,Input_Raw!$BM:$BM),"")</f>
        <v>0</v>
      </c>
      <c r="G222" s="237">
        <f>IFERROR(_xlfn.XLOOKUP($A222,Input_Raw!$A:$A,Input_Raw!$AN:$AN),"")</f>
        <v>0</v>
      </c>
      <c r="H222" s="237"/>
      <c r="I222" s="237">
        <f>IFERROR(_xlfn.XLOOKUP($A222,Input_Raw!$A:$A,Input_Raw!$AM:$AM),"")</f>
        <v>0</v>
      </c>
      <c r="J222" s="237"/>
      <c r="K222" s="237">
        <f>IFERROR(_xlfn.XLOOKUP($A222,Input_Raw!$A:$A,Input_Raw!AO:AO),"")</f>
        <v>0</v>
      </c>
      <c r="L222" s="237">
        <f>IFERROR(_xlfn.XLOOKUP($A222,Input_Raw!$A:$A,Input_Raw!AP:AP),"")</f>
        <v>0</v>
      </c>
      <c r="M222" s="237">
        <f>IFERROR(_xlfn.XLOOKUP($A222,Input_Raw!$A:$A,Input_Raw!AS:AS),"")</f>
        <v>0</v>
      </c>
      <c r="N222" s="237">
        <f>IFERROR(_xlfn.XLOOKUP($A222,Input_Raw!$A:$A,Input_Raw!AT:AT),"")</f>
        <v>0</v>
      </c>
      <c r="O222" s="238" t="str">
        <f>IFERROR(1-(SUMIF(Plant_BD!$B:$B,$A222,Plant_BD!$AL:$AL)/($AA222+SUMIF(Plant_BD!$B:$B,$A222,Plant_BD!$AL:$AL))),"")</f>
        <v/>
      </c>
      <c r="P222" s="238"/>
      <c r="Q222" s="239"/>
      <c r="R222" s="238" t="str">
        <f>IFERROR(1-(SUMIF(Grid_BD!$B:$B,$A222,Grid_BD!$V:$V)/($AA222+SUMIF(Grid_BD!$B:$B,$A222,Grid_BD!$V:$V))),"")</f>
        <v/>
      </c>
      <c r="S222" s="234"/>
      <c r="T222" s="239"/>
      <c r="U222" s="240" t="str">
        <f t="shared" si="21"/>
        <v/>
      </c>
      <c r="V222" s="240" t="str">
        <f>IFERROR(_xlfn.XLOOKUP($A222,Input_Raw!$A:$A,Input_Raw!$BS:$BS),"")</f>
        <v/>
      </c>
      <c r="W222" s="241">
        <f t="shared" si="22"/>
        <v>0</v>
      </c>
      <c r="X222" s="233">
        <f>IFERROR(_xlfn.XLOOKUP($A222,Input_Raw!$A:$A,Input_Raw!$AW:$AW),"")</f>
        <v>0</v>
      </c>
      <c r="Y222" s="233">
        <f>IFERROR(_xlfn.XLOOKUP($A222,Input_Raw!$A:$A,Input_Raw!$BN:$BN),"")</f>
        <v>0</v>
      </c>
      <c r="Z222" s="233"/>
      <c r="AA222" s="233">
        <f>IFERROR(_xlfn.XLOOKUP($A222,Input_Raw!$A:$A,Input_Raw!$BO:$BO),"")</f>
        <v>0</v>
      </c>
      <c r="AB222" s="233">
        <f>IFERROR(_xlfn.XLOOKUP($A222,Input_Raw!$A:$A,Input_Raw!$BP:$BP),"")</f>
        <v>0</v>
      </c>
      <c r="AC222" s="242">
        <f>IFERROR(_xlfn.XLOOKUP($D222,'Modelling New'!$D:$D,'Modelling New'!P:P),"")</f>
        <v>6.5321428571428575</v>
      </c>
      <c r="AD222" s="233">
        <f>IFERROR(_xlfn.XLOOKUP($D222,'Modelling New'!$D:$D,'Modelling New'!T:T)*1000,"")</f>
        <v>479788.20340456784</v>
      </c>
      <c r="AE222" s="243">
        <f>IFERROR(_xlfn.XLOOKUP($D222,'Modelling New'!$D:$D,'Modelling New'!$O:$O),"")</f>
        <v>0.83656439316254438</v>
      </c>
      <c r="AF222" s="243">
        <f>IFERROR(_xlfn.XLOOKUP($D222,'Modelling New'!$D:$D,'Modelling New'!$W:$W),"")</f>
        <v>0.22768992188903184</v>
      </c>
      <c r="AG222" s="243">
        <f>IFERROR(_xlfn.XLOOKUP($D222,'Modelling New'!$D:$D,'Modelling New'!$AE:$AE),"")</f>
        <v>0.995</v>
      </c>
      <c r="AH222" s="243">
        <f>IFERROR(_xlfn.XLOOKUP($D222,'Modelling New'!$D:$D,'Modelling New'!$AF:$AF),"")</f>
        <v>0.995</v>
      </c>
      <c r="AI222" s="234"/>
      <c r="AJ222" s="234"/>
      <c r="AK222" s="234"/>
      <c r="AL222" s="234"/>
      <c r="AM222" s="234"/>
      <c r="AN222" s="244"/>
      <c r="AO222" s="241"/>
      <c r="AP222" s="241"/>
      <c r="AQ222" s="241"/>
      <c r="AR222" s="233">
        <f>_xlfn.XLOOKUP($D222,'Modelling New'!$D:$D,'Modelling New'!$N:$N)</f>
        <v>87.8</v>
      </c>
      <c r="AS222" s="233">
        <f t="shared" si="23"/>
        <v>0</v>
      </c>
    </row>
    <row r="223" spans="1:45">
      <c r="A223" s="232">
        <f t="shared" si="24"/>
        <v>46060</v>
      </c>
      <c r="B223" s="233">
        <f>YEAR(Daily_KPI[[#This Row],[Date]])+IF(MONTH(Daily_KPI[[#This Row],[Date]])&gt;=4,1,0)</f>
        <v>2026</v>
      </c>
      <c r="C223" s="234">
        <f>YEAR(Daily_KPI[[#This Row],[Date]])</f>
        <v>2026</v>
      </c>
      <c r="D223" s="235">
        <f>Daily_KPI[[#This Row],[Date]]-DAY(Daily_KPI[[#This Row],[Date]])+1</f>
        <v>46054</v>
      </c>
      <c r="E223" s="234">
        <f t="shared" si="20"/>
        <v>28</v>
      </c>
      <c r="F223" s="236">
        <f>IFERROR(_xlfn.XLOOKUP($A223,Input_Raw!$A:$A,Input_Raw!$BM:$BM),"")</f>
        <v>0</v>
      </c>
      <c r="G223" s="237">
        <f>IFERROR(_xlfn.XLOOKUP($A223,Input_Raw!$A:$A,Input_Raw!$AN:$AN),"")</f>
        <v>0</v>
      </c>
      <c r="H223" s="237"/>
      <c r="I223" s="237">
        <f>IFERROR(_xlfn.XLOOKUP($A223,Input_Raw!$A:$A,Input_Raw!$AM:$AM),"")</f>
        <v>0</v>
      </c>
      <c r="J223" s="237"/>
      <c r="K223" s="237">
        <f>IFERROR(_xlfn.XLOOKUP($A223,Input_Raw!$A:$A,Input_Raw!AO:AO),"")</f>
        <v>0</v>
      </c>
      <c r="L223" s="237">
        <f>IFERROR(_xlfn.XLOOKUP($A223,Input_Raw!$A:$A,Input_Raw!AP:AP),"")</f>
        <v>0</v>
      </c>
      <c r="M223" s="237">
        <f>IFERROR(_xlfn.XLOOKUP($A223,Input_Raw!$A:$A,Input_Raw!AS:AS),"")</f>
        <v>0</v>
      </c>
      <c r="N223" s="237">
        <f>IFERROR(_xlfn.XLOOKUP($A223,Input_Raw!$A:$A,Input_Raw!AT:AT),"")</f>
        <v>0</v>
      </c>
      <c r="O223" s="238" t="str">
        <f>IFERROR(1-(SUMIF(Plant_BD!$B:$B,$A223,Plant_BD!$AL:$AL)/($AA223+SUMIF(Plant_BD!$B:$B,$A223,Plant_BD!$AL:$AL))),"")</f>
        <v/>
      </c>
      <c r="P223" s="238"/>
      <c r="Q223" s="239"/>
      <c r="R223" s="238" t="str">
        <f>IFERROR(1-(SUMIF(Grid_BD!$B:$B,$A223,Grid_BD!$V:$V)/($AA223+SUMIF(Grid_BD!$B:$B,$A223,Grid_BD!$V:$V))),"")</f>
        <v/>
      </c>
      <c r="S223" s="234"/>
      <c r="T223" s="239"/>
      <c r="U223" s="240" t="str">
        <f t="shared" si="21"/>
        <v/>
      </c>
      <c r="V223" s="240" t="str">
        <f>IFERROR(_xlfn.XLOOKUP($A223,Input_Raw!$A:$A,Input_Raw!$BS:$BS),"")</f>
        <v/>
      </c>
      <c r="W223" s="241">
        <f t="shared" si="22"/>
        <v>0</v>
      </c>
      <c r="X223" s="233">
        <f>IFERROR(_xlfn.XLOOKUP($A223,Input_Raw!$A:$A,Input_Raw!$AW:$AW),"")</f>
        <v>0</v>
      </c>
      <c r="Y223" s="233">
        <f>IFERROR(_xlfn.XLOOKUP($A223,Input_Raw!$A:$A,Input_Raw!$BN:$BN),"")</f>
        <v>0</v>
      </c>
      <c r="Z223" s="233"/>
      <c r="AA223" s="233">
        <f>IFERROR(_xlfn.XLOOKUP($A223,Input_Raw!$A:$A,Input_Raw!$BO:$BO),"")</f>
        <v>0</v>
      </c>
      <c r="AB223" s="233">
        <f>IFERROR(_xlfn.XLOOKUP($A223,Input_Raw!$A:$A,Input_Raw!$BP:$BP),"")</f>
        <v>0</v>
      </c>
      <c r="AC223" s="242">
        <f>IFERROR(_xlfn.XLOOKUP($D223,'Modelling New'!$D:$D,'Modelling New'!P:P),"")</f>
        <v>6.5321428571428575</v>
      </c>
      <c r="AD223" s="233">
        <f>IFERROR(_xlfn.XLOOKUP($D223,'Modelling New'!$D:$D,'Modelling New'!T:T)*1000,"")</f>
        <v>479788.20340456784</v>
      </c>
      <c r="AE223" s="243">
        <f>IFERROR(_xlfn.XLOOKUP($D223,'Modelling New'!$D:$D,'Modelling New'!$O:$O),"")</f>
        <v>0.83656439316254438</v>
      </c>
      <c r="AF223" s="243">
        <f>IFERROR(_xlfn.XLOOKUP($D223,'Modelling New'!$D:$D,'Modelling New'!$W:$W),"")</f>
        <v>0.22768992188903184</v>
      </c>
      <c r="AG223" s="243">
        <f>IFERROR(_xlfn.XLOOKUP($D223,'Modelling New'!$D:$D,'Modelling New'!$AE:$AE),"")</f>
        <v>0.995</v>
      </c>
      <c r="AH223" s="243">
        <f>IFERROR(_xlfn.XLOOKUP($D223,'Modelling New'!$D:$D,'Modelling New'!$AF:$AF),"")</f>
        <v>0.995</v>
      </c>
      <c r="AI223" s="234"/>
      <c r="AJ223" s="234"/>
      <c r="AK223" s="234"/>
      <c r="AL223" s="234"/>
      <c r="AM223" s="234"/>
      <c r="AN223" s="244"/>
      <c r="AO223" s="241"/>
      <c r="AP223" s="241"/>
      <c r="AQ223" s="241"/>
      <c r="AR223" s="233">
        <f>_xlfn.XLOOKUP($D223,'Modelling New'!$D:$D,'Modelling New'!$N:$N)</f>
        <v>87.8</v>
      </c>
      <c r="AS223" s="233">
        <f t="shared" si="23"/>
        <v>0</v>
      </c>
    </row>
    <row r="224" spans="1:45">
      <c r="A224" s="232">
        <f t="shared" si="24"/>
        <v>46061</v>
      </c>
      <c r="B224" s="233">
        <f>YEAR(Daily_KPI[[#This Row],[Date]])+IF(MONTH(Daily_KPI[[#This Row],[Date]])&gt;=4,1,0)</f>
        <v>2026</v>
      </c>
      <c r="C224" s="234">
        <f>YEAR(Daily_KPI[[#This Row],[Date]])</f>
        <v>2026</v>
      </c>
      <c r="D224" s="235">
        <f>Daily_KPI[[#This Row],[Date]]-DAY(Daily_KPI[[#This Row],[Date]])+1</f>
        <v>46054</v>
      </c>
      <c r="E224" s="234">
        <f t="shared" si="20"/>
        <v>28</v>
      </c>
      <c r="F224" s="236">
        <f>IFERROR(_xlfn.XLOOKUP($A224,Input_Raw!$A:$A,Input_Raw!$BM:$BM),"")</f>
        <v>0</v>
      </c>
      <c r="G224" s="237">
        <f>IFERROR(_xlfn.XLOOKUP($A224,Input_Raw!$A:$A,Input_Raw!$AN:$AN),"")</f>
        <v>0</v>
      </c>
      <c r="H224" s="237"/>
      <c r="I224" s="237">
        <f>IFERROR(_xlfn.XLOOKUP($A224,Input_Raw!$A:$A,Input_Raw!$AM:$AM),"")</f>
        <v>0</v>
      </c>
      <c r="J224" s="237"/>
      <c r="K224" s="237">
        <f>IFERROR(_xlfn.XLOOKUP($A224,Input_Raw!$A:$A,Input_Raw!AO:AO),"")</f>
        <v>0</v>
      </c>
      <c r="L224" s="237">
        <f>IFERROR(_xlfn.XLOOKUP($A224,Input_Raw!$A:$A,Input_Raw!AP:AP),"")</f>
        <v>0</v>
      </c>
      <c r="M224" s="237">
        <f>IFERROR(_xlfn.XLOOKUP($A224,Input_Raw!$A:$A,Input_Raw!AS:AS),"")</f>
        <v>0</v>
      </c>
      <c r="N224" s="237">
        <f>IFERROR(_xlfn.XLOOKUP($A224,Input_Raw!$A:$A,Input_Raw!AT:AT),"")</f>
        <v>0</v>
      </c>
      <c r="O224" s="238" t="str">
        <f>IFERROR(1-(SUMIF(Plant_BD!$B:$B,$A224,Plant_BD!$AL:$AL)/($AA224+SUMIF(Plant_BD!$B:$B,$A224,Plant_BD!$AL:$AL))),"")</f>
        <v/>
      </c>
      <c r="P224" s="238"/>
      <c r="Q224" s="239"/>
      <c r="R224" s="238" t="str">
        <f>IFERROR(1-(SUMIF(Grid_BD!$B:$B,$A224,Grid_BD!$V:$V)/($AA224+SUMIF(Grid_BD!$B:$B,$A224,Grid_BD!$V:$V))),"")</f>
        <v/>
      </c>
      <c r="S224" s="234"/>
      <c r="T224" s="239"/>
      <c r="U224" s="240" t="str">
        <f t="shared" si="21"/>
        <v/>
      </c>
      <c r="V224" s="240" t="str">
        <f>IFERROR(_xlfn.XLOOKUP($A224,Input_Raw!$A:$A,Input_Raw!$BS:$BS),"")</f>
        <v/>
      </c>
      <c r="W224" s="241">
        <f t="shared" si="22"/>
        <v>0</v>
      </c>
      <c r="X224" s="233">
        <f>IFERROR(_xlfn.XLOOKUP($A224,Input_Raw!$A:$A,Input_Raw!$AW:$AW),"")</f>
        <v>0</v>
      </c>
      <c r="Y224" s="233">
        <f>IFERROR(_xlfn.XLOOKUP($A224,Input_Raw!$A:$A,Input_Raw!$BN:$BN),"")</f>
        <v>0</v>
      </c>
      <c r="Z224" s="233"/>
      <c r="AA224" s="233">
        <f>IFERROR(_xlfn.XLOOKUP($A224,Input_Raw!$A:$A,Input_Raw!$BO:$BO),"")</f>
        <v>0</v>
      </c>
      <c r="AB224" s="233">
        <f>IFERROR(_xlfn.XLOOKUP($A224,Input_Raw!$A:$A,Input_Raw!$BP:$BP),"")</f>
        <v>0</v>
      </c>
      <c r="AC224" s="242">
        <f>IFERROR(_xlfn.XLOOKUP($D224,'Modelling New'!$D:$D,'Modelling New'!P:P),"")</f>
        <v>6.5321428571428575</v>
      </c>
      <c r="AD224" s="233">
        <f>IFERROR(_xlfn.XLOOKUP($D224,'Modelling New'!$D:$D,'Modelling New'!T:T)*1000,"")</f>
        <v>479788.20340456784</v>
      </c>
      <c r="AE224" s="243">
        <f>IFERROR(_xlfn.XLOOKUP($D224,'Modelling New'!$D:$D,'Modelling New'!$O:$O),"")</f>
        <v>0.83656439316254438</v>
      </c>
      <c r="AF224" s="243">
        <f>IFERROR(_xlfn.XLOOKUP($D224,'Modelling New'!$D:$D,'Modelling New'!$W:$W),"")</f>
        <v>0.22768992188903184</v>
      </c>
      <c r="AG224" s="243">
        <f>IFERROR(_xlfn.XLOOKUP($D224,'Modelling New'!$D:$D,'Modelling New'!$AE:$AE),"")</f>
        <v>0.995</v>
      </c>
      <c r="AH224" s="243">
        <f>IFERROR(_xlfn.XLOOKUP($D224,'Modelling New'!$D:$D,'Modelling New'!$AF:$AF),"")</f>
        <v>0.995</v>
      </c>
      <c r="AI224" s="234"/>
      <c r="AJ224" s="234"/>
      <c r="AK224" s="234"/>
      <c r="AL224" s="234"/>
      <c r="AM224" s="234"/>
      <c r="AN224" s="244"/>
      <c r="AO224" s="241"/>
      <c r="AP224" s="241"/>
      <c r="AQ224" s="241"/>
      <c r="AR224" s="233">
        <f>_xlfn.XLOOKUP($D224,'Modelling New'!$D:$D,'Modelling New'!$N:$N)</f>
        <v>87.8</v>
      </c>
      <c r="AS224" s="233">
        <f t="shared" si="23"/>
        <v>0</v>
      </c>
    </row>
    <row r="225" spans="1:45">
      <c r="A225" s="232">
        <f t="shared" si="24"/>
        <v>46062</v>
      </c>
      <c r="B225" s="233">
        <f>YEAR(Daily_KPI[[#This Row],[Date]])+IF(MONTH(Daily_KPI[[#This Row],[Date]])&gt;=4,1,0)</f>
        <v>2026</v>
      </c>
      <c r="C225" s="234">
        <f>YEAR(Daily_KPI[[#This Row],[Date]])</f>
        <v>2026</v>
      </c>
      <c r="D225" s="235">
        <f>Daily_KPI[[#This Row],[Date]]-DAY(Daily_KPI[[#This Row],[Date]])+1</f>
        <v>46054</v>
      </c>
      <c r="E225" s="234">
        <f t="shared" si="20"/>
        <v>28</v>
      </c>
      <c r="F225" s="236">
        <f>IFERROR(_xlfn.XLOOKUP($A225,Input_Raw!$A:$A,Input_Raw!$BM:$BM),"")</f>
        <v>0</v>
      </c>
      <c r="G225" s="237">
        <f>IFERROR(_xlfn.XLOOKUP($A225,Input_Raw!$A:$A,Input_Raw!$AN:$AN),"")</f>
        <v>0</v>
      </c>
      <c r="H225" s="237"/>
      <c r="I225" s="237">
        <f>IFERROR(_xlfn.XLOOKUP($A225,Input_Raw!$A:$A,Input_Raw!$AM:$AM),"")</f>
        <v>0</v>
      </c>
      <c r="J225" s="237"/>
      <c r="K225" s="237">
        <f>IFERROR(_xlfn.XLOOKUP($A225,Input_Raw!$A:$A,Input_Raw!AO:AO),"")</f>
        <v>0</v>
      </c>
      <c r="L225" s="237">
        <f>IFERROR(_xlfn.XLOOKUP($A225,Input_Raw!$A:$A,Input_Raw!AP:AP),"")</f>
        <v>0</v>
      </c>
      <c r="M225" s="237">
        <f>IFERROR(_xlfn.XLOOKUP($A225,Input_Raw!$A:$A,Input_Raw!AS:AS),"")</f>
        <v>0</v>
      </c>
      <c r="N225" s="237">
        <f>IFERROR(_xlfn.XLOOKUP($A225,Input_Raw!$A:$A,Input_Raw!AT:AT),"")</f>
        <v>0</v>
      </c>
      <c r="O225" s="238" t="str">
        <f>IFERROR(1-(SUMIF(Plant_BD!$B:$B,$A225,Plant_BD!$AL:$AL)/($AA225+SUMIF(Plant_BD!$B:$B,$A225,Plant_BD!$AL:$AL))),"")</f>
        <v/>
      </c>
      <c r="P225" s="238"/>
      <c r="Q225" s="239"/>
      <c r="R225" s="238" t="str">
        <f>IFERROR(1-(SUMIF(Grid_BD!$B:$B,$A225,Grid_BD!$V:$V)/($AA225+SUMIF(Grid_BD!$B:$B,$A225,Grid_BD!$V:$V))),"")</f>
        <v/>
      </c>
      <c r="S225" s="234"/>
      <c r="T225" s="239"/>
      <c r="U225" s="240" t="str">
        <f t="shared" si="21"/>
        <v/>
      </c>
      <c r="V225" s="240" t="str">
        <f>IFERROR(_xlfn.XLOOKUP($A225,Input_Raw!$A:$A,Input_Raw!$BS:$BS),"")</f>
        <v/>
      </c>
      <c r="W225" s="241">
        <f t="shared" si="22"/>
        <v>0</v>
      </c>
      <c r="X225" s="233">
        <f>IFERROR(_xlfn.XLOOKUP($A225,Input_Raw!$A:$A,Input_Raw!$AW:$AW),"")</f>
        <v>0</v>
      </c>
      <c r="Y225" s="233">
        <f>IFERROR(_xlfn.XLOOKUP($A225,Input_Raw!$A:$A,Input_Raw!$BN:$BN),"")</f>
        <v>0</v>
      </c>
      <c r="Z225" s="233"/>
      <c r="AA225" s="233">
        <f>IFERROR(_xlfn.XLOOKUP($A225,Input_Raw!$A:$A,Input_Raw!$BO:$BO),"")</f>
        <v>0</v>
      </c>
      <c r="AB225" s="233">
        <f>IFERROR(_xlfn.XLOOKUP($A225,Input_Raw!$A:$A,Input_Raw!$BP:$BP),"")</f>
        <v>0</v>
      </c>
      <c r="AC225" s="242">
        <f>IFERROR(_xlfn.XLOOKUP($D225,'Modelling New'!$D:$D,'Modelling New'!P:P),"")</f>
        <v>6.5321428571428575</v>
      </c>
      <c r="AD225" s="233">
        <f>IFERROR(_xlfn.XLOOKUP($D225,'Modelling New'!$D:$D,'Modelling New'!T:T)*1000,"")</f>
        <v>479788.20340456784</v>
      </c>
      <c r="AE225" s="243">
        <f>IFERROR(_xlfn.XLOOKUP($D225,'Modelling New'!$D:$D,'Modelling New'!$O:$O),"")</f>
        <v>0.83656439316254438</v>
      </c>
      <c r="AF225" s="243">
        <f>IFERROR(_xlfn.XLOOKUP($D225,'Modelling New'!$D:$D,'Modelling New'!$W:$W),"")</f>
        <v>0.22768992188903184</v>
      </c>
      <c r="AG225" s="243">
        <f>IFERROR(_xlfn.XLOOKUP($D225,'Modelling New'!$D:$D,'Modelling New'!$AE:$AE),"")</f>
        <v>0.995</v>
      </c>
      <c r="AH225" s="243">
        <f>IFERROR(_xlfn.XLOOKUP($D225,'Modelling New'!$D:$D,'Modelling New'!$AF:$AF),"")</f>
        <v>0.995</v>
      </c>
      <c r="AI225" s="234"/>
      <c r="AJ225" s="234"/>
      <c r="AK225" s="234"/>
      <c r="AL225" s="234"/>
      <c r="AM225" s="234"/>
      <c r="AN225" s="244"/>
      <c r="AO225" s="241"/>
      <c r="AP225" s="241"/>
      <c r="AQ225" s="241"/>
      <c r="AR225" s="233">
        <f>_xlfn.XLOOKUP($D225,'Modelling New'!$D:$D,'Modelling New'!$N:$N)</f>
        <v>87.8</v>
      </c>
      <c r="AS225" s="233">
        <f t="shared" si="23"/>
        <v>0</v>
      </c>
    </row>
    <row r="226" spans="1:45">
      <c r="A226" s="232">
        <f t="shared" si="24"/>
        <v>46063</v>
      </c>
      <c r="B226" s="233">
        <f>YEAR(Daily_KPI[[#This Row],[Date]])+IF(MONTH(Daily_KPI[[#This Row],[Date]])&gt;=4,1,0)</f>
        <v>2026</v>
      </c>
      <c r="C226" s="234">
        <f>YEAR(Daily_KPI[[#This Row],[Date]])</f>
        <v>2026</v>
      </c>
      <c r="D226" s="235">
        <f>Daily_KPI[[#This Row],[Date]]-DAY(Daily_KPI[[#This Row],[Date]])+1</f>
        <v>46054</v>
      </c>
      <c r="E226" s="234">
        <f t="shared" si="20"/>
        <v>28</v>
      </c>
      <c r="F226" s="236">
        <f>IFERROR(_xlfn.XLOOKUP($A226,Input_Raw!$A:$A,Input_Raw!$BM:$BM),"")</f>
        <v>0</v>
      </c>
      <c r="G226" s="237">
        <f>IFERROR(_xlfn.XLOOKUP($A226,Input_Raw!$A:$A,Input_Raw!$AN:$AN),"")</f>
        <v>0</v>
      </c>
      <c r="H226" s="237"/>
      <c r="I226" s="237">
        <f>IFERROR(_xlfn.XLOOKUP($A226,Input_Raw!$A:$A,Input_Raw!$AM:$AM),"")</f>
        <v>0</v>
      </c>
      <c r="J226" s="237"/>
      <c r="K226" s="237">
        <f>IFERROR(_xlfn.XLOOKUP($A226,Input_Raw!$A:$A,Input_Raw!AO:AO),"")</f>
        <v>0</v>
      </c>
      <c r="L226" s="237">
        <f>IFERROR(_xlfn.XLOOKUP($A226,Input_Raw!$A:$A,Input_Raw!AP:AP),"")</f>
        <v>0</v>
      </c>
      <c r="M226" s="237">
        <f>IFERROR(_xlfn.XLOOKUP($A226,Input_Raw!$A:$A,Input_Raw!AS:AS),"")</f>
        <v>0</v>
      </c>
      <c r="N226" s="237">
        <f>IFERROR(_xlfn.XLOOKUP($A226,Input_Raw!$A:$A,Input_Raw!AT:AT),"")</f>
        <v>0</v>
      </c>
      <c r="O226" s="238" t="str">
        <f>IFERROR(1-(SUMIF(Plant_BD!$B:$B,$A226,Plant_BD!$AL:$AL)/($AA226+SUMIF(Plant_BD!$B:$B,$A226,Plant_BD!$AL:$AL))),"")</f>
        <v/>
      </c>
      <c r="P226" s="238"/>
      <c r="Q226" s="239"/>
      <c r="R226" s="238" t="str">
        <f>IFERROR(1-(SUMIF(Grid_BD!$B:$B,$A226,Grid_BD!$V:$V)/($AA226+SUMIF(Grid_BD!$B:$B,$A226,Grid_BD!$V:$V))),"")</f>
        <v/>
      </c>
      <c r="S226" s="234"/>
      <c r="T226" s="239"/>
      <c r="U226" s="240" t="str">
        <f t="shared" si="21"/>
        <v/>
      </c>
      <c r="V226" s="240" t="str">
        <f>IFERROR(_xlfn.XLOOKUP($A226,Input_Raw!$A:$A,Input_Raw!$BS:$BS),"")</f>
        <v/>
      </c>
      <c r="W226" s="241">
        <f t="shared" si="22"/>
        <v>0</v>
      </c>
      <c r="X226" s="233">
        <f>IFERROR(_xlfn.XLOOKUP($A226,Input_Raw!$A:$A,Input_Raw!$AW:$AW),"")</f>
        <v>0</v>
      </c>
      <c r="Y226" s="233">
        <f>IFERROR(_xlfn.XLOOKUP($A226,Input_Raw!$A:$A,Input_Raw!$BN:$BN),"")</f>
        <v>0</v>
      </c>
      <c r="Z226" s="233"/>
      <c r="AA226" s="233">
        <f>IFERROR(_xlfn.XLOOKUP($A226,Input_Raw!$A:$A,Input_Raw!$BO:$BO),"")</f>
        <v>0</v>
      </c>
      <c r="AB226" s="233">
        <f>IFERROR(_xlfn.XLOOKUP($A226,Input_Raw!$A:$A,Input_Raw!$BP:$BP),"")</f>
        <v>0</v>
      </c>
      <c r="AC226" s="242">
        <f>IFERROR(_xlfn.XLOOKUP($D226,'Modelling New'!$D:$D,'Modelling New'!P:P),"")</f>
        <v>6.5321428571428575</v>
      </c>
      <c r="AD226" s="233">
        <f>IFERROR(_xlfn.XLOOKUP($D226,'Modelling New'!$D:$D,'Modelling New'!T:T)*1000,"")</f>
        <v>479788.20340456784</v>
      </c>
      <c r="AE226" s="243">
        <f>IFERROR(_xlfn.XLOOKUP($D226,'Modelling New'!$D:$D,'Modelling New'!$O:$O),"")</f>
        <v>0.83656439316254438</v>
      </c>
      <c r="AF226" s="243">
        <f>IFERROR(_xlfn.XLOOKUP($D226,'Modelling New'!$D:$D,'Modelling New'!$W:$W),"")</f>
        <v>0.22768992188903184</v>
      </c>
      <c r="AG226" s="243">
        <f>IFERROR(_xlfn.XLOOKUP($D226,'Modelling New'!$D:$D,'Modelling New'!$AE:$AE),"")</f>
        <v>0.995</v>
      </c>
      <c r="AH226" s="243">
        <f>IFERROR(_xlfn.XLOOKUP($D226,'Modelling New'!$D:$D,'Modelling New'!$AF:$AF),"")</f>
        <v>0.995</v>
      </c>
      <c r="AI226" s="234"/>
      <c r="AJ226" s="234"/>
      <c r="AK226" s="234"/>
      <c r="AL226" s="234"/>
      <c r="AM226" s="234"/>
      <c r="AN226" s="244"/>
      <c r="AO226" s="241"/>
      <c r="AP226" s="241"/>
      <c r="AQ226" s="241"/>
      <c r="AR226" s="233">
        <f>_xlfn.XLOOKUP($D226,'Modelling New'!$D:$D,'Modelling New'!$N:$N)</f>
        <v>87.8</v>
      </c>
      <c r="AS226" s="233">
        <f t="shared" si="23"/>
        <v>0</v>
      </c>
    </row>
    <row r="227" spans="1:45">
      <c r="A227" s="232">
        <f t="shared" si="24"/>
        <v>46064</v>
      </c>
      <c r="B227" s="233">
        <f>YEAR(Daily_KPI[[#This Row],[Date]])+IF(MONTH(Daily_KPI[[#This Row],[Date]])&gt;=4,1,0)</f>
        <v>2026</v>
      </c>
      <c r="C227" s="234">
        <f>YEAR(Daily_KPI[[#This Row],[Date]])</f>
        <v>2026</v>
      </c>
      <c r="D227" s="235">
        <f>Daily_KPI[[#This Row],[Date]]-DAY(Daily_KPI[[#This Row],[Date]])+1</f>
        <v>46054</v>
      </c>
      <c r="E227" s="234">
        <f t="shared" si="20"/>
        <v>28</v>
      </c>
      <c r="F227" s="236">
        <f>IFERROR(_xlfn.XLOOKUP($A227,Input_Raw!$A:$A,Input_Raw!$BM:$BM),"")</f>
        <v>0</v>
      </c>
      <c r="G227" s="237">
        <f>IFERROR(_xlfn.XLOOKUP($A227,Input_Raw!$A:$A,Input_Raw!$AN:$AN),"")</f>
        <v>0</v>
      </c>
      <c r="H227" s="237"/>
      <c r="I227" s="237">
        <f>IFERROR(_xlfn.XLOOKUP($A227,Input_Raw!$A:$A,Input_Raw!$AM:$AM),"")</f>
        <v>0</v>
      </c>
      <c r="J227" s="237"/>
      <c r="K227" s="237">
        <f>IFERROR(_xlfn.XLOOKUP($A227,Input_Raw!$A:$A,Input_Raw!AO:AO),"")</f>
        <v>0</v>
      </c>
      <c r="L227" s="237">
        <f>IFERROR(_xlfn.XLOOKUP($A227,Input_Raw!$A:$A,Input_Raw!AP:AP),"")</f>
        <v>0</v>
      </c>
      <c r="M227" s="237">
        <f>IFERROR(_xlfn.XLOOKUP($A227,Input_Raw!$A:$A,Input_Raw!AS:AS),"")</f>
        <v>0</v>
      </c>
      <c r="N227" s="237">
        <f>IFERROR(_xlfn.XLOOKUP($A227,Input_Raw!$A:$A,Input_Raw!AT:AT),"")</f>
        <v>0</v>
      </c>
      <c r="O227" s="238" t="str">
        <f>IFERROR(1-(SUMIF(Plant_BD!$B:$B,$A227,Plant_BD!$AL:$AL)/($AA227+SUMIF(Plant_BD!$B:$B,$A227,Plant_BD!$AL:$AL))),"")</f>
        <v/>
      </c>
      <c r="P227" s="238"/>
      <c r="Q227" s="239"/>
      <c r="R227" s="238" t="str">
        <f>IFERROR(1-(SUMIF(Grid_BD!$B:$B,$A227,Grid_BD!$V:$V)/($AA227+SUMIF(Grid_BD!$B:$B,$A227,Grid_BD!$V:$V))),"")</f>
        <v/>
      </c>
      <c r="S227" s="234"/>
      <c r="T227" s="239"/>
      <c r="U227" s="240" t="str">
        <f t="shared" si="21"/>
        <v/>
      </c>
      <c r="V227" s="240" t="str">
        <f>IFERROR(_xlfn.XLOOKUP($A227,Input_Raw!$A:$A,Input_Raw!$BS:$BS),"")</f>
        <v/>
      </c>
      <c r="W227" s="241">
        <f t="shared" si="22"/>
        <v>0</v>
      </c>
      <c r="X227" s="233">
        <f>IFERROR(_xlfn.XLOOKUP($A227,Input_Raw!$A:$A,Input_Raw!$AW:$AW),"")</f>
        <v>0</v>
      </c>
      <c r="Y227" s="233">
        <f>IFERROR(_xlfn.XLOOKUP($A227,Input_Raw!$A:$A,Input_Raw!$BN:$BN),"")</f>
        <v>0</v>
      </c>
      <c r="Z227" s="233"/>
      <c r="AA227" s="233">
        <f>IFERROR(_xlfn.XLOOKUP($A227,Input_Raw!$A:$A,Input_Raw!$BO:$BO),"")</f>
        <v>0</v>
      </c>
      <c r="AB227" s="233">
        <f>IFERROR(_xlfn.XLOOKUP($A227,Input_Raw!$A:$A,Input_Raw!$BP:$BP),"")</f>
        <v>0</v>
      </c>
      <c r="AC227" s="242">
        <f>IFERROR(_xlfn.XLOOKUP($D227,'Modelling New'!$D:$D,'Modelling New'!P:P),"")</f>
        <v>6.5321428571428575</v>
      </c>
      <c r="AD227" s="233">
        <f>IFERROR(_xlfn.XLOOKUP($D227,'Modelling New'!$D:$D,'Modelling New'!T:T)*1000,"")</f>
        <v>479788.20340456784</v>
      </c>
      <c r="AE227" s="243">
        <f>IFERROR(_xlfn.XLOOKUP($D227,'Modelling New'!$D:$D,'Modelling New'!$O:$O),"")</f>
        <v>0.83656439316254438</v>
      </c>
      <c r="AF227" s="243">
        <f>IFERROR(_xlfn.XLOOKUP($D227,'Modelling New'!$D:$D,'Modelling New'!$W:$W),"")</f>
        <v>0.22768992188903184</v>
      </c>
      <c r="AG227" s="243">
        <f>IFERROR(_xlfn.XLOOKUP($D227,'Modelling New'!$D:$D,'Modelling New'!$AE:$AE),"")</f>
        <v>0.995</v>
      </c>
      <c r="AH227" s="243">
        <f>IFERROR(_xlfn.XLOOKUP($D227,'Modelling New'!$D:$D,'Modelling New'!$AF:$AF),"")</f>
        <v>0.995</v>
      </c>
      <c r="AI227" s="234"/>
      <c r="AJ227" s="234"/>
      <c r="AK227" s="234"/>
      <c r="AL227" s="234"/>
      <c r="AM227" s="234"/>
      <c r="AN227" s="244"/>
      <c r="AO227" s="241"/>
      <c r="AP227" s="241"/>
      <c r="AQ227" s="241"/>
      <c r="AR227" s="233">
        <f>_xlfn.XLOOKUP($D227,'Modelling New'!$D:$D,'Modelling New'!$N:$N)</f>
        <v>87.8</v>
      </c>
      <c r="AS227" s="233">
        <f t="shared" si="23"/>
        <v>0</v>
      </c>
    </row>
    <row r="228" spans="1:45">
      <c r="A228" s="232">
        <f t="shared" si="24"/>
        <v>46065</v>
      </c>
      <c r="B228" s="233">
        <f>YEAR(Daily_KPI[[#This Row],[Date]])+IF(MONTH(Daily_KPI[[#This Row],[Date]])&gt;=4,1,0)</f>
        <v>2026</v>
      </c>
      <c r="C228" s="234">
        <f>YEAR(Daily_KPI[[#This Row],[Date]])</f>
        <v>2026</v>
      </c>
      <c r="D228" s="235">
        <f>Daily_KPI[[#This Row],[Date]]-DAY(Daily_KPI[[#This Row],[Date]])+1</f>
        <v>46054</v>
      </c>
      <c r="E228" s="234">
        <f t="shared" si="20"/>
        <v>28</v>
      </c>
      <c r="F228" s="236">
        <f>IFERROR(_xlfn.XLOOKUP($A228,Input_Raw!$A:$A,Input_Raw!$BM:$BM),"")</f>
        <v>0</v>
      </c>
      <c r="G228" s="237">
        <f>IFERROR(_xlfn.XLOOKUP($A228,Input_Raw!$A:$A,Input_Raw!$AN:$AN),"")</f>
        <v>0</v>
      </c>
      <c r="H228" s="237"/>
      <c r="I228" s="237">
        <f>IFERROR(_xlfn.XLOOKUP($A228,Input_Raw!$A:$A,Input_Raw!$AM:$AM),"")</f>
        <v>0</v>
      </c>
      <c r="J228" s="237"/>
      <c r="K228" s="237">
        <f>IFERROR(_xlfn.XLOOKUP($A228,Input_Raw!$A:$A,Input_Raw!AO:AO),"")</f>
        <v>0</v>
      </c>
      <c r="L228" s="237">
        <f>IFERROR(_xlfn.XLOOKUP($A228,Input_Raw!$A:$A,Input_Raw!AP:AP),"")</f>
        <v>0</v>
      </c>
      <c r="M228" s="237">
        <f>IFERROR(_xlfn.XLOOKUP($A228,Input_Raw!$A:$A,Input_Raw!AS:AS),"")</f>
        <v>0</v>
      </c>
      <c r="N228" s="237">
        <f>IFERROR(_xlfn.XLOOKUP($A228,Input_Raw!$A:$A,Input_Raw!AT:AT),"")</f>
        <v>0</v>
      </c>
      <c r="O228" s="238" t="str">
        <f>IFERROR(1-(SUMIF(Plant_BD!$B:$B,$A228,Plant_BD!$AL:$AL)/($AA228+SUMIF(Plant_BD!$B:$B,$A228,Plant_BD!$AL:$AL))),"")</f>
        <v/>
      </c>
      <c r="P228" s="238"/>
      <c r="Q228" s="239"/>
      <c r="R228" s="238" t="str">
        <f>IFERROR(1-(SUMIF(Grid_BD!$B:$B,$A228,Grid_BD!$V:$V)/($AA228+SUMIF(Grid_BD!$B:$B,$A228,Grid_BD!$V:$V))),"")</f>
        <v/>
      </c>
      <c r="S228" s="234"/>
      <c r="T228" s="239"/>
      <c r="U228" s="240" t="str">
        <f t="shared" si="21"/>
        <v/>
      </c>
      <c r="V228" s="240" t="str">
        <f>IFERROR(_xlfn.XLOOKUP($A228,Input_Raw!$A:$A,Input_Raw!$BS:$BS),"")</f>
        <v/>
      </c>
      <c r="W228" s="241">
        <f t="shared" si="22"/>
        <v>0</v>
      </c>
      <c r="X228" s="233">
        <f>IFERROR(_xlfn.XLOOKUP($A228,Input_Raw!$A:$A,Input_Raw!$AW:$AW),"")</f>
        <v>0</v>
      </c>
      <c r="Y228" s="233">
        <f>IFERROR(_xlfn.XLOOKUP($A228,Input_Raw!$A:$A,Input_Raw!$BN:$BN),"")</f>
        <v>0</v>
      </c>
      <c r="Z228" s="233"/>
      <c r="AA228" s="233">
        <f>IFERROR(_xlfn.XLOOKUP($A228,Input_Raw!$A:$A,Input_Raw!$BO:$BO),"")</f>
        <v>0</v>
      </c>
      <c r="AB228" s="233">
        <f>IFERROR(_xlfn.XLOOKUP($A228,Input_Raw!$A:$A,Input_Raw!$BP:$BP),"")</f>
        <v>0</v>
      </c>
      <c r="AC228" s="242">
        <f>IFERROR(_xlfn.XLOOKUP($D228,'Modelling New'!$D:$D,'Modelling New'!P:P),"")</f>
        <v>6.5321428571428575</v>
      </c>
      <c r="AD228" s="233">
        <f>IFERROR(_xlfn.XLOOKUP($D228,'Modelling New'!$D:$D,'Modelling New'!T:T)*1000,"")</f>
        <v>479788.20340456784</v>
      </c>
      <c r="AE228" s="243">
        <f>IFERROR(_xlfn.XLOOKUP($D228,'Modelling New'!$D:$D,'Modelling New'!$O:$O),"")</f>
        <v>0.83656439316254438</v>
      </c>
      <c r="AF228" s="243">
        <f>IFERROR(_xlfn.XLOOKUP($D228,'Modelling New'!$D:$D,'Modelling New'!$W:$W),"")</f>
        <v>0.22768992188903184</v>
      </c>
      <c r="AG228" s="243">
        <f>IFERROR(_xlfn.XLOOKUP($D228,'Modelling New'!$D:$D,'Modelling New'!$AE:$AE),"")</f>
        <v>0.995</v>
      </c>
      <c r="AH228" s="243">
        <f>IFERROR(_xlfn.XLOOKUP($D228,'Modelling New'!$D:$D,'Modelling New'!$AF:$AF),"")</f>
        <v>0.995</v>
      </c>
      <c r="AI228" s="234"/>
      <c r="AJ228" s="234"/>
      <c r="AK228" s="234"/>
      <c r="AL228" s="234"/>
      <c r="AM228" s="234"/>
      <c r="AN228" s="244"/>
      <c r="AO228" s="241"/>
      <c r="AP228" s="241"/>
      <c r="AQ228" s="241"/>
      <c r="AR228" s="233">
        <f>_xlfn.XLOOKUP($D228,'Modelling New'!$D:$D,'Modelling New'!$N:$N)</f>
        <v>87.8</v>
      </c>
      <c r="AS228" s="233">
        <f t="shared" si="23"/>
        <v>0</v>
      </c>
    </row>
    <row r="229" spans="1:45">
      <c r="A229" s="232">
        <f t="shared" si="24"/>
        <v>46066</v>
      </c>
      <c r="B229" s="233">
        <f>YEAR(Daily_KPI[[#This Row],[Date]])+IF(MONTH(Daily_KPI[[#This Row],[Date]])&gt;=4,1,0)</f>
        <v>2026</v>
      </c>
      <c r="C229" s="234">
        <f>YEAR(Daily_KPI[[#This Row],[Date]])</f>
        <v>2026</v>
      </c>
      <c r="D229" s="235">
        <f>Daily_KPI[[#This Row],[Date]]-DAY(Daily_KPI[[#This Row],[Date]])+1</f>
        <v>46054</v>
      </c>
      <c r="E229" s="234">
        <f t="shared" si="20"/>
        <v>28</v>
      </c>
      <c r="F229" s="236">
        <f>IFERROR(_xlfn.XLOOKUP($A229,Input_Raw!$A:$A,Input_Raw!$BM:$BM),"")</f>
        <v>0</v>
      </c>
      <c r="G229" s="237">
        <f>IFERROR(_xlfn.XLOOKUP($A229,Input_Raw!$A:$A,Input_Raw!$AN:$AN),"")</f>
        <v>0</v>
      </c>
      <c r="H229" s="237"/>
      <c r="I229" s="237">
        <f>IFERROR(_xlfn.XLOOKUP($A229,Input_Raw!$A:$A,Input_Raw!$AM:$AM),"")</f>
        <v>0</v>
      </c>
      <c r="J229" s="237"/>
      <c r="K229" s="237">
        <f>IFERROR(_xlfn.XLOOKUP($A229,Input_Raw!$A:$A,Input_Raw!AO:AO),"")</f>
        <v>0</v>
      </c>
      <c r="L229" s="237">
        <f>IFERROR(_xlfn.XLOOKUP($A229,Input_Raw!$A:$A,Input_Raw!AP:AP),"")</f>
        <v>0</v>
      </c>
      <c r="M229" s="237">
        <f>IFERROR(_xlfn.XLOOKUP($A229,Input_Raw!$A:$A,Input_Raw!AS:AS),"")</f>
        <v>0</v>
      </c>
      <c r="N229" s="237">
        <f>IFERROR(_xlfn.XLOOKUP($A229,Input_Raw!$A:$A,Input_Raw!AT:AT),"")</f>
        <v>0</v>
      </c>
      <c r="O229" s="238" t="str">
        <f>IFERROR(1-(SUMIF(Plant_BD!$B:$B,$A229,Plant_BD!$AL:$AL)/($AA229+SUMIF(Plant_BD!$B:$B,$A229,Plant_BD!$AL:$AL))),"")</f>
        <v/>
      </c>
      <c r="P229" s="238"/>
      <c r="Q229" s="239"/>
      <c r="R229" s="238" t="str">
        <f>IFERROR(1-(SUMIF(Grid_BD!$B:$B,$A229,Grid_BD!$V:$V)/($AA229+SUMIF(Grid_BD!$B:$B,$A229,Grid_BD!$V:$V))),"")</f>
        <v/>
      </c>
      <c r="S229" s="234"/>
      <c r="T229" s="239"/>
      <c r="U229" s="240" t="str">
        <f t="shared" si="21"/>
        <v/>
      </c>
      <c r="V229" s="240" t="str">
        <f>IFERROR(_xlfn.XLOOKUP($A229,Input_Raw!$A:$A,Input_Raw!$BS:$BS),"")</f>
        <v/>
      </c>
      <c r="W229" s="241">
        <f t="shared" si="22"/>
        <v>0</v>
      </c>
      <c r="X229" s="233">
        <f>IFERROR(_xlfn.XLOOKUP($A229,Input_Raw!$A:$A,Input_Raw!$AW:$AW),"")</f>
        <v>0</v>
      </c>
      <c r="Y229" s="233">
        <f>IFERROR(_xlfn.XLOOKUP($A229,Input_Raw!$A:$A,Input_Raw!$BN:$BN),"")</f>
        <v>0</v>
      </c>
      <c r="Z229" s="233"/>
      <c r="AA229" s="233">
        <f>IFERROR(_xlfn.XLOOKUP($A229,Input_Raw!$A:$A,Input_Raw!$BO:$BO),"")</f>
        <v>0</v>
      </c>
      <c r="AB229" s="233">
        <f>IFERROR(_xlfn.XLOOKUP($A229,Input_Raw!$A:$A,Input_Raw!$BP:$BP),"")</f>
        <v>0</v>
      </c>
      <c r="AC229" s="242">
        <f>IFERROR(_xlfn.XLOOKUP($D229,'Modelling New'!$D:$D,'Modelling New'!P:P),"")</f>
        <v>6.5321428571428575</v>
      </c>
      <c r="AD229" s="233">
        <f>IFERROR(_xlfn.XLOOKUP($D229,'Modelling New'!$D:$D,'Modelling New'!T:T)*1000,"")</f>
        <v>479788.20340456784</v>
      </c>
      <c r="AE229" s="243">
        <f>IFERROR(_xlfn.XLOOKUP($D229,'Modelling New'!$D:$D,'Modelling New'!$O:$O),"")</f>
        <v>0.83656439316254438</v>
      </c>
      <c r="AF229" s="243">
        <f>IFERROR(_xlfn.XLOOKUP($D229,'Modelling New'!$D:$D,'Modelling New'!$W:$W),"")</f>
        <v>0.22768992188903184</v>
      </c>
      <c r="AG229" s="243">
        <f>IFERROR(_xlfn.XLOOKUP($D229,'Modelling New'!$D:$D,'Modelling New'!$AE:$AE),"")</f>
        <v>0.995</v>
      </c>
      <c r="AH229" s="243">
        <f>IFERROR(_xlfn.XLOOKUP($D229,'Modelling New'!$D:$D,'Modelling New'!$AF:$AF),"")</f>
        <v>0.995</v>
      </c>
      <c r="AI229" s="234"/>
      <c r="AJ229" s="234"/>
      <c r="AK229" s="234"/>
      <c r="AL229" s="234"/>
      <c r="AM229" s="234"/>
      <c r="AN229" s="244"/>
      <c r="AO229" s="241"/>
      <c r="AP229" s="241"/>
      <c r="AQ229" s="241"/>
      <c r="AR229" s="233">
        <f>_xlfn.XLOOKUP($D229,'Modelling New'!$D:$D,'Modelling New'!$N:$N)</f>
        <v>87.8</v>
      </c>
      <c r="AS229" s="233">
        <f t="shared" si="23"/>
        <v>0</v>
      </c>
    </row>
    <row r="230" spans="1:45">
      <c r="A230" s="232">
        <f t="shared" si="24"/>
        <v>46067</v>
      </c>
      <c r="B230" s="233">
        <f>YEAR(Daily_KPI[[#This Row],[Date]])+IF(MONTH(Daily_KPI[[#This Row],[Date]])&gt;=4,1,0)</f>
        <v>2026</v>
      </c>
      <c r="C230" s="234">
        <f>YEAR(Daily_KPI[[#This Row],[Date]])</f>
        <v>2026</v>
      </c>
      <c r="D230" s="235">
        <f>Daily_KPI[[#This Row],[Date]]-DAY(Daily_KPI[[#This Row],[Date]])+1</f>
        <v>46054</v>
      </c>
      <c r="E230" s="234">
        <f t="shared" si="20"/>
        <v>28</v>
      </c>
      <c r="F230" s="236">
        <f>IFERROR(_xlfn.XLOOKUP($A230,Input_Raw!$A:$A,Input_Raw!$BM:$BM),"")</f>
        <v>0</v>
      </c>
      <c r="G230" s="237">
        <f>IFERROR(_xlfn.XLOOKUP($A230,Input_Raw!$A:$A,Input_Raw!$AN:$AN),"")</f>
        <v>0</v>
      </c>
      <c r="H230" s="237"/>
      <c r="I230" s="237">
        <f>IFERROR(_xlfn.XLOOKUP($A230,Input_Raw!$A:$A,Input_Raw!$AM:$AM),"")</f>
        <v>0</v>
      </c>
      <c r="J230" s="237"/>
      <c r="K230" s="237">
        <f>IFERROR(_xlfn.XLOOKUP($A230,Input_Raw!$A:$A,Input_Raw!AO:AO),"")</f>
        <v>0</v>
      </c>
      <c r="L230" s="237">
        <f>IFERROR(_xlfn.XLOOKUP($A230,Input_Raw!$A:$A,Input_Raw!AP:AP),"")</f>
        <v>0</v>
      </c>
      <c r="M230" s="237">
        <f>IFERROR(_xlfn.XLOOKUP($A230,Input_Raw!$A:$A,Input_Raw!AS:AS),"")</f>
        <v>0</v>
      </c>
      <c r="N230" s="237">
        <f>IFERROR(_xlfn.XLOOKUP($A230,Input_Raw!$A:$A,Input_Raw!AT:AT),"")</f>
        <v>0</v>
      </c>
      <c r="O230" s="238" t="str">
        <f>IFERROR(1-(SUMIF(Plant_BD!$B:$B,$A230,Plant_BD!$AL:$AL)/($AA230+SUMIF(Plant_BD!$B:$B,$A230,Plant_BD!$AL:$AL))),"")</f>
        <v/>
      </c>
      <c r="P230" s="238"/>
      <c r="Q230" s="239"/>
      <c r="R230" s="238" t="str">
        <f>IFERROR(1-(SUMIF(Grid_BD!$B:$B,$A230,Grid_BD!$V:$V)/($AA230+SUMIF(Grid_BD!$B:$B,$A230,Grid_BD!$V:$V))),"")</f>
        <v/>
      </c>
      <c r="S230" s="234"/>
      <c r="T230" s="239"/>
      <c r="U230" s="240" t="str">
        <f t="shared" si="21"/>
        <v/>
      </c>
      <c r="V230" s="240" t="str">
        <f>IFERROR(_xlfn.XLOOKUP($A230,Input_Raw!$A:$A,Input_Raw!$BS:$BS),"")</f>
        <v/>
      </c>
      <c r="W230" s="241">
        <f t="shared" si="22"/>
        <v>0</v>
      </c>
      <c r="X230" s="233">
        <f>IFERROR(_xlfn.XLOOKUP($A230,Input_Raw!$A:$A,Input_Raw!$AW:$AW),"")</f>
        <v>0</v>
      </c>
      <c r="Y230" s="233">
        <f>IFERROR(_xlfn.XLOOKUP($A230,Input_Raw!$A:$A,Input_Raw!$BN:$BN),"")</f>
        <v>0</v>
      </c>
      <c r="Z230" s="233"/>
      <c r="AA230" s="233">
        <f>IFERROR(_xlfn.XLOOKUP($A230,Input_Raw!$A:$A,Input_Raw!$BO:$BO),"")</f>
        <v>0</v>
      </c>
      <c r="AB230" s="233">
        <f>IFERROR(_xlfn.XLOOKUP($A230,Input_Raw!$A:$A,Input_Raw!$BP:$BP),"")</f>
        <v>0</v>
      </c>
      <c r="AC230" s="242">
        <f>IFERROR(_xlfn.XLOOKUP($D230,'Modelling New'!$D:$D,'Modelling New'!P:P),"")</f>
        <v>6.5321428571428575</v>
      </c>
      <c r="AD230" s="233">
        <f>IFERROR(_xlfn.XLOOKUP($D230,'Modelling New'!$D:$D,'Modelling New'!T:T)*1000,"")</f>
        <v>479788.20340456784</v>
      </c>
      <c r="AE230" s="243">
        <f>IFERROR(_xlfn.XLOOKUP($D230,'Modelling New'!$D:$D,'Modelling New'!$O:$O),"")</f>
        <v>0.83656439316254438</v>
      </c>
      <c r="AF230" s="243">
        <f>IFERROR(_xlfn.XLOOKUP($D230,'Modelling New'!$D:$D,'Modelling New'!$W:$W),"")</f>
        <v>0.22768992188903184</v>
      </c>
      <c r="AG230" s="243">
        <f>IFERROR(_xlfn.XLOOKUP($D230,'Modelling New'!$D:$D,'Modelling New'!$AE:$AE),"")</f>
        <v>0.995</v>
      </c>
      <c r="AH230" s="243">
        <f>IFERROR(_xlfn.XLOOKUP($D230,'Modelling New'!$D:$D,'Modelling New'!$AF:$AF),"")</f>
        <v>0.995</v>
      </c>
      <c r="AI230" s="234"/>
      <c r="AJ230" s="234"/>
      <c r="AK230" s="234"/>
      <c r="AL230" s="234"/>
      <c r="AM230" s="234"/>
      <c r="AN230" s="244"/>
      <c r="AO230" s="241"/>
      <c r="AP230" s="241"/>
      <c r="AQ230" s="241"/>
      <c r="AR230" s="233">
        <f>_xlfn.XLOOKUP($D230,'Modelling New'!$D:$D,'Modelling New'!$N:$N)</f>
        <v>87.8</v>
      </c>
      <c r="AS230" s="233">
        <f t="shared" si="23"/>
        <v>0</v>
      </c>
    </row>
    <row r="231" spans="1:45">
      <c r="A231" s="232">
        <f t="shared" si="24"/>
        <v>46068</v>
      </c>
      <c r="B231" s="233">
        <f>YEAR(Daily_KPI[[#This Row],[Date]])+IF(MONTH(Daily_KPI[[#This Row],[Date]])&gt;=4,1,0)</f>
        <v>2026</v>
      </c>
      <c r="C231" s="234">
        <f>YEAR(Daily_KPI[[#This Row],[Date]])</f>
        <v>2026</v>
      </c>
      <c r="D231" s="235">
        <f>Daily_KPI[[#This Row],[Date]]-DAY(Daily_KPI[[#This Row],[Date]])+1</f>
        <v>46054</v>
      </c>
      <c r="E231" s="234">
        <f t="shared" si="20"/>
        <v>28</v>
      </c>
      <c r="F231" s="236">
        <f>IFERROR(_xlfn.XLOOKUP($A231,Input_Raw!$A:$A,Input_Raw!$BM:$BM),"")</f>
        <v>0</v>
      </c>
      <c r="G231" s="237">
        <f>IFERROR(_xlfn.XLOOKUP($A231,Input_Raw!$A:$A,Input_Raw!$AN:$AN),"")</f>
        <v>0</v>
      </c>
      <c r="H231" s="237"/>
      <c r="I231" s="237">
        <f>IFERROR(_xlfn.XLOOKUP($A231,Input_Raw!$A:$A,Input_Raw!$AM:$AM),"")</f>
        <v>0</v>
      </c>
      <c r="J231" s="237"/>
      <c r="K231" s="237">
        <f>IFERROR(_xlfn.XLOOKUP($A231,Input_Raw!$A:$A,Input_Raw!AO:AO),"")</f>
        <v>0</v>
      </c>
      <c r="L231" s="237">
        <f>IFERROR(_xlfn.XLOOKUP($A231,Input_Raw!$A:$A,Input_Raw!AP:AP),"")</f>
        <v>0</v>
      </c>
      <c r="M231" s="237">
        <f>IFERROR(_xlfn.XLOOKUP($A231,Input_Raw!$A:$A,Input_Raw!AS:AS),"")</f>
        <v>0</v>
      </c>
      <c r="N231" s="237">
        <f>IFERROR(_xlfn.XLOOKUP($A231,Input_Raw!$A:$A,Input_Raw!AT:AT),"")</f>
        <v>0</v>
      </c>
      <c r="O231" s="238" t="str">
        <f>IFERROR(1-(SUMIF(Plant_BD!$B:$B,$A231,Plant_BD!$AL:$AL)/($AA231+SUMIF(Plant_BD!$B:$B,$A231,Plant_BD!$AL:$AL))),"")</f>
        <v/>
      </c>
      <c r="P231" s="238"/>
      <c r="Q231" s="239"/>
      <c r="R231" s="238" t="str">
        <f>IFERROR(1-(SUMIF(Grid_BD!$B:$B,$A231,Grid_BD!$V:$V)/($AA231+SUMIF(Grid_BD!$B:$B,$A231,Grid_BD!$V:$V))),"")</f>
        <v/>
      </c>
      <c r="S231" s="234"/>
      <c r="T231" s="239"/>
      <c r="U231" s="240" t="str">
        <f t="shared" si="21"/>
        <v/>
      </c>
      <c r="V231" s="240" t="str">
        <f>IFERROR(_xlfn.XLOOKUP($A231,Input_Raw!$A:$A,Input_Raw!$BS:$BS),"")</f>
        <v/>
      </c>
      <c r="W231" s="241">
        <f t="shared" si="22"/>
        <v>0</v>
      </c>
      <c r="X231" s="233">
        <f>IFERROR(_xlfn.XLOOKUP($A231,Input_Raw!$A:$A,Input_Raw!$AW:$AW),"")</f>
        <v>0</v>
      </c>
      <c r="Y231" s="233">
        <f>IFERROR(_xlfn.XLOOKUP($A231,Input_Raw!$A:$A,Input_Raw!$BN:$BN),"")</f>
        <v>0</v>
      </c>
      <c r="Z231" s="233"/>
      <c r="AA231" s="233">
        <f>IFERROR(_xlfn.XLOOKUP($A231,Input_Raw!$A:$A,Input_Raw!$BO:$BO),"")</f>
        <v>0</v>
      </c>
      <c r="AB231" s="233">
        <f>IFERROR(_xlfn.XLOOKUP($A231,Input_Raw!$A:$A,Input_Raw!$BP:$BP),"")</f>
        <v>0</v>
      </c>
      <c r="AC231" s="242">
        <f>IFERROR(_xlfn.XLOOKUP($D231,'Modelling New'!$D:$D,'Modelling New'!P:P),"")</f>
        <v>6.5321428571428575</v>
      </c>
      <c r="AD231" s="233">
        <f>IFERROR(_xlfn.XLOOKUP($D231,'Modelling New'!$D:$D,'Modelling New'!T:T)*1000,"")</f>
        <v>479788.20340456784</v>
      </c>
      <c r="AE231" s="243">
        <f>IFERROR(_xlfn.XLOOKUP($D231,'Modelling New'!$D:$D,'Modelling New'!$O:$O),"")</f>
        <v>0.83656439316254438</v>
      </c>
      <c r="AF231" s="243">
        <f>IFERROR(_xlfn.XLOOKUP($D231,'Modelling New'!$D:$D,'Modelling New'!$W:$W),"")</f>
        <v>0.22768992188903184</v>
      </c>
      <c r="AG231" s="243">
        <f>IFERROR(_xlfn.XLOOKUP($D231,'Modelling New'!$D:$D,'Modelling New'!$AE:$AE),"")</f>
        <v>0.995</v>
      </c>
      <c r="AH231" s="243">
        <f>IFERROR(_xlfn.XLOOKUP($D231,'Modelling New'!$D:$D,'Modelling New'!$AF:$AF),"")</f>
        <v>0.995</v>
      </c>
      <c r="AI231" s="234"/>
      <c r="AJ231" s="234"/>
      <c r="AK231" s="234"/>
      <c r="AL231" s="234"/>
      <c r="AM231" s="234"/>
      <c r="AN231" s="244"/>
      <c r="AO231" s="241"/>
      <c r="AP231" s="241"/>
      <c r="AQ231" s="241"/>
      <c r="AR231" s="233">
        <f>_xlfn.XLOOKUP($D231,'Modelling New'!$D:$D,'Modelling New'!$N:$N)</f>
        <v>87.8</v>
      </c>
      <c r="AS231" s="233">
        <f t="shared" si="23"/>
        <v>0</v>
      </c>
    </row>
    <row r="232" spans="1:45">
      <c r="A232" s="232">
        <f t="shared" si="24"/>
        <v>46069</v>
      </c>
      <c r="B232" s="233">
        <f>YEAR(Daily_KPI[[#This Row],[Date]])+IF(MONTH(Daily_KPI[[#This Row],[Date]])&gt;=4,1,0)</f>
        <v>2026</v>
      </c>
      <c r="C232" s="234">
        <f>YEAR(Daily_KPI[[#This Row],[Date]])</f>
        <v>2026</v>
      </c>
      <c r="D232" s="235">
        <f>Daily_KPI[[#This Row],[Date]]-DAY(Daily_KPI[[#This Row],[Date]])+1</f>
        <v>46054</v>
      </c>
      <c r="E232" s="234">
        <f t="shared" si="20"/>
        <v>28</v>
      </c>
      <c r="F232" s="236">
        <f>IFERROR(_xlfn.XLOOKUP($A232,Input_Raw!$A:$A,Input_Raw!$BM:$BM),"")</f>
        <v>0</v>
      </c>
      <c r="G232" s="237">
        <f>IFERROR(_xlfn.XLOOKUP($A232,Input_Raw!$A:$A,Input_Raw!$AN:$AN),"")</f>
        <v>0</v>
      </c>
      <c r="H232" s="237"/>
      <c r="I232" s="237">
        <f>IFERROR(_xlfn.XLOOKUP($A232,Input_Raw!$A:$A,Input_Raw!$AM:$AM),"")</f>
        <v>0</v>
      </c>
      <c r="J232" s="237"/>
      <c r="K232" s="237">
        <f>IFERROR(_xlfn.XLOOKUP($A232,Input_Raw!$A:$A,Input_Raw!AO:AO),"")</f>
        <v>0</v>
      </c>
      <c r="L232" s="237">
        <f>IFERROR(_xlfn.XLOOKUP($A232,Input_Raw!$A:$A,Input_Raw!AP:AP),"")</f>
        <v>0</v>
      </c>
      <c r="M232" s="237">
        <f>IFERROR(_xlfn.XLOOKUP($A232,Input_Raw!$A:$A,Input_Raw!AS:AS),"")</f>
        <v>0</v>
      </c>
      <c r="N232" s="237">
        <f>IFERROR(_xlfn.XLOOKUP($A232,Input_Raw!$A:$A,Input_Raw!AT:AT),"")</f>
        <v>0</v>
      </c>
      <c r="O232" s="238" t="str">
        <f>IFERROR(1-(SUMIF(Plant_BD!$B:$B,$A232,Plant_BD!$AL:$AL)/($AA232+SUMIF(Plant_BD!$B:$B,$A232,Plant_BD!$AL:$AL))),"")</f>
        <v/>
      </c>
      <c r="P232" s="238"/>
      <c r="Q232" s="239"/>
      <c r="R232" s="238" t="str">
        <f>IFERROR(1-(SUMIF(Grid_BD!$B:$B,$A232,Grid_BD!$V:$V)/($AA232+SUMIF(Grid_BD!$B:$B,$A232,Grid_BD!$V:$V))),"")</f>
        <v/>
      </c>
      <c r="S232" s="234"/>
      <c r="T232" s="239"/>
      <c r="U232" s="240" t="str">
        <f t="shared" si="21"/>
        <v/>
      </c>
      <c r="V232" s="240" t="str">
        <f>IFERROR(_xlfn.XLOOKUP($A232,Input_Raw!$A:$A,Input_Raw!$BS:$BS),"")</f>
        <v/>
      </c>
      <c r="W232" s="241">
        <f t="shared" si="22"/>
        <v>0</v>
      </c>
      <c r="X232" s="233">
        <f>IFERROR(_xlfn.XLOOKUP($A232,Input_Raw!$A:$A,Input_Raw!$AW:$AW),"")</f>
        <v>0</v>
      </c>
      <c r="Y232" s="233">
        <f>IFERROR(_xlfn.XLOOKUP($A232,Input_Raw!$A:$A,Input_Raw!$BN:$BN),"")</f>
        <v>0</v>
      </c>
      <c r="Z232" s="233"/>
      <c r="AA232" s="233">
        <f>IFERROR(_xlfn.XLOOKUP($A232,Input_Raw!$A:$A,Input_Raw!$BO:$BO),"")</f>
        <v>0</v>
      </c>
      <c r="AB232" s="233">
        <f>IFERROR(_xlfn.XLOOKUP($A232,Input_Raw!$A:$A,Input_Raw!$BP:$BP),"")</f>
        <v>0</v>
      </c>
      <c r="AC232" s="242">
        <f>IFERROR(_xlfn.XLOOKUP($D232,'Modelling New'!$D:$D,'Modelling New'!P:P),"")</f>
        <v>6.5321428571428575</v>
      </c>
      <c r="AD232" s="233">
        <f>IFERROR(_xlfn.XLOOKUP($D232,'Modelling New'!$D:$D,'Modelling New'!T:T)*1000,"")</f>
        <v>479788.20340456784</v>
      </c>
      <c r="AE232" s="243">
        <f>IFERROR(_xlfn.XLOOKUP($D232,'Modelling New'!$D:$D,'Modelling New'!$O:$O),"")</f>
        <v>0.83656439316254438</v>
      </c>
      <c r="AF232" s="243">
        <f>IFERROR(_xlfn.XLOOKUP($D232,'Modelling New'!$D:$D,'Modelling New'!$W:$W),"")</f>
        <v>0.22768992188903184</v>
      </c>
      <c r="AG232" s="243">
        <f>IFERROR(_xlfn.XLOOKUP($D232,'Modelling New'!$D:$D,'Modelling New'!$AE:$AE),"")</f>
        <v>0.995</v>
      </c>
      <c r="AH232" s="243">
        <f>IFERROR(_xlfn.XLOOKUP($D232,'Modelling New'!$D:$D,'Modelling New'!$AF:$AF),"")</f>
        <v>0.995</v>
      </c>
      <c r="AI232" s="234"/>
      <c r="AJ232" s="234"/>
      <c r="AK232" s="234"/>
      <c r="AL232" s="234"/>
      <c r="AM232" s="234"/>
      <c r="AN232" s="244"/>
      <c r="AO232" s="241"/>
      <c r="AP232" s="241"/>
      <c r="AQ232" s="241"/>
      <c r="AR232" s="233">
        <f>_xlfn.XLOOKUP($D232,'Modelling New'!$D:$D,'Modelling New'!$N:$N)</f>
        <v>87.8</v>
      </c>
      <c r="AS232" s="233">
        <f t="shared" si="23"/>
        <v>0</v>
      </c>
    </row>
    <row r="233" spans="1:45">
      <c r="A233" s="232">
        <f t="shared" si="24"/>
        <v>46070</v>
      </c>
      <c r="B233" s="233">
        <f>YEAR(Daily_KPI[[#This Row],[Date]])+IF(MONTH(Daily_KPI[[#This Row],[Date]])&gt;=4,1,0)</f>
        <v>2026</v>
      </c>
      <c r="C233" s="234">
        <f>YEAR(Daily_KPI[[#This Row],[Date]])</f>
        <v>2026</v>
      </c>
      <c r="D233" s="235">
        <f>Daily_KPI[[#This Row],[Date]]-DAY(Daily_KPI[[#This Row],[Date]])+1</f>
        <v>46054</v>
      </c>
      <c r="E233" s="234">
        <f t="shared" si="20"/>
        <v>28</v>
      </c>
      <c r="F233" s="236">
        <f>IFERROR(_xlfn.XLOOKUP($A233,Input_Raw!$A:$A,Input_Raw!$BM:$BM),"")</f>
        <v>0</v>
      </c>
      <c r="G233" s="237">
        <f>IFERROR(_xlfn.XLOOKUP($A233,Input_Raw!$A:$A,Input_Raw!$AN:$AN),"")</f>
        <v>0</v>
      </c>
      <c r="H233" s="237"/>
      <c r="I233" s="237">
        <f>IFERROR(_xlfn.XLOOKUP($A233,Input_Raw!$A:$A,Input_Raw!$AM:$AM),"")</f>
        <v>0</v>
      </c>
      <c r="J233" s="237"/>
      <c r="K233" s="237">
        <f>IFERROR(_xlfn.XLOOKUP($A233,Input_Raw!$A:$A,Input_Raw!AO:AO),"")</f>
        <v>0</v>
      </c>
      <c r="L233" s="237">
        <f>IFERROR(_xlfn.XLOOKUP($A233,Input_Raw!$A:$A,Input_Raw!AP:AP),"")</f>
        <v>0</v>
      </c>
      <c r="M233" s="237">
        <f>IFERROR(_xlfn.XLOOKUP($A233,Input_Raw!$A:$A,Input_Raw!AS:AS),"")</f>
        <v>0</v>
      </c>
      <c r="N233" s="237">
        <f>IFERROR(_xlfn.XLOOKUP($A233,Input_Raw!$A:$A,Input_Raw!AT:AT),"")</f>
        <v>0</v>
      </c>
      <c r="O233" s="238" t="str">
        <f>IFERROR(1-(SUMIF(Plant_BD!$B:$B,$A233,Plant_BD!$AL:$AL)/($AA233+SUMIF(Plant_BD!$B:$B,$A233,Plant_BD!$AL:$AL))),"")</f>
        <v/>
      </c>
      <c r="P233" s="238"/>
      <c r="Q233" s="239"/>
      <c r="R233" s="238" t="str">
        <f>IFERROR(1-(SUMIF(Grid_BD!$B:$B,$A233,Grid_BD!$V:$V)/($AA233+SUMIF(Grid_BD!$B:$B,$A233,Grid_BD!$V:$V))),"")</f>
        <v/>
      </c>
      <c r="S233" s="234"/>
      <c r="T233" s="239"/>
      <c r="U233" s="240" t="str">
        <f t="shared" si="21"/>
        <v/>
      </c>
      <c r="V233" s="240" t="str">
        <f>IFERROR(_xlfn.XLOOKUP($A233,Input_Raw!$A:$A,Input_Raw!$BS:$BS),"")</f>
        <v/>
      </c>
      <c r="W233" s="241">
        <f t="shared" si="22"/>
        <v>0</v>
      </c>
      <c r="X233" s="233">
        <f>IFERROR(_xlfn.XLOOKUP($A233,Input_Raw!$A:$A,Input_Raw!$AW:$AW),"")</f>
        <v>0</v>
      </c>
      <c r="Y233" s="233">
        <f>IFERROR(_xlfn.XLOOKUP($A233,Input_Raw!$A:$A,Input_Raw!$BN:$BN),"")</f>
        <v>0</v>
      </c>
      <c r="Z233" s="233"/>
      <c r="AA233" s="233">
        <f>IFERROR(_xlfn.XLOOKUP($A233,Input_Raw!$A:$A,Input_Raw!$BO:$BO),"")</f>
        <v>0</v>
      </c>
      <c r="AB233" s="233">
        <f>IFERROR(_xlfn.XLOOKUP($A233,Input_Raw!$A:$A,Input_Raw!$BP:$BP),"")</f>
        <v>0</v>
      </c>
      <c r="AC233" s="242">
        <f>IFERROR(_xlfn.XLOOKUP($D233,'Modelling New'!$D:$D,'Modelling New'!P:P),"")</f>
        <v>6.5321428571428575</v>
      </c>
      <c r="AD233" s="233">
        <f>IFERROR(_xlfn.XLOOKUP($D233,'Modelling New'!$D:$D,'Modelling New'!T:T)*1000,"")</f>
        <v>479788.20340456784</v>
      </c>
      <c r="AE233" s="243">
        <f>IFERROR(_xlfn.XLOOKUP($D233,'Modelling New'!$D:$D,'Modelling New'!$O:$O),"")</f>
        <v>0.83656439316254438</v>
      </c>
      <c r="AF233" s="243">
        <f>IFERROR(_xlfn.XLOOKUP($D233,'Modelling New'!$D:$D,'Modelling New'!$W:$W),"")</f>
        <v>0.22768992188903184</v>
      </c>
      <c r="AG233" s="243">
        <f>IFERROR(_xlfn.XLOOKUP($D233,'Modelling New'!$D:$D,'Modelling New'!$AE:$AE),"")</f>
        <v>0.995</v>
      </c>
      <c r="AH233" s="243">
        <f>IFERROR(_xlfn.XLOOKUP($D233,'Modelling New'!$D:$D,'Modelling New'!$AF:$AF),"")</f>
        <v>0.995</v>
      </c>
      <c r="AI233" s="234"/>
      <c r="AJ233" s="234"/>
      <c r="AK233" s="234"/>
      <c r="AL233" s="234"/>
      <c r="AM233" s="234"/>
      <c r="AN233" s="244"/>
      <c r="AO233" s="241"/>
      <c r="AP233" s="241"/>
      <c r="AQ233" s="241"/>
      <c r="AR233" s="233">
        <f>_xlfn.XLOOKUP($D233,'Modelling New'!$D:$D,'Modelling New'!$N:$N)</f>
        <v>87.8</v>
      </c>
      <c r="AS233" s="233">
        <f t="shared" si="23"/>
        <v>0</v>
      </c>
    </row>
    <row r="234" spans="1:45">
      <c r="A234" s="232">
        <f t="shared" si="24"/>
        <v>46071</v>
      </c>
      <c r="B234" s="233">
        <f>YEAR(Daily_KPI[[#This Row],[Date]])+IF(MONTH(Daily_KPI[[#This Row],[Date]])&gt;=4,1,0)</f>
        <v>2026</v>
      </c>
      <c r="C234" s="234">
        <f>YEAR(Daily_KPI[[#This Row],[Date]])</f>
        <v>2026</v>
      </c>
      <c r="D234" s="235">
        <f>Daily_KPI[[#This Row],[Date]]-DAY(Daily_KPI[[#This Row],[Date]])+1</f>
        <v>46054</v>
      </c>
      <c r="E234" s="234">
        <f t="shared" si="20"/>
        <v>28</v>
      </c>
      <c r="F234" s="236">
        <f>IFERROR(_xlfn.XLOOKUP($A234,Input_Raw!$A:$A,Input_Raw!$BM:$BM),"")</f>
        <v>0</v>
      </c>
      <c r="G234" s="237">
        <f>IFERROR(_xlfn.XLOOKUP($A234,Input_Raw!$A:$A,Input_Raw!$AN:$AN),"")</f>
        <v>0</v>
      </c>
      <c r="H234" s="237"/>
      <c r="I234" s="237">
        <f>IFERROR(_xlfn.XLOOKUP($A234,Input_Raw!$A:$A,Input_Raw!$AM:$AM),"")</f>
        <v>0</v>
      </c>
      <c r="J234" s="237"/>
      <c r="K234" s="237">
        <f>IFERROR(_xlfn.XLOOKUP($A234,Input_Raw!$A:$A,Input_Raw!AO:AO),"")</f>
        <v>0</v>
      </c>
      <c r="L234" s="237">
        <f>IFERROR(_xlfn.XLOOKUP($A234,Input_Raw!$A:$A,Input_Raw!AP:AP),"")</f>
        <v>0</v>
      </c>
      <c r="M234" s="237">
        <f>IFERROR(_xlfn.XLOOKUP($A234,Input_Raw!$A:$A,Input_Raw!AS:AS),"")</f>
        <v>0</v>
      </c>
      <c r="N234" s="237">
        <f>IFERROR(_xlfn.XLOOKUP($A234,Input_Raw!$A:$A,Input_Raw!AT:AT),"")</f>
        <v>0</v>
      </c>
      <c r="O234" s="238" t="str">
        <f>IFERROR(1-(SUMIF(Plant_BD!$B:$B,$A234,Plant_BD!$AL:$AL)/($AA234+SUMIF(Plant_BD!$B:$B,$A234,Plant_BD!$AL:$AL))),"")</f>
        <v/>
      </c>
      <c r="P234" s="238"/>
      <c r="Q234" s="239"/>
      <c r="R234" s="238" t="str">
        <f>IFERROR(1-(SUMIF(Grid_BD!$B:$B,$A234,Grid_BD!$V:$V)/($AA234+SUMIF(Grid_BD!$B:$B,$A234,Grid_BD!$V:$V))),"")</f>
        <v/>
      </c>
      <c r="S234" s="234"/>
      <c r="T234" s="239"/>
      <c r="U234" s="240" t="str">
        <f t="shared" si="21"/>
        <v/>
      </c>
      <c r="V234" s="240" t="str">
        <f>IFERROR(_xlfn.XLOOKUP($A234,Input_Raw!$A:$A,Input_Raw!$BS:$BS),"")</f>
        <v/>
      </c>
      <c r="W234" s="241">
        <f t="shared" si="22"/>
        <v>0</v>
      </c>
      <c r="X234" s="233">
        <f>IFERROR(_xlfn.XLOOKUP($A234,Input_Raw!$A:$A,Input_Raw!$AW:$AW),"")</f>
        <v>0</v>
      </c>
      <c r="Y234" s="233">
        <f>IFERROR(_xlfn.XLOOKUP($A234,Input_Raw!$A:$A,Input_Raw!$BN:$BN),"")</f>
        <v>0</v>
      </c>
      <c r="Z234" s="233"/>
      <c r="AA234" s="233">
        <f>IFERROR(_xlfn.XLOOKUP($A234,Input_Raw!$A:$A,Input_Raw!$BO:$BO),"")</f>
        <v>0</v>
      </c>
      <c r="AB234" s="233">
        <f>IFERROR(_xlfn.XLOOKUP($A234,Input_Raw!$A:$A,Input_Raw!$BP:$BP),"")</f>
        <v>0</v>
      </c>
      <c r="AC234" s="242">
        <f>IFERROR(_xlfn.XLOOKUP($D234,'Modelling New'!$D:$D,'Modelling New'!P:P),"")</f>
        <v>6.5321428571428575</v>
      </c>
      <c r="AD234" s="233">
        <f>IFERROR(_xlfn.XLOOKUP($D234,'Modelling New'!$D:$D,'Modelling New'!T:T)*1000,"")</f>
        <v>479788.20340456784</v>
      </c>
      <c r="AE234" s="243">
        <f>IFERROR(_xlfn.XLOOKUP($D234,'Modelling New'!$D:$D,'Modelling New'!$O:$O),"")</f>
        <v>0.83656439316254438</v>
      </c>
      <c r="AF234" s="243">
        <f>IFERROR(_xlfn.XLOOKUP($D234,'Modelling New'!$D:$D,'Modelling New'!$W:$W),"")</f>
        <v>0.22768992188903184</v>
      </c>
      <c r="AG234" s="243">
        <f>IFERROR(_xlfn.XLOOKUP($D234,'Modelling New'!$D:$D,'Modelling New'!$AE:$AE),"")</f>
        <v>0.995</v>
      </c>
      <c r="AH234" s="243">
        <f>IFERROR(_xlfn.XLOOKUP($D234,'Modelling New'!$D:$D,'Modelling New'!$AF:$AF),"")</f>
        <v>0.995</v>
      </c>
      <c r="AI234" s="234"/>
      <c r="AJ234" s="234"/>
      <c r="AK234" s="234"/>
      <c r="AL234" s="234"/>
      <c r="AM234" s="234"/>
      <c r="AN234" s="244"/>
      <c r="AO234" s="241"/>
      <c r="AP234" s="241"/>
      <c r="AQ234" s="241"/>
      <c r="AR234" s="233">
        <f>_xlfn.XLOOKUP($D234,'Modelling New'!$D:$D,'Modelling New'!$N:$N)</f>
        <v>87.8</v>
      </c>
      <c r="AS234" s="233">
        <f t="shared" si="23"/>
        <v>0</v>
      </c>
    </row>
    <row r="235" spans="1:45">
      <c r="A235" s="232">
        <f t="shared" si="24"/>
        <v>46072</v>
      </c>
      <c r="B235" s="233">
        <f>YEAR(Daily_KPI[[#This Row],[Date]])+IF(MONTH(Daily_KPI[[#This Row],[Date]])&gt;=4,1,0)</f>
        <v>2026</v>
      </c>
      <c r="C235" s="234">
        <f>YEAR(Daily_KPI[[#This Row],[Date]])</f>
        <v>2026</v>
      </c>
      <c r="D235" s="235">
        <f>Daily_KPI[[#This Row],[Date]]-DAY(Daily_KPI[[#This Row],[Date]])+1</f>
        <v>46054</v>
      </c>
      <c r="E235" s="234">
        <f t="shared" si="20"/>
        <v>28</v>
      </c>
      <c r="F235" s="236">
        <f>IFERROR(_xlfn.XLOOKUP($A235,Input_Raw!$A:$A,Input_Raw!$BM:$BM),"")</f>
        <v>0</v>
      </c>
      <c r="G235" s="237">
        <f>IFERROR(_xlfn.XLOOKUP($A235,Input_Raw!$A:$A,Input_Raw!$AN:$AN),"")</f>
        <v>0</v>
      </c>
      <c r="H235" s="237"/>
      <c r="I235" s="237">
        <f>IFERROR(_xlfn.XLOOKUP($A235,Input_Raw!$A:$A,Input_Raw!$AM:$AM),"")</f>
        <v>0</v>
      </c>
      <c r="J235" s="237"/>
      <c r="K235" s="237">
        <f>IFERROR(_xlfn.XLOOKUP($A235,Input_Raw!$A:$A,Input_Raw!AO:AO),"")</f>
        <v>0</v>
      </c>
      <c r="L235" s="237">
        <f>IFERROR(_xlfn.XLOOKUP($A235,Input_Raw!$A:$A,Input_Raw!AP:AP),"")</f>
        <v>0</v>
      </c>
      <c r="M235" s="237">
        <f>IFERROR(_xlfn.XLOOKUP($A235,Input_Raw!$A:$A,Input_Raw!AS:AS),"")</f>
        <v>0</v>
      </c>
      <c r="N235" s="237">
        <f>IFERROR(_xlfn.XLOOKUP($A235,Input_Raw!$A:$A,Input_Raw!AT:AT),"")</f>
        <v>0</v>
      </c>
      <c r="O235" s="238" t="str">
        <f>IFERROR(1-(SUMIF(Plant_BD!$B:$B,$A235,Plant_BD!$AL:$AL)/($AA235+SUMIF(Plant_BD!$B:$B,$A235,Plant_BD!$AL:$AL))),"")</f>
        <v/>
      </c>
      <c r="P235" s="238"/>
      <c r="Q235" s="239"/>
      <c r="R235" s="238" t="str">
        <f>IFERROR(1-(SUMIF(Grid_BD!$B:$B,$A235,Grid_BD!$V:$V)/($AA235+SUMIF(Grid_BD!$B:$B,$A235,Grid_BD!$V:$V))),"")</f>
        <v/>
      </c>
      <c r="S235" s="234"/>
      <c r="T235" s="239"/>
      <c r="U235" s="240" t="str">
        <f t="shared" si="21"/>
        <v/>
      </c>
      <c r="V235" s="240" t="str">
        <f>IFERROR(_xlfn.XLOOKUP($A235,Input_Raw!$A:$A,Input_Raw!$BS:$BS),"")</f>
        <v/>
      </c>
      <c r="W235" s="241">
        <f t="shared" si="22"/>
        <v>0</v>
      </c>
      <c r="X235" s="233">
        <f>IFERROR(_xlfn.XLOOKUP($A235,Input_Raw!$A:$A,Input_Raw!$AW:$AW),"")</f>
        <v>0</v>
      </c>
      <c r="Y235" s="233">
        <f>IFERROR(_xlfn.XLOOKUP($A235,Input_Raw!$A:$A,Input_Raw!$BN:$BN),"")</f>
        <v>0</v>
      </c>
      <c r="Z235" s="233"/>
      <c r="AA235" s="233">
        <f>IFERROR(_xlfn.XLOOKUP($A235,Input_Raw!$A:$A,Input_Raw!$BO:$BO),"")</f>
        <v>0</v>
      </c>
      <c r="AB235" s="233">
        <f>IFERROR(_xlfn.XLOOKUP($A235,Input_Raw!$A:$A,Input_Raw!$BP:$BP),"")</f>
        <v>0</v>
      </c>
      <c r="AC235" s="242">
        <f>IFERROR(_xlfn.XLOOKUP($D235,'Modelling New'!$D:$D,'Modelling New'!P:P),"")</f>
        <v>6.5321428571428575</v>
      </c>
      <c r="AD235" s="233">
        <f>IFERROR(_xlfn.XLOOKUP($D235,'Modelling New'!$D:$D,'Modelling New'!T:T)*1000,"")</f>
        <v>479788.20340456784</v>
      </c>
      <c r="AE235" s="243">
        <f>IFERROR(_xlfn.XLOOKUP($D235,'Modelling New'!$D:$D,'Modelling New'!$O:$O),"")</f>
        <v>0.83656439316254438</v>
      </c>
      <c r="AF235" s="243">
        <f>IFERROR(_xlfn.XLOOKUP($D235,'Modelling New'!$D:$D,'Modelling New'!$W:$W),"")</f>
        <v>0.22768992188903184</v>
      </c>
      <c r="AG235" s="243">
        <f>IFERROR(_xlfn.XLOOKUP($D235,'Modelling New'!$D:$D,'Modelling New'!$AE:$AE),"")</f>
        <v>0.995</v>
      </c>
      <c r="AH235" s="243">
        <f>IFERROR(_xlfn.XLOOKUP($D235,'Modelling New'!$D:$D,'Modelling New'!$AF:$AF),"")</f>
        <v>0.995</v>
      </c>
      <c r="AI235" s="234"/>
      <c r="AJ235" s="234"/>
      <c r="AK235" s="234"/>
      <c r="AL235" s="234"/>
      <c r="AM235" s="234"/>
      <c r="AN235" s="244"/>
      <c r="AO235" s="241"/>
      <c r="AP235" s="241"/>
      <c r="AQ235" s="241"/>
      <c r="AR235" s="233">
        <f>_xlfn.XLOOKUP($D235,'Modelling New'!$D:$D,'Modelling New'!$N:$N)</f>
        <v>87.8</v>
      </c>
      <c r="AS235" s="233">
        <f t="shared" si="23"/>
        <v>0</v>
      </c>
    </row>
    <row r="236" spans="1:45">
      <c r="A236" s="232">
        <f t="shared" si="24"/>
        <v>46073</v>
      </c>
      <c r="B236" s="233">
        <f>YEAR(Daily_KPI[[#This Row],[Date]])+IF(MONTH(Daily_KPI[[#This Row],[Date]])&gt;=4,1,0)</f>
        <v>2026</v>
      </c>
      <c r="C236" s="234">
        <f>YEAR(Daily_KPI[[#This Row],[Date]])</f>
        <v>2026</v>
      </c>
      <c r="D236" s="235">
        <f>Daily_KPI[[#This Row],[Date]]-DAY(Daily_KPI[[#This Row],[Date]])+1</f>
        <v>46054</v>
      </c>
      <c r="E236" s="234">
        <f t="shared" si="20"/>
        <v>28</v>
      </c>
      <c r="F236" s="236">
        <f>IFERROR(_xlfn.XLOOKUP($A236,Input_Raw!$A:$A,Input_Raw!$BM:$BM),"")</f>
        <v>0</v>
      </c>
      <c r="G236" s="237">
        <f>IFERROR(_xlfn.XLOOKUP($A236,Input_Raw!$A:$A,Input_Raw!$AN:$AN),"")</f>
        <v>0</v>
      </c>
      <c r="H236" s="237"/>
      <c r="I236" s="237">
        <f>IFERROR(_xlfn.XLOOKUP($A236,Input_Raw!$A:$A,Input_Raw!$AM:$AM),"")</f>
        <v>0</v>
      </c>
      <c r="J236" s="237"/>
      <c r="K236" s="237">
        <f>IFERROR(_xlfn.XLOOKUP($A236,Input_Raw!$A:$A,Input_Raw!AO:AO),"")</f>
        <v>0</v>
      </c>
      <c r="L236" s="237">
        <f>IFERROR(_xlfn.XLOOKUP($A236,Input_Raw!$A:$A,Input_Raw!AP:AP),"")</f>
        <v>0</v>
      </c>
      <c r="M236" s="237">
        <f>IFERROR(_xlfn.XLOOKUP($A236,Input_Raw!$A:$A,Input_Raw!AS:AS),"")</f>
        <v>0</v>
      </c>
      <c r="N236" s="237">
        <f>IFERROR(_xlfn.XLOOKUP($A236,Input_Raw!$A:$A,Input_Raw!AT:AT),"")</f>
        <v>0</v>
      </c>
      <c r="O236" s="238" t="str">
        <f>IFERROR(1-(SUMIF(Plant_BD!$B:$B,$A236,Plant_BD!$AL:$AL)/($AA236+SUMIF(Plant_BD!$B:$B,$A236,Plant_BD!$AL:$AL))),"")</f>
        <v/>
      </c>
      <c r="P236" s="238"/>
      <c r="Q236" s="239"/>
      <c r="R236" s="238" t="str">
        <f>IFERROR(1-(SUMIF(Grid_BD!$B:$B,$A236,Grid_BD!$V:$V)/($AA236+SUMIF(Grid_BD!$B:$B,$A236,Grid_BD!$V:$V))),"")</f>
        <v/>
      </c>
      <c r="S236" s="234"/>
      <c r="T236" s="239"/>
      <c r="U236" s="240" t="str">
        <f t="shared" si="21"/>
        <v/>
      </c>
      <c r="V236" s="240" t="str">
        <f>IFERROR(_xlfn.XLOOKUP($A236,Input_Raw!$A:$A,Input_Raw!$BS:$BS),"")</f>
        <v/>
      </c>
      <c r="W236" s="241">
        <f t="shared" si="22"/>
        <v>0</v>
      </c>
      <c r="X236" s="233">
        <f>IFERROR(_xlfn.XLOOKUP($A236,Input_Raw!$A:$A,Input_Raw!$AW:$AW),"")</f>
        <v>0</v>
      </c>
      <c r="Y236" s="233">
        <f>IFERROR(_xlfn.XLOOKUP($A236,Input_Raw!$A:$A,Input_Raw!$BN:$BN),"")</f>
        <v>0</v>
      </c>
      <c r="Z236" s="233"/>
      <c r="AA236" s="233">
        <f>IFERROR(_xlfn.XLOOKUP($A236,Input_Raw!$A:$A,Input_Raw!$BO:$BO),"")</f>
        <v>0</v>
      </c>
      <c r="AB236" s="233">
        <f>IFERROR(_xlfn.XLOOKUP($A236,Input_Raw!$A:$A,Input_Raw!$BP:$BP),"")</f>
        <v>0</v>
      </c>
      <c r="AC236" s="242">
        <f>IFERROR(_xlfn.XLOOKUP($D236,'Modelling New'!$D:$D,'Modelling New'!P:P),"")</f>
        <v>6.5321428571428575</v>
      </c>
      <c r="AD236" s="233">
        <f>IFERROR(_xlfn.XLOOKUP($D236,'Modelling New'!$D:$D,'Modelling New'!T:T)*1000,"")</f>
        <v>479788.20340456784</v>
      </c>
      <c r="AE236" s="243">
        <f>IFERROR(_xlfn.XLOOKUP($D236,'Modelling New'!$D:$D,'Modelling New'!$O:$O),"")</f>
        <v>0.83656439316254438</v>
      </c>
      <c r="AF236" s="243">
        <f>IFERROR(_xlfn.XLOOKUP($D236,'Modelling New'!$D:$D,'Modelling New'!$W:$W),"")</f>
        <v>0.22768992188903184</v>
      </c>
      <c r="AG236" s="243">
        <f>IFERROR(_xlfn.XLOOKUP($D236,'Modelling New'!$D:$D,'Modelling New'!$AE:$AE),"")</f>
        <v>0.995</v>
      </c>
      <c r="AH236" s="243">
        <f>IFERROR(_xlfn.XLOOKUP($D236,'Modelling New'!$D:$D,'Modelling New'!$AF:$AF),"")</f>
        <v>0.995</v>
      </c>
      <c r="AI236" s="234"/>
      <c r="AJ236" s="234"/>
      <c r="AK236" s="234"/>
      <c r="AL236" s="234"/>
      <c r="AM236" s="234"/>
      <c r="AN236" s="244"/>
      <c r="AO236" s="241"/>
      <c r="AP236" s="241"/>
      <c r="AQ236" s="241"/>
      <c r="AR236" s="233">
        <f>_xlfn.XLOOKUP($D236,'Modelling New'!$D:$D,'Modelling New'!$N:$N)</f>
        <v>87.8</v>
      </c>
      <c r="AS236" s="233">
        <f t="shared" si="23"/>
        <v>0</v>
      </c>
    </row>
    <row r="237" spans="1:45">
      <c r="A237" s="232">
        <f t="shared" si="24"/>
        <v>46074</v>
      </c>
      <c r="B237" s="233">
        <f>YEAR(Daily_KPI[[#This Row],[Date]])+IF(MONTH(Daily_KPI[[#This Row],[Date]])&gt;=4,1,0)</f>
        <v>2026</v>
      </c>
      <c r="C237" s="234">
        <f>YEAR(Daily_KPI[[#This Row],[Date]])</f>
        <v>2026</v>
      </c>
      <c r="D237" s="235">
        <f>Daily_KPI[[#This Row],[Date]]-DAY(Daily_KPI[[#This Row],[Date]])+1</f>
        <v>46054</v>
      </c>
      <c r="E237" s="234">
        <f t="shared" si="20"/>
        <v>28</v>
      </c>
      <c r="F237" s="236">
        <f>IFERROR(_xlfn.XLOOKUP($A237,Input_Raw!$A:$A,Input_Raw!$BM:$BM),"")</f>
        <v>0</v>
      </c>
      <c r="G237" s="237">
        <f>IFERROR(_xlfn.XLOOKUP($A237,Input_Raw!$A:$A,Input_Raw!$AN:$AN),"")</f>
        <v>0</v>
      </c>
      <c r="H237" s="237"/>
      <c r="I237" s="237">
        <f>IFERROR(_xlfn.XLOOKUP($A237,Input_Raw!$A:$A,Input_Raw!$AM:$AM),"")</f>
        <v>0</v>
      </c>
      <c r="J237" s="237"/>
      <c r="K237" s="237">
        <f>IFERROR(_xlfn.XLOOKUP($A237,Input_Raw!$A:$A,Input_Raw!AO:AO),"")</f>
        <v>0</v>
      </c>
      <c r="L237" s="237">
        <f>IFERROR(_xlfn.XLOOKUP($A237,Input_Raw!$A:$A,Input_Raw!AP:AP),"")</f>
        <v>0</v>
      </c>
      <c r="M237" s="237">
        <f>IFERROR(_xlfn.XLOOKUP($A237,Input_Raw!$A:$A,Input_Raw!AS:AS),"")</f>
        <v>0</v>
      </c>
      <c r="N237" s="237">
        <f>IFERROR(_xlfn.XLOOKUP($A237,Input_Raw!$A:$A,Input_Raw!AT:AT),"")</f>
        <v>0</v>
      </c>
      <c r="O237" s="238" t="str">
        <f>IFERROR(1-(SUMIF(Plant_BD!$B:$B,$A237,Plant_BD!$AL:$AL)/($AA237+SUMIF(Plant_BD!$B:$B,$A237,Plant_BD!$AL:$AL))),"")</f>
        <v/>
      </c>
      <c r="P237" s="238"/>
      <c r="Q237" s="239"/>
      <c r="R237" s="238" t="str">
        <f>IFERROR(1-(SUMIF(Grid_BD!$B:$B,$A237,Grid_BD!$V:$V)/($AA237+SUMIF(Grid_BD!$B:$B,$A237,Grid_BD!$V:$V))),"")</f>
        <v/>
      </c>
      <c r="S237" s="234"/>
      <c r="T237" s="239"/>
      <c r="U237" s="240" t="str">
        <f t="shared" si="21"/>
        <v/>
      </c>
      <c r="V237" s="240" t="str">
        <f>IFERROR(_xlfn.XLOOKUP($A237,Input_Raw!$A:$A,Input_Raw!$BS:$BS),"")</f>
        <v/>
      </c>
      <c r="W237" s="241">
        <f t="shared" si="22"/>
        <v>0</v>
      </c>
      <c r="X237" s="233">
        <f>IFERROR(_xlfn.XLOOKUP($A237,Input_Raw!$A:$A,Input_Raw!$AW:$AW),"")</f>
        <v>0</v>
      </c>
      <c r="Y237" s="233">
        <f>IFERROR(_xlfn.XLOOKUP($A237,Input_Raw!$A:$A,Input_Raw!$BN:$BN),"")</f>
        <v>0</v>
      </c>
      <c r="Z237" s="233"/>
      <c r="AA237" s="233">
        <f>IFERROR(_xlfn.XLOOKUP($A237,Input_Raw!$A:$A,Input_Raw!$BO:$BO),"")</f>
        <v>0</v>
      </c>
      <c r="AB237" s="233">
        <f>IFERROR(_xlfn.XLOOKUP($A237,Input_Raw!$A:$A,Input_Raw!$BP:$BP),"")</f>
        <v>0</v>
      </c>
      <c r="AC237" s="242">
        <f>IFERROR(_xlfn.XLOOKUP($D237,'Modelling New'!$D:$D,'Modelling New'!P:P),"")</f>
        <v>6.5321428571428575</v>
      </c>
      <c r="AD237" s="233">
        <f>IFERROR(_xlfn.XLOOKUP($D237,'Modelling New'!$D:$D,'Modelling New'!T:T)*1000,"")</f>
        <v>479788.20340456784</v>
      </c>
      <c r="AE237" s="243">
        <f>IFERROR(_xlfn.XLOOKUP($D237,'Modelling New'!$D:$D,'Modelling New'!$O:$O),"")</f>
        <v>0.83656439316254438</v>
      </c>
      <c r="AF237" s="243">
        <f>IFERROR(_xlfn.XLOOKUP($D237,'Modelling New'!$D:$D,'Modelling New'!$W:$W),"")</f>
        <v>0.22768992188903184</v>
      </c>
      <c r="AG237" s="243">
        <f>IFERROR(_xlfn.XLOOKUP($D237,'Modelling New'!$D:$D,'Modelling New'!$AE:$AE),"")</f>
        <v>0.995</v>
      </c>
      <c r="AH237" s="243">
        <f>IFERROR(_xlfn.XLOOKUP($D237,'Modelling New'!$D:$D,'Modelling New'!$AF:$AF),"")</f>
        <v>0.995</v>
      </c>
      <c r="AI237" s="234"/>
      <c r="AJ237" s="234"/>
      <c r="AK237" s="234"/>
      <c r="AL237" s="234"/>
      <c r="AM237" s="234"/>
      <c r="AN237" s="244"/>
      <c r="AO237" s="241"/>
      <c r="AP237" s="241"/>
      <c r="AQ237" s="241"/>
      <c r="AR237" s="233">
        <f>_xlfn.XLOOKUP($D237,'Modelling New'!$D:$D,'Modelling New'!$N:$N)</f>
        <v>87.8</v>
      </c>
      <c r="AS237" s="233">
        <f t="shared" si="23"/>
        <v>0</v>
      </c>
    </row>
    <row r="238" spans="1:45">
      <c r="A238" s="232">
        <f t="shared" si="24"/>
        <v>46075</v>
      </c>
      <c r="B238" s="233">
        <f>YEAR(Daily_KPI[[#This Row],[Date]])+IF(MONTH(Daily_KPI[[#This Row],[Date]])&gt;=4,1,0)</f>
        <v>2026</v>
      </c>
      <c r="C238" s="234">
        <f>YEAR(Daily_KPI[[#This Row],[Date]])</f>
        <v>2026</v>
      </c>
      <c r="D238" s="235">
        <f>Daily_KPI[[#This Row],[Date]]-DAY(Daily_KPI[[#This Row],[Date]])+1</f>
        <v>46054</v>
      </c>
      <c r="E238" s="234">
        <f t="shared" si="20"/>
        <v>28</v>
      </c>
      <c r="F238" s="236">
        <f>IFERROR(_xlfn.XLOOKUP($A238,Input_Raw!$A:$A,Input_Raw!$BM:$BM),"")</f>
        <v>0</v>
      </c>
      <c r="G238" s="237">
        <f>IFERROR(_xlfn.XLOOKUP($A238,Input_Raw!$A:$A,Input_Raw!$AN:$AN),"")</f>
        <v>0</v>
      </c>
      <c r="H238" s="237"/>
      <c r="I238" s="237">
        <f>IFERROR(_xlfn.XLOOKUP($A238,Input_Raw!$A:$A,Input_Raw!$AM:$AM),"")</f>
        <v>0</v>
      </c>
      <c r="J238" s="237"/>
      <c r="K238" s="237">
        <f>IFERROR(_xlfn.XLOOKUP($A238,Input_Raw!$A:$A,Input_Raw!AO:AO),"")</f>
        <v>0</v>
      </c>
      <c r="L238" s="237">
        <f>IFERROR(_xlfn.XLOOKUP($A238,Input_Raw!$A:$A,Input_Raw!AP:AP),"")</f>
        <v>0</v>
      </c>
      <c r="M238" s="237">
        <f>IFERROR(_xlfn.XLOOKUP($A238,Input_Raw!$A:$A,Input_Raw!AS:AS),"")</f>
        <v>0</v>
      </c>
      <c r="N238" s="237">
        <f>IFERROR(_xlfn.XLOOKUP($A238,Input_Raw!$A:$A,Input_Raw!AT:AT),"")</f>
        <v>0</v>
      </c>
      <c r="O238" s="238" t="str">
        <f>IFERROR(1-(SUMIF(Plant_BD!$B:$B,$A238,Plant_BD!$AL:$AL)/($AA238+SUMIF(Plant_BD!$B:$B,$A238,Plant_BD!$AL:$AL))),"")</f>
        <v/>
      </c>
      <c r="P238" s="238"/>
      <c r="Q238" s="239"/>
      <c r="R238" s="238" t="str">
        <f>IFERROR(1-(SUMIF(Grid_BD!$B:$B,$A238,Grid_BD!$V:$V)/($AA238+SUMIF(Grid_BD!$B:$B,$A238,Grid_BD!$V:$V))),"")</f>
        <v/>
      </c>
      <c r="S238" s="234"/>
      <c r="T238" s="239"/>
      <c r="U238" s="240" t="str">
        <f t="shared" si="21"/>
        <v/>
      </c>
      <c r="V238" s="240" t="str">
        <f>IFERROR(_xlfn.XLOOKUP($A238,Input_Raw!$A:$A,Input_Raw!$BS:$BS),"")</f>
        <v/>
      </c>
      <c r="W238" s="241">
        <f t="shared" si="22"/>
        <v>0</v>
      </c>
      <c r="X238" s="233">
        <f>IFERROR(_xlfn.XLOOKUP($A238,Input_Raw!$A:$A,Input_Raw!$AW:$AW),"")</f>
        <v>0</v>
      </c>
      <c r="Y238" s="233">
        <f>IFERROR(_xlfn.XLOOKUP($A238,Input_Raw!$A:$A,Input_Raw!$BN:$BN),"")</f>
        <v>0</v>
      </c>
      <c r="Z238" s="233"/>
      <c r="AA238" s="233">
        <f>IFERROR(_xlfn.XLOOKUP($A238,Input_Raw!$A:$A,Input_Raw!$BO:$BO),"")</f>
        <v>0</v>
      </c>
      <c r="AB238" s="233">
        <f>IFERROR(_xlfn.XLOOKUP($A238,Input_Raw!$A:$A,Input_Raw!$BP:$BP),"")</f>
        <v>0</v>
      </c>
      <c r="AC238" s="242">
        <f>IFERROR(_xlfn.XLOOKUP($D238,'Modelling New'!$D:$D,'Modelling New'!P:P),"")</f>
        <v>6.5321428571428575</v>
      </c>
      <c r="AD238" s="233">
        <f>IFERROR(_xlfn.XLOOKUP($D238,'Modelling New'!$D:$D,'Modelling New'!T:T)*1000,"")</f>
        <v>479788.20340456784</v>
      </c>
      <c r="AE238" s="243">
        <f>IFERROR(_xlfn.XLOOKUP($D238,'Modelling New'!$D:$D,'Modelling New'!$O:$O),"")</f>
        <v>0.83656439316254438</v>
      </c>
      <c r="AF238" s="243">
        <f>IFERROR(_xlfn.XLOOKUP($D238,'Modelling New'!$D:$D,'Modelling New'!$W:$W),"")</f>
        <v>0.22768992188903184</v>
      </c>
      <c r="AG238" s="243">
        <f>IFERROR(_xlfn.XLOOKUP($D238,'Modelling New'!$D:$D,'Modelling New'!$AE:$AE),"")</f>
        <v>0.995</v>
      </c>
      <c r="AH238" s="243">
        <f>IFERROR(_xlfn.XLOOKUP($D238,'Modelling New'!$D:$D,'Modelling New'!$AF:$AF),"")</f>
        <v>0.995</v>
      </c>
      <c r="AI238" s="234"/>
      <c r="AJ238" s="234"/>
      <c r="AK238" s="234"/>
      <c r="AL238" s="234"/>
      <c r="AM238" s="234"/>
      <c r="AN238" s="244"/>
      <c r="AO238" s="241"/>
      <c r="AP238" s="241"/>
      <c r="AQ238" s="241"/>
      <c r="AR238" s="233">
        <f>_xlfn.XLOOKUP($D238,'Modelling New'!$D:$D,'Modelling New'!$N:$N)</f>
        <v>87.8</v>
      </c>
      <c r="AS238" s="233">
        <f t="shared" si="23"/>
        <v>0</v>
      </c>
    </row>
    <row r="239" spans="1:45">
      <c r="A239" s="232">
        <f t="shared" si="24"/>
        <v>46076</v>
      </c>
      <c r="B239" s="233">
        <f>YEAR(Daily_KPI[[#This Row],[Date]])+IF(MONTH(Daily_KPI[[#This Row],[Date]])&gt;=4,1,0)</f>
        <v>2026</v>
      </c>
      <c r="C239" s="234">
        <f>YEAR(Daily_KPI[[#This Row],[Date]])</f>
        <v>2026</v>
      </c>
      <c r="D239" s="235">
        <f>Daily_KPI[[#This Row],[Date]]-DAY(Daily_KPI[[#This Row],[Date]])+1</f>
        <v>46054</v>
      </c>
      <c r="E239" s="234">
        <f t="shared" si="20"/>
        <v>28</v>
      </c>
      <c r="F239" s="236">
        <f>IFERROR(_xlfn.XLOOKUP($A239,Input_Raw!$A:$A,Input_Raw!$BM:$BM),"")</f>
        <v>0</v>
      </c>
      <c r="G239" s="237">
        <f>IFERROR(_xlfn.XLOOKUP($A239,Input_Raw!$A:$A,Input_Raw!$AN:$AN),"")</f>
        <v>0</v>
      </c>
      <c r="H239" s="237"/>
      <c r="I239" s="237">
        <f>IFERROR(_xlfn.XLOOKUP($A239,Input_Raw!$A:$A,Input_Raw!$AM:$AM),"")</f>
        <v>0</v>
      </c>
      <c r="J239" s="237"/>
      <c r="K239" s="237">
        <f>IFERROR(_xlfn.XLOOKUP($A239,Input_Raw!$A:$A,Input_Raw!AO:AO),"")</f>
        <v>0</v>
      </c>
      <c r="L239" s="237">
        <f>IFERROR(_xlfn.XLOOKUP($A239,Input_Raw!$A:$A,Input_Raw!AP:AP),"")</f>
        <v>0</v>
      </c>
      <c r="M239" s="237">
        <f>IFERROR(_xlfn.XLOOKUP($A239,Input_Raw!$A:$A,Input_Raw!AS:AS),"")</f>
        <v>0</v>
      </c>
      <c r="N239" s="237">
        <f>IFERROR(_xlfn.XLOOKUP($A239,Input_Raw!$A:$A,Input_Raw!AT:AT),"")</f>
        <v>0</v>
      </c>
      <c r="O239" s="238" t="str">
        <f>IFERROR(1-(SUMIF(Plant_BD!$B:$B,$A239,Plant_BD!$AL:$AL)/($AA239+SUMIF(Plant_BD!$B:$B,$A239,Plant_BD!$AL:$AL))),"")</f>
        <v/>
      </c>
      <c r="P239" s="238"/>
      <c r="Q239" s="239"/>
      <c r="R239" s="238" t="str">
        <f>IFERROR(1-(SUMIF(Grid_BD!$B:$B,$A239,Grid_BD!$V:$V)/($AA239+SUMIF(Grid_BD!$B:$B,$A239,Grid_BD!$V:$V))),"")</f>
        <v/>
      </c>
      <c r="S239" s="234"/>
      <c r="T239" s="239"/>
      <c r="U239" s="240" t="str">
        <f t="shared" si="21"/>
        <v/>
      </c>
      <c r="V239" s="240" t="str">
        <f>IFERROR(_xlfn.XLOOKUP($A239,Input_Raw!$A:$A,Input_Raw!$BS:$BS),"")</f>
        <v/>
      </c>
      <c r="W239" s="241">
        <f t="shared" si="22"/>
        <v>0</v>
      </c>
      <c r="X239" s="233">
        <f>IFERROR(_xlfn.XLOOKUP($A239,Input_Raw!$A:$A,Input_Raw!$AW:$AW),"")</f>
        <v>0</v>
      </c>
      <c r="Y239" s="233">
        <f>IFERROR(_xlfn.XLOOKUP($A239,Input_Raw!$A:$A,Input_Raw!$BN:$BN),"")</f>
        <v>0</v>
      </c>
      <c r="Z239" s="233"/>
      <c r="AA239" s="233">
        <f>IFERROR(_xlfn.XLOOKUP($A239,Input_Raw!$A:$A,Input_Raw!$BO:$BO),"")</f>
        <v>0</v>
      </c>
      <c r="AB239" s="233">
        <f>IFERROR(_xlfn.XLOOKUP($A239,Input_Raw!$A:$A,Input_Raw!$BP:$BP),"")</f>
        <v>0</v>
      </c>
      <c r="AC239" s="242">
        <f>IFERROR(_xlfn.XLOOKUP($D239,'Modelling New'!$D:$D,'Modelling New'!P:P),"")</f>
        <v>6.5321428571428575</v>
      </c>
      <c r="AD239" s="233">
        <f>IFERROR(_xlfn.XLOOKUP($D239,'Modelling New'!$D:$D,'Modelling New'!T:T)*1000,"")</f>
        <v>479788.20340456784</v>
      </c>
      <c r="AE239" s="243">
        <f>IFERROR(_xlfn.XLOOKUP($D239,'Modelling New'!$D:$D,'Modelling New'!$O:$O),"")</f>
        <v>0.83656439316254438</v>
      </c>
      <c r="AF239" s="243">
        <f>IFERROR(_xlfn.XLOOKUP($D239,'Modelling New'!$D:$D,'Modelling New'!$W:$W),"")</f>
        <v>0.22768992188903184</v>
      </c>
      <c r="AG239" s="243">
        <f>IFERROR(_xlfn.XLOOKUP($D239,'Modelling New'!$D:$D,'Modelling New'!$AE:$AE),"")</f>
        <v>0.995</v>
      </c>
      <c r="AH239" s="243">
        <f>IFERROR(_xlfn.XLOOKUP($D239,'Modelling New'!$D:$D,'Modelling New'!$AF:$AF),"")</f>
        <v>0.995</v>
      </c>
      <c r="AI239" s="234"/>
      <c r="AJ239" s="234"/>
      <c r="AK239" s="234"/>
      <c r="AL239" s="234"/>
      <c r="AM239" s="234"/>
      <c r="AN239" s="244"/>
      <c r="AO239" s="241"/>
      <c r="AP239" s="241"/>
      <c r="AQ239" s="241"/>
      <c r="AR239" s="233">
        <f>_xlfn.XLOOKUP($D239,'Modelling New'!$D:$D,'Modelling New'!$N:$N)</f>
        <v>87.8</v>
      </c>
      <c r="AS239" s="233">
        <f t="shared" si="23"/>
        <v>0</v>
      </c>
    </row>
    <row r="240" spans="1:45">
      <c r="A240" s="232">
        <f t="shared" si="24"/>
        <v>46077</v>
      </c>
      <c r="B240" s="233">
        <f>YEAR(Daily_KPI[[#This Row],[Date]])+IF(MONTH(Daily_KPI[[#This Row],[Date]])&gt;=4,1,0)</f>
        <v>2026</v>
      </c>
      <c r="C240" s="234">
        <f>YEAR(Daily_KPI[[#This Row],[Date]])</f>
        <v>2026</v>
      </c>
      <c r="D240" s="235">
        <f>Daily_KPI[[#This Row],[Date]]-DAY(Daily_KPI[[#This Row],[Date]])+1</f>
        <v>46054</v>
      </c>
      <c r="E240" s="234">
        <f t="shared" si="20"/>
        <v>28</v>
      </c>
      <c r="F240" s="236">
        <f>IFERROR(_xlfn.XLOOKUP($A240,Input_Raw!$A:$A,Input_Raw!$BM:$BM),"")</f>
        <v>0</v>
      </c>
      <c r="G240" s="237">
        <f>IFERROR(_xlfn.XLOOKUP($A240,Input_Raw!$A:$A,Input_Raw!$AN:$AN),"")</f>
        <v>0</v>
      </c>
      <c r="H240" s="237"/>
      <c r="I240" s="237">
        <f>IFERROR(_xlfn.XLOOKUP($A240,Input_Raw!$A:$A,Input_Raw!$AM:$AM),"")</f>
        <v>0</v>
      </c>
      <c r="J240" s="237"/>
      <c r="K240" s="237">
        <f>IFERROR(_xlfn.XLOOKUP($A240,Input_Raw!$A:$A,Input_Raw!AO:AO),"")</f>
        <v>0</v>
      </c>
      <c r="L240" s="237">
        <f>IFERROR(_xlfn.XLOOKUP($A240,Input_Raw!$A:$A,Input_Raw!AP:AP),"")</f>
        <v>0</v>
      </c>
      <c r="M240" s="237">
        <f>IFERROR(_xlfn.XLOOKUP($A240,Input_Raw!$A:$A,Input_Raw!AS:AS),"")</f>
        <v>0</v>
      </c>
      <c r="N240" s="237">
        <f>IFERROR(_xlfn.XLOOKUP($A240,Input_Raw!$A:$A,Input_Raw!AT:AT),"")</f>
        <v>0</v>
      </c>
      <c r="O240" s="238" t="str">
        <f>IFERROR(1-(SUMIF(Plant_BD!$B:$B,$A240,Plant_BD!$AL:$AL)/($AA240+SUMIF(Plant_BD!$B:$B,$A240,Plant_BD!$AL:$AL))),"")</f>
        <v/>
      </c>
      <c r="P240" s="238"/>
      <c r="Q240" s="239"/>
      <c r="R240" s="238" t="str">
        <f>IFERROR(1-(SUMIF(Grid_BD!$B:$B,$A240,Grid_BD!$V:$V)/($AA240+SUMIF(Grid_BD!$B:$B,$A240,Grid_BD!$V:$V))),"")</f>
        <v/>
      </c>
      <c r="S240" s="234"/>
      <c r="T240" s="239"/>
      <c r="U240" s="240" t="str">
        <f t="shared" si="21"/>
        <v/>
      </c>
      <c r="V240" s="240" t="str">
        <f>IFERROR(_xlfn.XLOOKUP($A240,Input_Raw!$A:$A,Input_Raw!$BS:$BS),"")</f>
        <v/>
      </c>
      <c r="W240" s="241">
        <f t="shared" si="22"/>
        <v>0</v>
      </c>
      <c r="X240" s="233">
        <f>IFERROR(_xlfn.XLOOKUP($A240,Input_Raw!$A:$A,Input_Raw!$AW:$AW),"")</f>
        <v>0</v>
      </c>
      <c r="Y240" s="233">
        <f>IFERROR(_xlfn.XLOOKUP($A240,Input_Raw!$A:$A,Input_Raw!$BN:$BN),"")</f>
        <v>0</v>
      </c>
      <c r="Z240" s="233"/>
      <c r="AA240" s="233">
        <f>IFERROR(_xlfn.XLOOKUP($A240,Input_Raw!$A:$A,Input_Raw!$BO:$BO),"")</f>
        <v>0</v>
      </c>
      <c r="AB240" s="233">
        <f>IFERROR(_xlfn.XLOOKUP($A240,Input_Raw!$A:$A,Input_Raw!$BP:$BP),"")</f>
        <v>0</v>
      </c>
      <c r="AC240" s="242">
        <f>IFERROR(_xlfn.XLOOKUP($D240,'Modelling New'!$D:$D,'Modelling New'!P:P),"")</f>
        <v>6.5321428571428575</v>
      </c>
      <c r="AD240" s="233">
        <f>IFERROR(_xlfn.XLOOKUP($D240,'Modelling New'!$D:$D,'Modelling New'!T:T)*1000,"")</f>
        <v>479788.20340456784</v>
      </c>
      <c r="AE240" s="243">
        <f>IFERROR(_xlfn.XLOOKUP($D240,'Modelling New'!$D:$D,'Modelling New'!$O:$O),"")</f>
        <v>0.83656439316254438</v>
      </c>
      <c r="AF240" s="243">
        <f>IFERROR(_xlfn.XLOOKUP($D240,'Modelling New'!$D:$D,'Modelling New'!$W:$W),"")</f>
        <v>0.22768992188903184</v>
      </c>
      <c r="AG240" s="243">
        <f>IFERROR(_xlfn.XLOOKUP($D240,'Modelling New'!$D:$D,'Modelling New'!$AE:$AE),"")</f>
        <v>0.995</v>
      </c>
      <c r="AH240" s="243">
        <f>IFERROR(_xlfn.XLOOKUP($D240,'Modelling New'!$D:$D,'Modelling New'!$AF:$AF),"")</f>
        <v>0.995</v>
      </c>
      <c r="AI240" s="234"/>
      <c r="AJ240" s="234"/>
      <c r="AK240" s="234"/>
      <c r="AL240" s="234"/>
      <c r="AM240" s="234"/>
      <c r="AN240" s="244"/>
      <c r="AO240" s="241"/>
      <c r="AP240" s="241"/>
      <c r="AQ240" s="241"/>
      <c r="AR240" s="233">
        <f>_xlfn.XLOOKUP($D240,'Modelling New'!$D:$D,'Modelling New'!$N:$N)</f>
        <v>87.8</v>
      </c>
      <c r="AS240" s="233">
        <f t="shared" si="23"/>
        <v>0</v>
      </c>
    </row>
    <row r="241" spans="1:45">
      <c r="A241" s="232">
        <f t="shared" si="24"/>
        <v>46078</v>
      </c>
      <c r="B241" s="233">
        <f>YEAR(Daily_KPI[[#This Row],[Date]])+IF(MONTH(Daily_KPI[[#This Row],[Date]])&gt;=4,1,0)</f>
        <v>2026</v>
      </c>
      <c r="C241" s="234">
        <f>YEAR(Daily_KPI[[#This Row],[Date]])</f>
        <v>2026</v>
      </c>
      <c r="D241" s="235">
        <f>Daily_KPI[[#This Row],[Date]]-DAY(Daily_KPI[[#This Row],[Date]])+1</f>
        <v>46054</v>
      </c>
      <c r="E241" s="234">
        <f t="shared" si="20"/>
        <v>28</v>
      </c>
      <c r="F241" s="236">
        <f>IFERROR(_xlfn.XLOOKUP($A241,Input_Raw!$A:$A,Input_Raw!$BM:$BM),"")</f>
        <v>0</v>
      </c>
      <c r="G241" s="237">
        <f>IFERROR(_xlfn.XLOOKUP($A241,Input_Raw!$A:$A,Input_Raw!$AN:$AN),"")</f>
        <v>0</v>
      </c>
      <c r="H241" s="237"/>
      <c r="I241" s="237">
        <f>IFERROR(_xlfn.XLOOKUP($A241,Input_Raw!$A:$A,Input_Raw!$AM:$AM),"")</f>
        <v>0</v>
      </c>
      <c r="J241" s="237"/>
      <c r="K241" s="237">
        <f>IFERROR(_xlfn.XLOOKUP($A241,Input_Raw!$A:$A,Input_Raw!AO:AO),"")</f>
        <v>0</v>
      </c>
      <c r="L241" s="237">
        <f>IFERROR(_xlfn.XLOOKUP($A241,Input_Raw!$A:$A,Input_Raw!AP:AP),"")</f>
        <v>0</v>
      </c>
      <c r="M241" s="237">
        <f>IFERROR(_xlfn.XLOOKUP($A241,Input_Raw!$A:$A,Input_Raw!AS:AS),"")</f>
        <v>0</v>
      </c>
      <c r="N241" s="237">
        <f>IFERROR(_xlfn.XLOOKUP($A241,Input_Raw!$A:$A,Input_Raw!AT:AT),"")</f>
        <v>0</v>
      </c>
      <c r="O241" s="238" t="str">
        <f>IFERROR(1-(SUMIF(Plant_BD!$B:$B,$A241,Plant_BD!$AL:$AL)/($AA241+SUMIF(Plant_BD!$B:$B,$A241,Plant_BD!$AL:$AL))),"")</f>
        <v/>
      </c>
      <c r="P241" s="238"/>
      <c r="Q241" s="239"/>
      <c r="R241" s="238" t="str">
        <f>IFERROR(1-(SUMIF(Grid_BD!$B:$B,$A241,Grid_BD!$V:$V)/($AA241+SUMIF(Grid_BD!$B:$B,$A241,Grid_BD!$V:$V))),"")</f>
        <v/>
      </c>
      <c r="S241" s="234"/>
      <c r="T241" s="239"/>
      <c r="U241" s="240" t="str">
        <f t="shared" si="21"/>
        <v/>
      </c>
      <c r="V241" s="240" t="str">
        <f>IFERROR(_xlfn.XLOOKUP($A241,Input_Raw!$A:$A,Input_Raw!$BS:$BS),"")</f>
        <v/>
      </c>
      <c r="W241" s="241">
        <f t="shared" si="22"/>
        <v>0</v>
      </c>
      <c r="X241" s="233">
        <f>IFERROR(_xlfn.XLOOKUP($A241,Input_Raw!$A:$A,Input_Raw!$AW:$AW),"")</f>
        <v>0</v>
      </c>
      <c r="Y241" s="233">
        <f>IFERROR(_xlfn.XLOOKUP($A241,Input_Raw!$A:$A,Input_Raw!$BN:$BN),"")</f>
        <v>0</v>
      </c>
      <c r="Z241" s="233"/>
      <c r="AA241" s="233">
        <f>IFERROR(_xlfn.XLOOKUP($A241,Input_Raw!$A:$A,Input_Raw!$BO:$BO),"")</f>
        <v>0</v>
      </c>
      <c r="AB241" s="233">
        <f>IFERROR(_xlfn.XLOOKUP($A241,Input_Raw!$A:$A,Input_Raw!$BP:$BP),"")</f>
        <v>0</v>
      </c>
      <c r="AC241" s="242">
        <f>IFERROR(_xlfn.XLOOKUP($D241,'Modelling New'!$D:$D,'Modelling New'!P:P),"")</f>
        <v>6.5321428571428575</v>
      </c>
      <c r="AD241" s="233">
        <f>IFERROR(_xlfn.XLOOKUP($D241,'Modelling New'!$D:$D,'Modelling New'!T:T)*1000,"")</f>
        <v>479788.20340456784</v>
      </c>
      <c r="AE241" s="243">
        <f>IFERROR(_xlfn.XLOOKUP($D241,'Modelling New'!$D:$D,'Modelling New'!$O:$O),"")</f>
        <v>0.83656439316254438</v>
      </c>
      <c r="AF241" s="243">
        <f>IFERROR(_xlfn.XLOOKUP($D241,'Modelling New'!$D:$D,'Modelling New'!$W:$W),"")</f>
        <v>0.22768992188903184</v>
      </c>
      <c r="AG241" s="243">
        <f>IFERROR(_xlfn.XLOOKUP($D241,'Modelling New'!$D:$D,'Modelling New'!$AE:$AE),"")</f>
        <v>0.995</v>
      </c>
      <c r="AH241" s="243">
        <f>IFERROR(_xlfn.XLOOKUP($D241,'Modelling New'!$D:$D,'Modelling New'!$AF:$AF),"")</f>
        <v>0.995</v>
      </c>
      <c r="AI241" s="234"/>
      <c r="AJ241" s="234"/>
      <c r="AK241" s="234"/>
      <c r="AL241" s="234"/>
      <c r="AM241" s="234"/>
      <c r="AN241" s="244"/>
      <c r="AO241" s="241"/>
      <c r="AP241" s="241"/>
      <c r="AQ241" s="241"/>
      <c r="AR241" s="233">
        <f>_xlfn.XLOOKUP($D241,'Modelling New'!$D:$D,'Modelling New'!$N:$N)</f>
        <v>87.8</v>
      </c>
      <c r="AS241" s="233">
        <f t="shared" si="23"/>
        <v>0</v>
      </c>
    </row>
    <row r="242" spans="1:45">
      <c r="A242" s="232">
        <f t="shared" si="24"/>
        <v>46079</v>
      </c>
      <c r="B242" s="233">
        <f>YEAR(Daily_KPI[[#This Row],[Date]])+IF(MONTH(Daily_KPI[[#This Row],[Date]])&gt;=4,1,0)</f>
        <v>2026</v>
      </c>
      <c r="C242" s="234">
        <f>YEAR(Daily_KPI[[#This Row],[Date]])</f>
        <v>2026</v>
      </c>
      <c r="D242" s="235">
        <f>Daily_KPI[[#This Row],[Date]]-DAY(Daily_KPI[[#This Row],[Date]])+1</f>
        <v>46054</v>
      </c>
      <c r="E242" s="234">
        <f t="shared" si="20"/>
        <v>28</v>
      </c>
      <c r="F242" s="236">
        <f>IFERROR(_xlfn.XLOOKUP($A242,Input_Raw!$A:$A,Input_Raw!$BM:$BM),"")</f>
        <v>0</v>
      </c>
      <c r="G242" s="237">
        <f>IFERROR(_xlfn.XLOOKUP($A242,Input_Raw!$A:$A,Input_Raw!$AN:$AN),"")</f>
        <v>0</v>
      </c>
      <c r="H242" s="237"/>
      <c r="I242" s="237">
        <f>IFERROR(_xlfn.XLOOKUP($A242,Input_Raw!$A:$A,Input_Raw!$AM:$AM),"")</f>
        <v>0</v>
      </c>
      <c r="J242" s="237"/>
      <c r="K242" s="237">
        <f>IFERROR(_xlfn.XLOOKUP($A242,Input_Raw!$A:$A,Input_Raw!AO:AO),"")</f>
        <v>0</v>
      </c>
      <c r="L242" s="237">
        <f>IFERROR(_xlfn.XLOOKUP($A242,Input_Raw!$A:$A,Input_Raw!AP:AP),"")</f>
        <v>0</v>
      </c>
      <c r="M242" s="237">
        <f>IFERROR(_xlfn.XLOOKUP($A242,Input_Raw!$A:$A,Input_Raw!AS:AS),"")</f>
        <v>0</v>
      </c>
      <c r="N242" s="237">
        <f>IFERROR(_xlfn.XLOOKUP($A242,Input_Raw!$A:$A,Input_Raw!AT:AT),"")</f>
        <v>0</v>
      </c>
      <c r="O242" s="238" t="str">
        <f>IFERROR(1-(SUMIF(Plant_BD!$B:$B,$A242,Plant_BD!$AL:$AL)/($AA242+SUMIF(Plant_BD!$B:$B,$A242,Plant_BD!$AL:$AL))),"")</f>
        <v/>
      </c>
      <c r="P242" s="238"/>
      <c r="Q242" s="239"/>
      <c r="R242" s="238" t="str">
        <f>IFERROR(1-(SUMIF(Grid_BD!$B:$B,$A242,Grid_BD!$V:$V)/($AA242+SUMIF(Grid_BD!$B:$B,$A242,Grid_BD!$V:$V))),"")</f>
        <v/>
      </c>
      <c r="S242" s="234"/>
      <c r="T242" s="239"/>
      <c r="U242" s="240" t="str">
        <f t="shared" si="21"/>
        <v/>
      </c>
      <c r="V242" s="240" t="str">
        <f>IFERROR(_xlfn.XLOOKUP($A242,Input_Raw!$A:$A,Input_Raw!$BS:$BS),"")</f>
        <v/>
      </c>
      <c r="W242" s="241">
        <f t="shared" si="22"/>
        <v>0</v>
      </c>
      <c r="X242" s="233">
        <f>IFERROR(_xlfn.XLOOKUP($A242,Input_Raw!$A:$A,Input_Raw!$AW:$AW),"")</f>
        <v>0</v>
      </c>
      <c r="Y242" s="233">
        <f>IFERROR(_xlfn.XLOOKUP($A242,Input_Raw!$A:$A,Input_Raw!$BN:$BN),"")</f>
        <v>0</v>
      </c>
      <c r="Z242" s="233"/>
      <c r="AA242" s="233">
        <f>IFERROR(_xlfn.XLOOKUP($A242,Input_Raw!$A:$A,Input_Raw!$BO:$BO),"")</f>
        <v>0</v>
      </c>
      <c r="AB242" s="233">
        <f>IFERROR(_xlfn.XLOOKUP($A242,Input_Raw!$A:$A,Input_Raw!$BP:$BP),"")</f>
        <v>0</v>
      </c>
      <c r="AC242" s="242">
        <f>IFERROR(_xlfn.XLOOKUP($D242,'Modelling New'!$D:$D,'Modelling New'!P:P),"")</f>
        <v>6.5321428571428575</v>
      </c>
      <c r="AD242" s="233">
        <f>IFERROR(_xlfn.XLOOKUP($D242,'Modelling New'!$D:$D,'Modelling New'!T:T)*1000,"")</f>
        <v>479788.20340456784</v>
      </c>
      <c r="AE242" s="243">
        <f>IFERROR(_xlfn.XLOOKUP($D242,'Modelling New'!$D:$D,'Modelling New'!$O:$O),"")</f>
        <v>0.83656439316254438</v>
      </c>
      <c r="AF242" s="243">
        <f>IFERROR(_xlfn.XLOOKUP($D242,'Modelling New'!$D:$D,'Modelling New'!$W:$W),"")</f>
        <v>0.22768992188903184</v>
      </c>
      <c r="AG242" s="243">
        <f>IFERROR(_xlfn.XLOOKUP($D242,'Modelling New'!$D:$D,'Modelling New'!$AE:$AE),"")</f>
        <v>0.995</v>
      </c>
      <c r="AH242" s="243">
        <f>IFERROR(_xlfn.XLOOKUP($D242,'Modelling New'!$D:$D,'Modelling New'!$AF:$AF),"")</f>
        <v>0.995</v>
      </c>
      <c r="AI242" s="234"/>
      <c r="AJ242" s="234"/>
      <c r="AK242" s="234"/>
      <c r="AL242" s="234"/>
      <c r="AM242" s="234"/>
      <c r="AN242" s="244"/>
      <c r="AO242" s="241"/>
      <c r="AP242" s="241"/>
      <c r="AQ242" s="241"/>
      <c r="AR242" s="233">
        <f>_xlfn.XLOOKUP($D242,'Modelling New'!$D:$D,'Modelling New'!$N:$N)</f>
        <v>87.8</v>
      </c>
      <c r="AS242" s="233">
        <f t="shared" si="23"/>
        <v>0</v>
      </c>
    </row>
    <row r="243" spans="1:45">
      <c r="A243" s="232">
        <f t="shared" si="24"/>
        <v>46080</v>
      </c>
      <c r="B243" s="233">
        <f>YEAR(Daily_KPI[[#This Row],[Date]])+IF(MONTH(Daily_KPI[[#This Row],[Date]])&gt;=4,1,0)</f>
        <v>2026</v>
      </c>
      <c r="C243" s="234">
        <f>YEAR(Daily_KPI[[#This Row],[Date]])</f>
        <v>2026</v>
      </c>
      <c r="D243" s="235">
        <f>Daily_KPI[[#This Row],[Date]]-DAY(Daily_KPI[[#This Row],[Date]])+1</f>
        <v>46054</v>
      </c>
      <c r="E243" s="234">
        <f t="shared" si="20"/>
        <v>28</v>
      </c>
      <c r="F243" s="236">
        <f>IFERROR(_xlfn.XLOOKUP($A243,Input_Raw!$A:$A,Input_Raw!$BM:$BM),"")</f>
        <v>0</v>
      </c>
      <c r="G243" s="237">
        <f>IFERROR(_xlfn.XLOOKUP($A243,Input_Raw!$A:$A,Input_Raw!$AN:$AN),"")</f>
        <v>0</v>
      </c>
      <c r="H243" s="237"/>
      <c r="I243" s="237">
        <f>IFERROR(_xlfn.XLOOKUP($A243,Input_Raw!$A:$A,Input_Raw!$AM:$AM),"")</f>
        <v>0</v>
      </c>
      <c r="J243" s="237"/>
      <c r="K243" s="237">
        <f>IFERROR(_xlfn.XLOOKUP($A243,Input_Raw!$A:$A,Input_Raw!AO:AO),"")</f>
        <v>0</v>
      </c>
      <c r="L243" s="237">
        <f>IFERROR(_xlfn.XLOOKUP($A243,Input_Raw!$A:$A,Input_Raw!AP:AP),"")</f>
        <v>0</v>
      </c>
      <c r="M243" s="237">
        <f>IFERROR(_xlfn.XLOOKUP($A243,Input_Raw!$A:$A,Input_Raw!AS:AS),"")</f>
        <v>0</v>
      </c>
      <c r="N243" s="237">
        <f>IFERROR(_xlfn.XLOOKUP($A243,Input_Raw!$A:$A,Input_Raw!AT:AT),"")</f>
        <v>0</v>
      </c>
      <c r="O243" s="238" t="str">
        <f>IFERROR(1-(SUMIF(Plant_BD!$B:$B,$A243,Plant_BD!$AL:$AL)/($AA243+SUMIF(Plant_BD!$B:$B,$A243,Plant_BD!$AL:$AL))),"")</f>
        <v/>
      </c>
      <c r="P243" s="238"/>
      <c r="Q243" s="239"/>
      <c r="R243" s="238" t="str">
        <f>IFERROR(1-(SUMIF(Grid_BD!$B:$B,$A243,Grid_BD!$V:$V)/($AA243+SUMIF(Grid_BD!$B:$B,$A243,Grid_BD!$V:$V))),"")</f>
        <v/>
      </c>
      <c r="S243" s="234"/>
      <c r="T243" s="239"/>
      <c r="U243" s="240" t="str">
        <f t="shared" si="21"/>
        <v/>
      </c>
      <c r="V243" s="240" t="str">
        <f>IFERROR(_xlfn.XLOOKUP($A243,Input_Raw!$A:$A,Input_Raw!$BS:$BS),"")</f>
        <v/>
      </c>
      <c r="W243" s="241">
        <f t="shared" si="22"/>
        <v>0</v>
      </c>
      <c r="X243" s="233">
        <f>IFERROR(_xlfn.XLOOKUP($A243,Input_Raw!$A:$A,Input_Raw!$AW:$AW),"")</f>
        <v>0</v>
      </c>
      <c r="Y243" s="233">
        <f>IFERROR(_xlfn.XLOOKUP($A243,Input_Raw!$A:$A,Input_Raw!$BN:$BN),"")</f>
        <v>0</v>
      </c>
      <c r="Z243" s="233"/>
      <c r="AA243" s="233">
        <f>IFERROR(_xlfn.XLOOKUP($A243,Input_Raw!$A:$A,Input_Raw!$BO:$BO),"")</f>
        <v>0</v>
      </c>
      <c r="AB243" s="233">
        <f>IFERROR(_xlfn.XLOOKUP($A243,Input_Raw!$A:$A,Input_Raw!$BP:$BP),"")</f>
        <v>0</v>
      </c>
      <c r="AC243" s="242">
        <f>IFERROR(_xlfn.XLOOKUP($D243,'Modelling New'!$D:$D,'Modelling New'!P:P),"")</f>
        <v>6.5321428571428575</v>
      </c>
      <c r="AD243" s="233">
        <f>IFERROR(_xlfn.XLOOKUP($D243,'Modelling New'!$D:$D,'Modelling New'!T:T)*1000,"")</f>
        <v>479788.20340456784</v>
      </c>
      <c r="AE243" s="243">
        <f>IFERROR(_xlfn.XLOOKUP($D243,'Modelling New'!$D:$D,'Modelling New'!$O:$O),"")</f>
        <v>0.83656439316254438</v>
      </c>
      <c r="AF243" s="243">
        <f>IFERROR(_xlfn.XLOOKUP($D243,'Modelling New'!$D:$D,'Modelling New'!$W:$W),"")</f>
        <v>0.22768992188903184</v>
      </c>
      <c r="AG243" s="243">
        <f>IFERROR(_xlfn.XLOOKUP($D243,'Modelling New'!$D:$D,'Modelling New'!$AE:$AE),"")</f>
        <v>0.995</v>
      </c>
      <c r="AH243" s="243">
        <f>IFERROR(_xlfn.XLOOKUP($D243,'Modelling New'!$D:$D,'Modelling New'!$AF:$AF),"")</f>
        <v>0.995</v>
      </c>
      <c r="AI243" s="234"/>
      <c r="AJ243" s="234"/>
      <c r="AK243" s="234"/>
      <c r="AL243" s="234"/>
      <c r="AM243" s="234"/>
      <c r="AN243" s="244"/>
      <c r="AO243" s="241"/>
      <c r="AP243" s="241"/>
      <c r="AQ243" s="241"/>
      <c r="AR243" s="233">
        <f>_xlfn.XLOOKUP($D243,'Modelling New'!$D:$D,'Modelling New'!$N:$N)</f>
        <v>87.8</v>
      </c>
      <c r="AS243" s="233">
        <f t="shared" si="23"/>
        <v>0</v>
      </c>
    </row>
    <row r="244" spans="1:45">
      <c r="A244" s="232">
        <f t="shared" si="24"/>
        <v>46081</v>
      </c>
      <c r="B244" s="233">
        <f>YEAR(Daily_KPI[[#This Row],[Date]])+IF(MONTH(Daily_KPI[[#This Row],[Date]])&gt;=4,1,0)</f>
        <v>2026</v>
      </c>
      <c r="C244" s="234">
        <f>YEAR(Daily_KPI[[#This Row],[Date]])</f>
        <v>2026</v>
      </c>
      <c r="D244" s="235">
        <f>Daily_KPI[[#This Row],[Date]]-DAY(Daily_KPI[[#This Row],[Date]])+1</f>
        <v>46054</v>
      </c>
      <c r="E244" s="234">
        <f t="shared" si="20"/>
        <v>28</v>
      </c>
      <c r="F244" s="236">
        <f>IFERROR(_xlfn.XLOOKUP($A244,Input_Raw!$A:$A,Input_Raw!$BM:$BM),"")</f>
        <v>0</v>
      </c>
      <c r="G244" s="237">
        <f>IFERROR(_xlfn.XLOOKUP($A244,Input_Raw!$A:$A,Input_Raw!$AN:$AN),"")</f>
        <v>0</v>
      </c>
      <c r="H244" s="237"/>
      <c r="I244" s="237">
        <f>IFERROR(_xlfn.XLOOKUP($A244,Input_Raw!$A:$A,Input_Raw!$AM:$AM),"")</f>
        <v>0</v>
      </c>
      <c r="J244" s="237"/>
      <c r="K244" s="237">
        <f>IFERROR(_xlfn.XLOOKUP($A244,Input_Raw!$A:$A,Input_Raw!AO:AO),"")</f>
        <v>0</v>
      </c>
      <c r="L244" s="237">
        <f>IFERROR(_xlfn.XLOOKUP($A244,Input_Raw!$A:$A,Input_Raw!AP:AP),"")</f>
        <v>0</v>
      </c>
      <c r="M244" s="237">
        <f>IFERROR(_xlfn.XLOOKUP($A244,Input_Raw!$A:$A,Input_Raw!AS:AS),"")</f>
        <v>0</v>
      </c>
      <c r="N244" s="237">
        <f>IFERROR(_xlfn.XLOOKUP($A244,Input_Raw!$A:$A,Input_Raw!AT:AT),"")</f>
        <v>0</v>
      </c>
      <c r="O244" s="238" t="str">
        <f>IFERROR(1-(SUMIF(Plant_BD!$B:$B,$A244,Plant_BD!$AL:$AL)/($AA244+SUMIF(Plant_BD!$B:$B,$A244,Plant_BD!$AL:$AL))),"")</f>
        <v/>
      </c>
      <c r="P244" s="238"/>
      <c r="Q244" s="239"/>
      <c r="R244" s="238" t="str">
        <f>IFERROR(1-(SUMIF(Grid_BD!$B:$B,$A244,Grid_BD!$V:$V)/($AA244+SUMIF(Grid_BD!$B:$B,$A244,Grid_BD!$V:$V))),"")</f>
        <v/>
      </c>
      <c r="S244" s="234"/>
      <c r="T244" s="239"/>
      <c r="U244" s="240" t="str">
        <f t="shared" si="21"/>
        <v/>
      </c>
      <c r="V244" s="240" t="str">
        <f>IFERROR(_xlfn.XLOOKUP($A244,Input_Raw!$A:$A,Input_Raw!$BS:$BS),"")</f>
        <v/>
      </c>
      <c r="W244" s="241">
        <f t="shared" si="22"/>
        <v>0</v>
      </c>
      <c r="X244" s="233">
        <f>IFERROR(_xlfn.XLOOKUP($A244,Input_Raw!$A:$A,Input_Raw!$AW:$AW),"")</f>
        <v>0</v>
      </c>
      <c r="Y244" s="233">
        <f>IFERROR(_xlfn.XLOOKUP($A244,Input_Raw!$A:$A,Input_Raw!$BN:$BN),"")</f>
        <v>0</v>
      </c>
      <c r="Z244" s="233"/>
      <c r="AA244" s="233">
        <f>IFERROR(_xlfn.XLOOKUP($A244,Input_Raw!$A:$A,Input_Raw!$BO:$BO),"")</f>
        <v>0</v>
      </c>
      <c r="AB244" s="233">
        <f>IFERROR(_xlfn.XLOOKUP($A244,Input_Raw!$A:$A,Input_Raw!$BP:$BP),"")</f>
        <v>0</v>
      </c>
      <c r="AC244" s="242">
        <f>IFERROR(_xlfn.XLOOKUP($D244,'Modelling New'!$D:$D,'Modelling New'!P:P),"")</f>
        <v>6.5321428571428575</v>
      </c>
      <c r="AD244" s="233">
        <f>IFERROR(_xlfn.XLOOKUP($D244,'Modelling New'!$D:$D,'Modelling New'!T:T)*1000,"")</f>
        <v>479788.20340456784</v>
      </c>
      <c r="AE244" s="243">
        <f>IFERROR(_xlfn.XLOOKUP($D244,'Modelling New'!$D:$D,'Modelling New'!$O:$O),"")</f>
        <v>0.83656439316254438</v>
      </c>
      <c r="AF244" s="243">
        <f>IFERROR(_xlfn.XLOOKUP($D244,'Modelling New'!$D:$D,'Modelling New'!$W:$W),"")</f>
        <v>0.22768992188903184</v>
      </c>
      <c r="AG244" s="243">
        <f>IFERROR(_xlfn.XLOOKUP($D244,'Modelling New'!$D:$D,'Modelling New'!$AE:$AE),"")</f>
        <v>0.995</v>
      </c>
      <c r="AH244" s="243">
        <f>IFERROR(_xlfn.XLOOKUP($D244,'Modelling New'!$D:$D,'Modelling New'!$AF:$AF),"")</f>
        <v>0.995</v>
      </c>
      <c r="AI244" s="234"/>
      <c r="AJ244" s="234"/>
      <c r="AK244" s="234"/>
      <c r="AL244" s="234"/>
      <c r="AM244" s="234"/>
      <c r="AN244" s="244"/>
      <c r="AO244" s="241"/>
      <c r="AP244" s="241"/>
      <c r="AQ244" s="241"/>
      <c r="AR244" s="233">
        <f>_xlfn.XLOOKUP($D244,'Modelling New'!$D:$D,'Modelling New'!$N:$N)</f>
        <v>87.8</v>
      </c>
      <c r="AS244" s="233">
        <f t="shared" si="23"/>
        <v>0</v>
      </c>
    </row>
    <row r="245" spans="1:45">
      <c r="A245" s="232">
        <f t="shared" si="24"/>
        <v>46082</v>
      </c>
      <c r="B245" s="233">
        <f>YEAR(Daily_KPI[[#This Row],[Date]])+IF(MONTH(Daily_KPI[[#This Row],[Date]])&gt;=4,1,0)</f>
        <v>2026</v>
      </c>
      <c r="C245" s="234">
        <f>YEAR(Daily_KPI[[#This Row],[Date]])</f>
        <v>2026</v>
      </c>
      <c r="D245" s="235">
        <f>Daily_KPI[[#This Row],[Date]]-DAY(Daily_KPI[[#This Row],[Date]])+1</f>
        <v>46082</v>
      </c>
      <c r="E245" s="234">
        <f t="shared" si="20"/>
        <v>31</v>
      </c>
      <c r="F245" s="236">
        <f>IFERROR(_xlfn.XLOOKUP($A245,Input_Raw!$A:$A,Input_Raw!$BM:$BM),"")</f>
        <v>0</v>
      </c>
      <c r="G245" s="237">
        <f>IFERROR(_xlfn.XLOOKUP($A245,Input_Raw!$A:$A,Input_Raw!$AN:$AN),"")</f>
        <v>0</v>
      </c>
      <c r="H245" s="237"/>
      <c r="I245" s="237">
        <f>IFERROR(_xlfn.XLOOKUP($A245,Input_Raw!$A:$A,Input_Raw!$AM:$AM),"")</f>
        <v>0</v>
      </c>
      <c r="J245" s="237"/>
      <c r="K245" s="237">
        <f>IFERROR(_xlfn.XLOOKUP($A245,Input_Raw!$A:$A,Input_Raw!AO:AO),"")</f>
        <v>0</v>
      </c>
      <c r="L245" s="237">
        <f>IFERROR(_xlfn.XLOOKUP($A245,Input_Raw!$A:$A,Input_Raw!AP:AP),"")</f>
        <v>0</v>
      </c>
      <c r="M245" s="237">
        <f>IFERROR(_xlfn.XLOOKUP($A245,Input_Raw!$A:$A,Input_Raw!AS:AS),"")</f>
        <v>0</v>
      </c>
      <c r="N245" s="237">
        <f>IFERROR(_xlfn.XLOOKUP($A245,Input_Raw!$A:$A,Input_Raw!AT:AT),"")</f>
        <v>0</v>
      </c>
      <c r="O245" s="238" t="str">
        <f>IFERROR(1-(SUMIF(Plant_BD!$B:$B,$A245,Plant_BD!$AL:$AL)/($AA245+SUMIF(Plant_BD!$B:$B,$A245,Plant_BD!$AL:$AL))),"")</f>
        <v/>
      </c>
      <c r="P245" s="238"/>
      <c r="Q245" s="239"/>
      <c r="R245" s="238" t="str">
        <f>IFERROR(1-(SUMIF(Grid_BD!$B:$B,$A245,Grid_BD!$V:$V)/($AA245+SUMIF(Grid_BD!$B:$B,$A245,Grid_BD!$V:$V))),"")</f>
        <v/>
      </c>
      <c r="S245" s="234"/>
      <c r="T245" s="239"/>
      <c r="U245" s="240" t="str">
        <f t="shared" si="21"/>
        <v/>
      </c>
      <c r="V245" s="240" t="str">
        <f>IFERROR(_xlfn.XLOOKUP($A245,Input_Raw!$A:$A,Input_Raw!$BS:$BS),"")</f>
        <v/>
      </c>
      <c r="W245" s="241">
        <f t="shared" si="22"/>
        <v>0</v>
      </c>
      <c r="X245" s="233">
        <f>IFERROR(_xlfn.XLOOKUP($A245,Input_Raw!$A:$A,Input_Raw!$AW:$AW),"")</f>
        <v>0</v>
      </c>
      <c r="Y245" s="233">
        <f>IFERROR(_xlfn.XLOOKUP($A245,Input_Raw!$A:$A,Input_Raw!$BN:$BN),"")</f>
        <v>0</v>
      </c>
      <c r="Z245" s="233"/>
      <c r="AA245" s="233">
        <f>IFERROR(_xlfn.XLOOKUP($A245,Input_Raw!$A:$A,Input_Raw!$BO:$BO),"")</f>
        <v>0</v>
      </c>
      <c r="AB245" s="233">
        <f>IFERROR(_xlfn.XLOOKUP($A245,Input_Raw!$A:$A,Input_Raw!$BP:$BP),"")</f>
        <v>0</v>
      </c>
      <c r="AC245" s="242">
        <f>IFERROR(_xlfn.XLOOKUP($D245,'Modelling New'!$D:$D,'Modelling New'!P:P),"")</f>
        <v>6.8774193548387093</v>
      </c>
      <c r="AD245" s="233">
        <f>IFERROR(_xlfn.XLOOKUP($D245,'Modelling New'!$D:$D,'Modelling New'!T:T)*1000,"")</f>
        <v>498365.37379619037</v>
      </c>
      <c r="AE245" s="243">
        <f>IFERROR(_xlfn.XLOOKUP($D245,'Modelling New'!$D:$D,'Modelling New'!$O:$O),"")</f>
        <v>0.82533039162869648</v>
      </c>
      <c r="AF245" s="243">
        <f>IFERROR(_xlfn.XLOOKUP($D245,'Modelling New'!$D:$D,'Modelling New'!$W:$W),"")</f>
        <v>0.23650596706349206</v>
      </c>
      <c r="AG245" s="243">
        <f>IFERROR(_xlfn.XLOOKUP($D245,'Modelling New'!$D:$D,'Modelling New'!$AE:$AE),"")</f>
        <v>0.995</v>
      </c>
      <c r="AH245" s="243">
        <f>IFERROR(_xlfn.XLOOKUP($D245,'Modelling New'!$D:$D,'Modelling New'!$AF:$AF),"")</f>
        <v>0.995</v>
      </c>
      <c r="AI245" s="234"/>
      <c r="AJ245" s="234"/>
      <c r="AK245" s="234"/>
      <c r="AL245" s="234"/>
      <c r="AM245" s="234"/>
      <c r="AN245" s="244"/>
      <c r="AO245" s="241"/>
      <c r="AP245" s="241"/>
      <c r="AQ245" s="241"/>
      <c r="AR245" s="233">
        <f>_xlfn.XLOOKUP($D245,'Modelling New'!$D:$D,'Modelling New'!$N:$N)</f>
        <v>87.8</v>
      </c>
      <c r="AS245" s="233">
        <f t="shared" si="23"/>
        <v>0</v>
      </c>
    </row>
    <row r="246" spans="1:45">
      <c r="A246" s="232">
        <f t="shared" si="24"/>
        <v>46083</v>
      </c>
      <c r="B246" s="233">
        <f>YEAR(Daily_KPI[[#This Row],[Date]])+IF(MONTH(Daily_KPI[[#This Row],[Date]])&gt;=4,1,0)</f>
        <v>2026</v>
      </c>
      <c r="C246" s="234">
        <f>YEAR(Daily_KPI[[#This Row],[Date]])</f>
        <v>2026</v>
      </c>
      <c r="D246" s="235">
        <f>Daily_KPI[[#This Row],[Date]]-DAY(Daily_KPI[[#This Row],[Date]])+1</f>
        <v>46082</v>
      </c>
      <c r="E246" s="234">
        <f t="shared" si="20"/>
        <v>31</v>
      </c>
      <c r="F246" s="236">
        <f>IFERROR(_xlfn.XLOOKUP($A246,Input_Raw!$A:$A,Input_Raw!$BM:$BM),"")</f>
        <v>0</v>
      </c>
      <c r="G246" s="237">
        <f>IFERROR(_xlfn.XLOOKUP($A246,Input_Raw!$A:$A,Input_Raw!$AN:$AN),"")</f>
        <v>0</v>
      </c>
      <c r="H246" s="237"/>
      <c r="I246" s="237">
        <f>IFERROR(_xlfn.XLOOKUP($A246,Input_Raw!$A:$A,Input_Raw!$AM:$AM),"")</f>
        <v>0</v>
      </c>
      <c r="J246" s="237"/>
      <c r="K246" s="237">
        <f>IFERROR(_xlfn.XLOOKUP($A246,Input_Raw!$A:$A,Input_Raw!AO:AO),"")</f>
        <v>0</v>
      </c>
      <c r="L246" s="237">
        <f>IFERROR(_xlfn.XLOOKUP($A246,Input_Raw!$A:$A,Input_Raw!AP:AP),"")</f>
        <v>0</v>
      </c>
      <c r="M246" s="237">
        <f>IFERROR(_xlfn.XLOOKUP($A246,Input_Raw!$A:$A,Input_Raw!AS:AS),"")</f>
        <v>0</v>
      </c>
      <c r="N246" s="237">
        <f>IFERROR(_xlfn.XLOOKUP($A246,Input_Raw!$A:$A,Input_Raw!AT:AT),"")</f>
        <v>0</v>
      </c>
      <c r="O246" s="238" t="str">
        <f>IFERROR(1-(SUMIF(Plant_BD!$B:$B,$A246,Plant_BD!$AL:$AL)/($AA246+SUMIF(Plant_BD!$B:$B,$A246,Plant_BD!$AL:$AL))),"")</f>
        <v/>
      </c>
      <c r="P246" s="238"/>
      <c r="Q246" s="239"/>
      <c r="R246" s="238" t="str">
        <f>IFERROR(1-(SUMIF(Grid_BD!$B:$B,$A246,Grid_BD!$V:$V)/($AA246+SUMIF(Grid_BD!$B:$B,$A246,Grid_BD!$V:$V))),"")</f>
        <v/>
      </c>
      <c r="S246" s="234"/>
      <c r="T246" s="239"/>
      <c r="U246" s="240" t="str">
        <f t="shared" si="21"/>
        <v/>
      </c>
      <c r="V246" s="240" t="str">
        <f>IFERROR(_xlfn.XLOOKUP($A246,Input_Raw!$A:$A,Input_Raw!$BS:$BS),"")</f>
        <v/>
      </c>
      <c r="W246" s="241">
        <f t="shared" si="22"/>
        <v>0</v>
      </c>
      <c r="X246" s="233">
        <f>IFERROR(_xlfn.XLOOKUP($A246,Input_Raw!$A:$A,Input_Raw!$AW:$AW),"")</f>
        <v>0</v>
      </c>
      <c r="Y246" s="233">
        <f>IFERROR(_xlfn.XLOOKUP($A246,Input_Raw!$A:$A,Input_Raw!$BN:$BN),"")</f>
        <v>0</v>
      </c>
      <c r="Z246" s="233"/>
      <c r="AA246" s="233">
        <f>IFERROR(_xlfn.XLOOKUP($A246,Input_Raw!$A:$A,Input_Raw!$BO:$BO),"")</f>
        <v>0</v>
      </c>
      <c r="AB246" s="233">
        <f>IFERROR(_xlfn.XLOOKUP($A246,Input_Raw!$A:$A,Input_Raw!$BP:$BP),"")</f>
        <v>0</v>
      </c>
      <c r="AC246" s="242">
        <f>IFERROR(_xlfn.XLOOKUP($D246,'Modelling New'!$D:$D,'Modelling New'!P:P),"")</f>
        <v>6.8774193548387093</v>
      </c>
      <c r="AD246" s="233">
        <f>IFERROR(_xlfn.XLOOKUP($D246,'Modelling New'!$D:$D,'Modelling New'!T:T)*1000,"")</f>
        <v>498365.37379619037</v>
      </c>
      <c r="AE246" s="243">
        <f>IFERROR(_xlfn.XLOOKUP($D246,'Modelling New'!$D:$D,'Modelling New'!$O:$O),"")</f>
        <v>0.82533039162869648</v>
      </c>
      <c r="AF246" s="243">
        <f>IFERROR(_xlfn.XLOOKUP($D246,'Modelling New'!$D:$D,'Modelling New'!$W:$W),"")</f>
        <v>0.23650596706349206</v>
      </c>
      <c r="AG246" s="243">
        <f>IFERROR(_xlfn.XLOOKUP($D246,'Modelling New'!$D:$D,'Modelling New'!$AE:$AE),"")</f>
        <v>0.995</v>
      </c>
      <c r="AH246" s="243">
        <f>IFERROR(_xlfn.XLOOKUP($D246,'Modelling New'!$D:$D,'Modelling New'!$AF:$AF),"")</f>
        <v>0.995</v>
      </c>
      <c r="AI246" s="234"/>
      <c r="AJ246" s="234"/>
      <c r="AK246" s="234"/>
      <c r="AL246" s="234"/>
      <c r="AM246" s="234"/>
      <c r="AN246" s="244"/>
      <c r="AO246" s="241"/>
      <c r="AP246" s="241"/>
      <c r="AQ246" s="241"/>
      <c r="AR246" s="233">
        <f>_xlfn.XLOOKUP($D246,'Modelling New'!$D:$D,'Modelling New'!$N:$N)</f>
        <v>87.8</v>
      </c>
      <c r="AS246" s="233">
        <f t="shared" si="23"/>
        <v>0</v>
      </c>
    </row>
    <row r="247" spans="1:45">
      <c r="A247" s="232">
        <f t="shared" si="24"/>
        <v>46084</v>
      </c>
      <c r="B247" s="233">
        <f>YEAR(Daily_KPI[[#This Row],[Date]])+IF(MONTH(Daily_KPI[[#This Row],[Date]])&gt;=4,1,0)</f>
        <v>2026</v>
      </c>
      <c r="C247" s="234">
        <f>YEAR(Daily_KPI[[#This Row],[Date]])</f>
        <v>2026</v>
      </c>
      <c r="D247" s="235">
        <f>Daily_KPI[[#This Row],[Date]]-DAY(Daily_KPI[[#This Row],[Date]])+1</f>
        <v>46082</v>
      </c>
      <c r="E247" s="234">
        <f t="shared" si="20"/>
        <v>31</v>
      </c>
      <c r="F247" s="236">
        <f>IFERROR(_xlfn.XLOOKUP($A247,Input_Raw!$A:$A,Input_Raw!$BM:$BM),"")</f>
        <v>0</v>
      </c>
      <c r="G247" s="237">
        <f>IFERROR(_xlfn.XLOOKUP($A247,Input_Raw!$A:$A,Input_Raw!$AN:$AN),"")</f>
        <v>0</v>
      </c>
      <c r="H247" s="237"/>
      <c r="I247" s="237">
        <f>IFERROR(_xlfn.XLOOKUP($A247,Input_Raw!$A:$A,Input_Raw!$AM:$AM),"")</f>
        <v>0</v>
      </c>
      <c r="J247" s="237"/>
      <c r="K247" s="237">
        <f>IFERROR(_xlfn.XLOOKUP($A247,Input_Raw!$A:$A,Input_Raw!AO:AO),"")</f>
        <v>0</v>
      </c>
      <c r="L247" s="237">
        <f>IFERROR(_xlfn.XLOOKUP($A247,Input_Raw!$A:$A,Input_Raw!AP:AP),"")</f>
        <v>0</v>
      </c>
      <c r="M247" s="237">
        <f>IFERROR(_xlfn.XLOOKUP($A247,Input_Raw!$A:$A,Input_Raw!AS:AS),"")</f>
        <v>0</v>
      </c>
      <c r="N247" s="237">
        <f>IFERROR(_xlfn.XLOOKUP($A247,Input_Raw!$A:$A,Input_Raw!AT:AT),"")</f>
        <v>0</v>
      </c>
      <c r="O247" s="238" t="str">
        <f>IFERROR(1-(SUMIF(Plant_BD!$B:$B,$A247,Plant_BD!$AL:$AL)/($AA247+SUMIF(Plant_BD!$B:$B,$A247,Plant_BD!$AL:$AL))),"")</f>
        <v/>
      </c>
      <c r="P247" s="238"/>
      <c r="Q247" s="239"/>
      <c r="R247" s="238" t="str">
        <f>IFERROR(1-(SUMIF(Grid_BD!$B:$B,$A247,Grid_BD!$V:$V)/($AA247+SUMIF(Grid_BD!$B:$B,$A247,Grid_BD!$V:$V))),"")</f>
        <v/>
      </c>
      <c r="S247" s="234"/>
      <c r="T247" s="239"/>
      <c r="U247" s="240" t="str">
        <f t="shared" si="21"/>
        <v/>
      </c>
      <c r="V247" s="240" t="str">
        <f>IFERROR(_xlfn.XLOOKUP($A247,Input_Raw!$A:$A,Input_Raw!$BS:$BS),"")</f>
        <v/>
      </c>
      <c r="W247" s="241">
        <f t="shared" si="22"/>
        <v>0</v>
      </c>
      <c r="X247" s="233">
        <f>IFERROR(_xlfn.XLOOKUP($A247,Input_Raw!$A:$A,Input_Raw!$AW:$AW),"")</f>
        <v>0</v>
      </c>
      <c r="Y247" s="233">
        <f>IFERROR(_xlfn.XLOOKUP($A247,Input_Raw!$A:$A,Input_Raw!$BN:$BN),"")</f>
        <v>0</v>
      </c>
      <c r="Z247" s="233"/>
      <c r="AA247" s="233">
        <f>IFERROR(_xlfn.XLOOKUP($A247,Input_Raw!$A:$A,Input_Raw!$BO:$BO),"")</f>
        <v>0</v>
      </c>
      <c r="AB247" s="233">
        <f>IFERROR(_xlfn.XLOOKUP($A247,Input_Raw!$A:$A,Input_Raw!$BP:$BP),"")</f>
        <v>0</v>
      </c>
      <c r="AC247" s="242">
        <f>IFERROR(_xlfn.XLOOKUP($D247,'Modelling New'!$D:$D,'Modelling New'!P:P),"")</f>
        <v>6.8774193548387093</v>
      </c>
      <c r="AD247" s="233">
        <f>IFERROR(_xlfn.XLOOKUP($D247,'Modelling New'!$D:$D,'Modelling New'!T:T)*1000,"")</f>
        <v>498365.37379619037</v>
      </c>
      <c r="AE247" s="243">
        <f>IFERROR(_xlfn.XLOOKUP($D247,'Modelling New'!$D:$D,'Modelling New'!$O:$O),"")</f>
        <v>0.82533039162869648</v>
      </c>
      <c r="AF247" s="243">
        <f>IFERROR(_xlfn.XLOOKUP($D247,'Modelling New'!$D:$D,'Modelling New'!$W:$W),"")</f>
        <v>0.23650596706349206</v>
      </c>
      <c r="AG247" s="243">
        <f>IFERROR(_xlfn.XLOOKUP($D247,'Modelling New'!$D:$D,'Modelling New'!$AE:$AE),"")</f>
        <v>0.995</v>
      </c>
      <c r="AH247" s="243">
        <f>IFERROR(_xlfn.XLOOKUP($D247,'Modelling New'!$D:$D,'Modelling New'!$AF:$AF),"")</f>
        <v>0.995</v>
      </c>
      <c r="AI247" s="234"/>
      <c r="AJ247" s="234"/>
      <c r="AK247" s="234"/>
      <c r="AL247" s="234"/>
      <c r="AM247" s="234"/>
      <c r="AN247" s="244"/>
      <c r="AO247" s="241"/>
      <c r="AP247" s="241"/>
      <c r="AQ247" s="241"/>
      <c r="AR247" s="233">
        <f>_xlfn.XLOOKUP($D247,'Modelling New'!$D:$D,'Modelling New'!$N:$N)</f>
        <v>87.8</v>
      </c>
      <c r="AS247" s="233">
        <f t="shared" si="23"/>
        <v>0</v>
      </c>
    </row>
    <row r="248" spans="1:45">
      <c r="A248" s="232">
        <f t="shared" si="24"/>
        <v>46085</v>
      </c>
      <c r="B248" s="233">
        <f>YEAR(Daily_KPI[[#This Row],[Date]])+IF(MONTH(Daily_KPI[[#This Row],[Date]])&gt;=4,1,0)</f>
        <v>2026</v>
      </c>
      <c r="C248" s="234">
        <f>YEAR(Daily_KPI[[#This Row],[Date]])</f>
        <v>2026</v>
      </c>
      <c r="D248" s="235">
        <f>Daily_KPI[[#This Row],[Date]]-DAY(Daily_KPI[[#This Row],[Date]])+1</f>
        <v>46082</v>
      </c>
      <c r="E248" s="234">
        <f t="shared" si="20"/>
        <v>31</v>
      </c>
      <c r="F248" s="236">
        <f>IFERROR(_xlfn.XLOOKUP($A248,Input_Raw!$A:$A,Input_Raw!$BM:$BM),"")</f>
        <v>0</v>
      </c>
      <c r="G248" s="237">
        <f>IFERROR(_xlfn.XLOOKUP($A248,Input_Raw!$A:$A,Input_Raw!$AN:$AN),"")</f>
        <v>0</v>
      </c>
      <c r="H248" s="237"/>
      <c r="I248" s="237">
        <f>IFERROR(_xlfn.XLOOKUP($A248,Input_Raw!$A:$A,Input_Raw!$AM:$AM),"")</f>
        <v>0</v>
      </c>
      <c r="J248" s="237"/>
      <c r="K248" s="237">
        <f>IFERROR(_xlfn.XLOOKUP($A248,Input_Raw!$A:$A,Input_Raw!AO:AO),"")</f>
        <v>0</v>
      </c>
      <c r="L248" s="237">
        <f>IFERROR(_xlfn.XLOOKUP($A248,Input_Raw!$A:$A,Input_Raw!AP:AP),"")</f>
        <v>0</v>
      </c>
      <c r="M248" s="237">
        <f>IFERROR(_xlfn.XLOOKUP($A248,Input_Raw!$A:$A,Input_Raw!AS:AS),"")</f>
        <v>0</v>
      </c>
      <c r="N248" s="237">
        <f>IFERROR(_xlfn.XLOOKUP($A248,Input_Raw!$A:$A,Input_Raw!AT:AT),"")</f>
        <v>0</v>
      </c>
      <c r="O248" s="238" t="str">
        <f>IFERROR(1-(SUMIF(Plant_BD!$B:$B,$A248,Plant_BD!$AL:$AL)/($AA248+SUMIF(Plant_BD!$B:$B,$A248,Plant_BD!$AL:$AL))),"")</f>
        <v/>
      </c>
      <c r="P248" s="238"/>
      <c r="Q248" s="239"/>
      <c r="R248" s="238" t="str">
        <f>IFERROR(1-(SUMIF(Grid_BD!$B:$B,$A248,Grid_BD!$V:$V)/($AA248+SUMIF(Grid_BD!$B:$B,$A248,Grid_BD!$V:$V))),"")</f>
        <v/>
      </c>
      <c r="S248" s="234"/>
      <c r="T248" s="239"/>
      <c r="U248" s="240" t="str">
        <f t="shared" si="21"/>
        <v/>
      </c>
      <c r="V248" s="240" t="str">
        <f>IFERROR(_xlfn.XLOOKUP($A248,Input_Raw!$A:$A,Input_Raw!$BS:$BS),"")</f>
        <v/>
      </c>
      <c r="W248" s="241">
        <f t="shared" si="22"/>
        <v>0</v>
      </c>
      <c r="X248" s="233">
        <f>IFERROR(_xlfn.XLOOKUP($A248,Input_Raw!$A:$A,Input_Raw!$AW:$AW),"")</f>
        <v>0</v>
      </c>
      <c r="Y248" s="233">
        <f>IFERROR(_xlfn.XLOOKUP($A248,Input_Raw!$A:$A,Input_Raw!$BN:$BN),"")</f>
        <v>0</v>
      </c>
      <c r="Z248" s="233"/>
      <c r="AA248" s="233">
        <f>IFERROR(_xlfn.XLOOKUP($A248,Input_Raw!$A:$A,Input_Raw!$BO:$BO),"")</f>
        <v>0</v>
      </c>
      <c r="AB248" s="233">
        <f>IFERROR(_xlfn.XLOOKUP($A248,Input_Raw!$A:$A,Input_Raw!$BP:$BP),"")</f>
        <v>0</v>
      </c>
      <c r="AC248" s="242">
        <f>IFERROR(_xlfn.XLOOKUP($D248,'Modelling New'!$D:$D,'Modelling New'!P:P),"")</f>
        <v>6.8774193548387093</v>
      </c>
      <c r="AD248" s="233">
        <f>IFERROR(_xlfn.XLOOKUP($D248,'Modelling New'!$D:$D,'Modelling New'!T:T)*1000,"")</f>
        <v>498365.37379619037</v>
      </c>
      <c r="AE248" s="243">
        <f>IFERROR(_xlfn.XLOOKUP($D248,'Modelling New'!$D:$D,'Modelling New'!$O:$O),"")</f>
        <v>0.82533039162869648</v>
      </c>
      <c r="AF248" s="243">
        <f>IFERROR(_xlfn.XLOOKUP($D248,'Modelling New'!$D:$D,'Modelling New'!$W:$W),"")</f>
        <v>0.23650596706349206</v>
      </c>
      <c r="AG248" s="243">
        <f>IFERROR(_xlfn.XLOOKUP($D248,'Modelling New'!$D:$D,'Modelling New'!$AE:$AE),"")</f>
        <v>0.995</v>
      </c>
      <c r="AH248" s="243">
        <f>IFERROR(_xlfn.XLOOKUP($D248,'Modelling New'!$D:$D,'Modelling New'!$AF:$AF),"")</f>
        <v>0.995</v>
      </c>
      <c r="AI248" s="234"/>
      <c r="AJ248" s="234"/>
      <c r="AK248" s="234"/>
      <c r="AL248" s="234"/>
      <c r="AM248" s="234"/>
      <c r="AN248" s="244"/>
      <c r="AO248" s="241"/>
      <c r="AP248" s="241"/>
      <c r="AQ248" s="241"/>
      <c r="AR248" s="233">
        <f>_xlfn.XLOOKUP($D248,'Modelling New'!$D:$D,'Modelling New'!$N:$N)</f>
        <v>87.8</v>
      </c>
      <c r="AS248" s="233">
        <f t="shared" si="23"/>
        <v>0</v>
      </c>
    </row>
    <row r="249" spans="1:45">
      <c r="A249" s="232">
        <f t="shared" si="24"/>
        <v>46086</v>
      </c>
      <c r="B249" s="233">
        <f>YEAR(Daily_KPI[[#This Row],[Date]])+IF(MONTH(Daily_KPI[[#This Row],[Date]])&gt;=4,1,0)</f>
        <v>2026</v>
      </c>
      <c r="C249" s="234">
        <f>YEAR(Daily_KPI[[#This Row],[Date]])</f>
        <v>2026</v>
      </c>
      <c r="D249" s="235">
        <f>Daily_KPI[[#This Row],[Date]]-DAY(Daily_KPI[[#This Row],[Date]])+1</f>
        <v>46082</v>
      </c>
      <c r="E249" s="234">
        <f t="shared" si="20"/>
        <v>31</v>
      </c>
      <c r="F249" s="236">
        <f>IFERROR(_xlfn.XLOOKUP($A249,Input_Raw!$A:$A,Input_Raw!$BM:$BM),"")</f>
        <v>0</v>
      </c>
      <c r="G249" s="237">
        <f>IFERROR(_xlfn.XLOOKUP($A249,Input_Raw!$A:$A,Input_Raw!$AN:$AN),"")</f>
        <v>0</v>
      </c>
      <c r="H249" s="237"/>
      <c r="I249" s="237">
        <f>IFERROR(_xlfn.XLOOKUP($A249,Input_Raw!$A:$A,Input_Raw!$AM:$AM),"")</f>
        <v>0</v>
      </c>
      <c r="J249" s="237"/>
      <c r="K249" s="237">
        <f>IFERROR(_xlfn.XLOOKUP($A249,Input_Raw!$A:$A,Input_Raw!AO:AO),"")</f>
        <v>0</v>
      </c>
      <c r="L249" s="237">
        <f>IFERROR(_xlfn.XLOOKUP($A249,Input_Raw!$A:$A,Input_Raw!AP:AP),"")</f>
        <v>0</v>
      </c>
      <c r="M249" s="237">
        <f>IFERROR(_xlfn.XLOOKUP($A249,Input_Raw!$A:$A,Input_Raw!AS:AS),"")</f>
        <v>0</v>
      </c>
      <c r="N249" s="237">
        <f>IFERROR(_xlfn.XLOOKUP($A249,Input_Raw!$A:$A,Input_Raw!AT:AT),"")</f>
        <v>0</v>
      </c>
      <c r="O249" s="238" t="str">
        <f>IFERROR(1-(SUMIF(Plant_BD!$B:$B,$A249,Plant_BD!$AL:$AL)/($AA249+SUMIF(Plant_BD!$B:$B,$A249,Plant_BD!$AL:$AL))),"")</f>
        <v/>
      </c>
      <c r="P249" s="238"/>
      <c r="Q249" s="239"/>
      <c r="R249" s="238" t="str">
        <f>IFERROR(1-(SUMIF(Grid_BD!$B:$B,$A249,Grid_BD!$V:$V)/($AA249+SUMIF(Grid_BD!$B:$B,$A249,Grid_BD!$V:$V))),"")</f>
        <v/>
      </c>
      <c r="S249" s="234"/>
      <c r="T249" s="239"/>
      <c r="U249" s="240" t="str">
        <f t="shared" si="21"/>
        <v/>
      </c>
      <c r="V249" s="240" t="str">
        <f>IFERROR(_xlfn.XLOOKUP($A249,Input_Raw!$A:$A,Input_Raw!$BS:$BS),"")</f>
        <v/>
      </c>
      <c r="W249" s="241">
        <f t="shared" si="22"/>
        <v>0</v>
      </c>
      <c r="X249" s="233">
        <f>IFERROR(_xlfn.XLOOKUP($A249,Input_Raw!$A:$A,Input_Raw!$AW:$AW),"")</f>
        <v>0</v>
      </c>
      <c r="Y249" s="233">
        <f>IFERROR(_xlfn.XLOOKUP($A249,Input_Raw!$A:$A,Input_Raw!$BN:$BN),"")</f>
        <v>0</v>
      </c>
      <c r="Z249" s="233"/>
      <c r="AA249" s="233">
        <f>IFERROR(_xlfn.XLOOKUP($A249,Input_Raw!$A:$A,Input_Raw!$BO:$BO),"")</f>
        <v>0</v>
      </c>
      <c r="AB249" s="233">
        <f>IFERROR(_xlfn.XLOOKUP($A249,Input_Raw!$A:$A,Input_Raw!$BP:$BP),"")</f>
        <v>0</v>
      </c>
      <c r="AC249" s="242">
        <f>IFERROR(_xlfn.XLOOKUP($D249,'Modelling New'!$D:$D,'Modelling New'!P:P),"")</f>
        <v>6.8774193548387093</v>
      </c>
      <c r="AD249" s="233">
        <f>IFERROR(_xlfn.XLOOKUP($D249,'Modelling New'!$D:$D,'Modelling New'!T:T)*1000,"")</f>
        <v>498365.37379619037</v>
      </c>
      <c r="AE249" s="243">
        <f>IFERROR(_xlfn.XLOOKUP($D249,'Modelling New'!$D:$D,'Modelling New'!$O:$O),"")</f>
        <v>0.82533039162869648</v>
      </c>
      <c r="AF249" s="243">
        <f>IFERROR(_xlfn.XLOOKUP($D249,'Modelling New'!$D:$D,'Modelling New'!$W:$W),"")</f>
        <v>0.23650596706349206</v>
      </c>
      <c r="AG249" s="243">
        <f>IFERROR(_xlfn.XLOOKUP($D249,'Modelling New'!$D:$D,'Modelling New'!$AE:$AE),"")</f>
        <v>0.995</v>
      </c>
      <c r="AH249" s="243">
        <f>IFERROR(_xlfn.XLOOKUP($D249,'Modelling New'!$D:$D,'Modelling New'!$AF:$AF),"")</f>
        <v>0.995</v>
      </c>
      <c r="AI249" s="234"/>
      <c r="AJ249" s="234"/>
      <c r="AK249" s="234"/>
      <c r="AL249" s="234"/>
      <c r="AM249" s="234"/>
      <c r="AN249" s="244"/>
      <c r="AO249" s="241"/>
      <c r="AP249" s="241"/>
      <c r="AQ249" s="241"/>
      <c r="AR249" s="233">
        <f>_xlfn.XLOOKUP($D249,'Modelling New'!$D:$D,'Modelling New'!$N:$N)</f>
        <v>87.8</v>
      </c>
      <c r="AS249" s="233">
        <f t="shared" si="23"/>
        <v>0</v>
      </c>
    </row>
    <row r="250" spans="1:45">
      <c r="A250" s="232">
        <f t="shared" si="24"/>
        <v>46087</v>
      </c>
      <c r="B250" s="233">
        <f>YEAR(Daily_KPI[[#This Row],[Date]])+IF(MONTH(Daily_KPI[[#This Row],[Date]])&gt;=4,1,0)</f>
        <v>2026</v>
      </c>
      <c r="C250" s="234">
        <f>YEAR(Daily_KPI[[#This Row],[Date]])</f>
        <v>2026</v>
      </c>
      <c r="D250" s="235">
        <f>Daily_KPI[[#This Row],[Date]]-DAY(Daily_KPI[[#This Row],[Date]])+1</f>
        <v>46082</v>
      </c>
      <c r="E250" s="234">
        <f t="shared" si="20"/>
        <v>31</v>
      </c>
      <c r="F250" s="236">
        <f>IFERROR(_xlfn.XLOOKUP($A250,Input_Raw!$A:$A,Input_Raw!$BM:$BM),"")</f>
        <v>0</v>
      </c>
      <c r="G250" s="237">
        <f>IFERROR(_xlfn.XLOOKUP($A250,Input_Raw!$A:$A,Input_Raw!$AN:$AN),"")</f>
        <v>0</v>
      </c>
      <c r="H250" s="237"/>
      <c r="I250" s="237">
        <f>IFERROR(_xlfn.XLOOKUP($A250,Input_Raw!$A:$A,Input_Raw!$AM:$AM),"")</f>
        <v>0</v>
      </c>
      <c r="J250" s="237"/>
      <c r="K250" s="237">
        <f>IFERROR(_xlfn.XLOOKUP($A250,Input_Raw!$A:$A,Input_Raw!AO:AO),"")</f>
        <v>0</v>
      </c>
      <c r="L250" s="237">
        <f>IFERROR(_xlfn.XLOOKUP($A250,Input_Raw!$A:$A,Input_Raw!AP:AP),"")</f>
        <v>0</v>
      </c>
      <c r="M250" s="237">
        <f>IFERROR(_xlfn.XLOOKUP($A250,Input_Raw!$A:$A,Input_Raw!AS:AS),"")</f>
        <v>0</v>
      </c>
      <c r="N250" s="237">
        <f>IFERROR(_xlfn.XLOOKUP($A250,Input_Raw!$A:$A,Input_Raw!AT:AT),"")</f>
        <v>0</v>
      </c>
      <c r="O250" s="238" t="str">
        <f>IFERROR(1-(SUMIF(Plant_BD!$B:$B,$A250,Plant_BD!$AL:$AL)/($AA250+SUMIF(Plant_BD!$B:$B,$A250,Plant_BD!$AL:$AL))),"")</f>
        <v/>
      </c>
      <c r="P250" s="238"/>
      <c r="Q250" s="239"/>
      <c r="R250" s="238" t="str">
        <f>IFERROR(1-(SUMIF(Grid_BD!$B:$B,$A250,Grid_BD!$V:$V)/($AA250+SUMIF(Grid_BD!$B:$B,$A250,Grid_BD!$V:$V))),"")</f>
        <v/>
      </c>
      <c r="S250" s="234"/>
      <c r="T250" s="239"/>
      <c r="U250" s="240" t="str">
        <f t="shared" si="21"/>
        <v/>
      </c>
      <c r="V250" s="240" t="str">
        <f>IFERROR(_xlfn.XLOOKUP($A250,Input_Raw!$A:$A,Input_Raw!$BS:$BS),"")</f>
        <v/>
      </c>
      <c r="W250" s="241">
        <f t="shared" si="22"/>
        <v>0</v>
      </c>
      <c r="X250" s="233">
        <f>IFERROR(_xlfn.XLOOKUP($A250,Input_Raw!$A:$A,Input_Raw!$AW:$AW),"")</f>
        <v>0</v>
      </c>
      <c r="Y250" s="233">
        <f>IFERROR(_xlfn.XLOOKUP($A250,Input_Raw!$A:$A,Input_Raw!$BN:$BN),"")</f>
        <v>0</v>
      </c>
      <c r="Z250" s="233"/>
      <c r="AA250" s="233">
        <f>IFERROR(_xlfn.XLOOKUP($A250,Input_Raw!$A:$A,Input_Raw!$BO:$BO),"")</f>
        <v>0</v>
      </c>
      <c r="AB250" s="233">
        <f>IFERROR(_xlfn.XLOOKUP($A250,Input_Raw!$A:$A,Input_Raw!$BP:$BP),"")</f>
        <v>0</v>
      </c>
      <c r="AC250" s="242">
        <f>IFERROR(_xlfn.XLOOKUP($D250,'Modelling New'!$D:$D,'Modelling New'!P:P),"")</f>
        <v>6.8774193548387093</v>
      </c>
      <c r="AD250" s="233">
        <f>IFERROR(_xlfn.XLOOKUP($D250,'Modelling New'!$D:$D,'Modelling New'!T:T)*1000,"")</f>
        <v>498365.37379619037</v>
      </c>
      <c r="AE250" s="243">
        <f>IFERROR(_xlfn.XLOOKUP($D250,'Modelling New'!$D:$D,'Modelling New'!$O:$O),"")</f>
        <v>0.82533039162869648</v>
      </c>
      <c r="AF250" s="243">
        <f>IFERROR(_xlfn.XLOOKUP($D250,'Modelling New'!$D:$D,'Modelling New'!$W:$W),"")</f>
        <v>0.23650596706349206</v>
      </c>
      <c r="AG250" s="243">
        <f>IFERROR(_xlfn.XLOOKUP($D250,'Modelling New'!$D:$D,'Modelling New'!$AE:$AE),"")</f>
        <v>0.995</v>
      </c>
      <c r="AH250" s="243">
        <f>IFERROR(_xlfn.XLOOKUP($D250,'Modelling New'!$D:$D,'Modelling New'!$AF:$AF),"")</f>
        <v>0.995</v>
      </c>
      <c r="AI250" s="234"/>
      <c r="AJ250" s="234"/>
      <c r="AK250" s="234"/>
      <c r="AL250" s="234"/>
      <c r="AM250" s="234"/>
      <c r="AN250" s="244"/>
      <c r="AO250" s="241"/>
      <c r="AP250" s="241"/>
      <c r="AQ250" s="241"/>
      <c r="AR250" s="233">
        <f>_xlfn.XLOOKUP($D250,'Modelling New'!$D:$D,'Modelling New'!$N:$N)</f>
        <v>87.8</v>
      </c>
      <c r="AS250" s="233">
        <f t="shared" si="23"/>
        <v>0</v>
      </c>
    </row>
    <row r="251" spans="1:45">
      <c r="A251" s="232">
        <f t="shared" si="24"/>
        <v>46088</v>
      </c>
      <c r="B251" s="233">
        <f>YEAR(Daily_KPI[[#This Row],[Date]])+IF(MONTH(Daily_KPI[[#This Row],[Date]])&gt;=4,1,0)</f>
        <v>2026</v>
      </c>
      <c r="C251" s="234">
        <f>YEAR(Daily_KPI[[#This Row],[Date]])</f>
        <v>2026</v>
      </c>
      <c r="D251" s="235">
        <f>Daily_KPI[[#This Row],[Date]]-DAY(Daily_KPI[[#This Row],[Date]])+1</f>
        <v>46082</v>
      </c>
      <c r="E251" s="234">
        <f t="shared" si="20"/>
        <v>31</v>
      </c>
      <c r="F251" s="236">
        <f>IFERROR(_xlfn.XLOOKUP($A251,Input_Raw!$A:$A,Input_Raw!$BM:$BM),"")</f>
        <v>0</v>
      </c>
      <c r="G251" s="237">
        <f>IFERROR(_xlfn.XLOOKUP($A251,Input_Raw!$A:$A,Input_Raw!$AN:$AN),"")</f>
        <v>0</v>
      </c>
      <c r="H251" s="237"/>
      <c r="I251" s="237">
        <f>IFERROR(_xlfn.XLOOKUP($A251,Input_Raw!$A:$A,Input_Raw!$AM:$AM),"")</f>
        <v>0</v>
      </c>
      <c r="J251" s="237"/>
      <c r="K251" s="237">
        <f>IFERROR(_xlfn.XLOOKUP($A251,Input_Raw!$A:$A,Input_Raw!AO:AO),"")</f>
        <v>0</v>
      </c>
      <c r="L251" s="237">
        <f>IFERROR(_xlfn.XLOOKUP($A251,Input_Raw!$A:$A,Input_Raw!AP:AP),"")</f>
        <v>0</v>
      </c>
      <c r="M251" s="237">
        <f>IFERROR(_xlfn.XLOOKUP($A251,Input_Raw!$A:$A,Input_Raw!AS:AS),"")</f>
        <v>0</v>
      </c>
      <c r="N251" s="237">
        <f>IFERROR(_xlfn.XLOOKUP($A251,Input_Raw!$A:$A,Input_Raw!AT:AT),"")</f>
        <v>0</v>
      </c>
      <c r="O251" s="238" t="str">
        <f>IFERROR(1-(SUMIF(Plant_BD!$B:$B,$A251,Plant_BD!$AL:$AL)/($AA251+SUMIF(Plant_BD!$B:$B,$A251,Plant_BD!$AL:$AL))),"")</f>
        <v/>
      </c>
      <c r="P251" s="238"/>
      <c r="Q251" s="239"/>
      <c r="R251" s="238" t="str">
        <f>IFERROR(1-(SUMIF(Grid_BD!$B:$B,$A251,Grid_BD!$V:$V)/($AA251+SUMIF(Grid_BD!$B:$B,$A251,Grid_BD!$V:$V))),"")</f>
        <v/>
      </c>
      <c r="S251" s="234"/>
      <c r="T251" s="239"/>
      <c r="U251" s="240" t="str">
        <f t="shared" si="21"/>
        <v/>
      </c>
      <c r="V251" s="240" t="str">
        <f>IFERROR(_xlfn.XLOOKUP($A251,Input_Raw!$A:$A,Input_Raw!$BS:$BS),"")</f>
        <v/>
      </c>
      <c r="W251" s="241">
        <f t="shared" si="22"/>
        <v>0</v>
      </c>
      <c r="X251" s="233">
        <f>IFERROR(_xlfn.XLOOKUP($A251,Input_Raw!$A:$A,Input_Raw!$AW:$AW),"")</f>
        <v>0</v>
      </c>
      <c r="Y251" s="233">
        <f>IFERROR(_xlfn.XLOOKUP($A251,Input_Raw!$A:$A,Input_Raw!$BN:$BN),"")</f>
        <v>0</v>
      </c>
      <c r="Z251" s="233"/>
      <c r="AA251" s="233">
        <f>IFERROR(_xlfn.XLOOKUP($A251,Input_Raw!$A:$A,Input_Raw!$BO:$BO),"")</f>
        <v>0</v>
      </c>
      <c r="AB251" s="233">
        <f>IFERROR(_xlfn.XLOOKUP($A251,Input_Raw!$A:$A,Input_Raw!$BP:$BP),"")</f>
        <v>0</v>
      </c>
      <c r="AC251" s="242">
        <f>IFERROR(_xlfn.XLOOKUP($D251,'Modelling New'!$D:$D,'Modelling New'!P:P),"")</f>
        <v>6.8774193548387093</v>
      </c>
      <c r="AD251" s="233">
        <f>IFERROR(_xlfn.XLOOKUP($D251,'Modelling New'!$D:$D,'Modelling New'!T:T)*1000,"")</f>
        <v>498365.37379619037</v>
      </c>
      <c r="AE251" s="243">
        <f>IFERROR(_xlfn.XLOOKUP($D251,'Modelling New'!$D:$D,'Modelling New'!$O:$O),"")</f>
        <v>0.82533039162869648</v>
      </c>
      <c r="AF251" s="243">
        <f>IFERROR(_xlfn.XLOOKUP($D251,'Modelling New'!$D:$D,'Modelling New'!$W:$W),"")</f>
        <v>0.23650596706349206</v>
      </c>
      <c r="AG251" s="243">
        <f>IFERROR(_xlfn.XLOOKUP($D251,'Modelling New'!$D:$D,'Modelling New'!$AE:$AE),"")</f>
        <v>0.995</v>
      </c>
      <c r="AH251" s="243">
        <f>IFERROR(_xlfn.XLOOKUP($D251,'Modelling New'!$D:$D,'Modelling New'!$AF:$AF),"")</f>
        <v>0.995</v>
      </c>
      <c r="AI251" s="234"/>
      <c r="AJ251" s="234"/>
      <c r="AK251" s="234"/>
      <c r="AL251" s="234"/>
      <c r="AM251" s="234"/>
      <c r="AN251" s="244"/>
      <c r="AO251" s="241"/>
      <c r="AP251" s="241"/>
      <c r="AQ251" s="241"/>
      <c r="AR251" s="233">
        <f>_xlfn.XLOOKUP($D251,'Modelling New'!$D:$D,'Modelling New'!$N:$N)</f>
        <v>87.8</v>
      </c>
      <c r="AS251" s="233">
        <f t="shared" si="23"/>
        <v>0</v>
      </c>
    </row>
    <row r="252" spans="1:45">
      <c r="A252" s="232">
        <f t="shared" si="24"/>
        <v>46089</v>
      </c>
      <c r="B252" s="233">
        <f>YEAR(Daily_KPI[[#This Row],[Date]])+IF(MONTH(Daily_KPI[[#This Row],[Date]])&gt;=4,1,0)</f>
        <v>2026</v>
      </c>
      <c r="C252" s="234">
        <f>YEAR(Daily_KPI[[#This Row],[Date]])</f>
        <v>2026</v>
      </c>
      <c r="D252" s="235">
        <f>Daily_KPI[[#This Row],[Date]]-DAY(Daily_KPI[[#This Row],[Date]])+1</f>
        <v>46082</v>
      </c>
      <c r="E252" s="234">
        <f t="shared" si="20"/>
        <v>31</v>
      </c>
      <c r="F252" s="236">
        <f>IFERROR(_xlfn.XLOOKUP($A252,Input_Raw!$A:$A,Input_Raw!$BM:$BM),"")</f>
        <v>0</v>
      </c>
      <c r="G252" s="237">
        <f>IFERROR(_xlfn.XLOOKUP($A252,Input_Raw!$A:$A,Input_Raw!$AN:$AN),"")</f>
        <v>0</v>
      </c>
      <c r="H252" s="237"/>
      <c r="I252" s="237">
        <f>IFERROR(_xlfn.XLOOKUP($A252,Input_Raw!$A:$A,Input_Raw!$AM:$AM),"")</f>
        <v>0</v>
      </c>
      <c r="J252" s="237"/>
      <c r="K252" s="237">
        <f>IFERROR(_xlfn.XLOOKUP($A252,Input_Raw!$A:$A,Input_Raw!AO:AO),"")</f>
        <v>0</v>
      </c>
      <c r="L252" s="237">
        <f>IFERROR(_xlfn.XLOOKUP($A252,Input_Raw!$A:$A,Input_Raw!AP:AP),"")</f>
        <v>0</v>
      </c>
      <c r="M252" s="237">
        <f>IFERROR(_xlfn.XLOOKUP($A252,Input_Raw!$A:$A,Input_Raw!AS:AS),"")</f>
        <v>0</v>
      </c>
      <c r="N252" s="237">
        <f>IFERROR(_xlfn.XLOOKUP($A252,Input_Raw!$A:$A,Input_Raw!AT:AT),"")</f>
        <v>0</v>
      </c>
      <c r="O252" s="238" t="str">
        <f>IFERROR(1-(SUMIF(Plant_BD!$B:$B,$A252,Plant_BD!$AL:$AL)/($AA252+SUMIF(Plant_BD!$B:$B,$A252,Plant_BD!$AL:$AL))),"")</f>
        <v/>
      </c>
      <c r="P252" s="238"/>
      <c r="Q252" s="239"/>
      <c r="R252" s="238" t="str">
        <f>IFERROR(1-(SUMIF(Grid_BD!$B:$B,$A252,Grid_BD!$V:$V)/($AA252+SUMIF(Grid_BD!$B:$B,$A252,Grid_BD!$V:$V))),"")</f>
        <v/>
      </c>
      <c r="S252" s="234"/>
      <c r="T252" s="239"/>
      <c r="U252" s="240" t="str">
        <f t="shared" si="21"/>
        <v/>
      </c>
      <c r="V252" s="240" t="str">
        <f>IFERROR(_xlfn.XLOOKUP($A252,Input_Raw!$A:$A,Input_Raw!$BS:$BS),"")</f>
        <v/>
      </c>
      <c r="W252" s="241">
        <f t="shared" si="22"/>
        <v>0</v>
      </c>
      <c r="X252" s="233">
        <f>IFERROR(_xlfn.XLOOKUP($A252,Input_Raw!$A:$A,Input_Raw!$AW:$AW),"")</f>
        <v>0</v>
      </c>
      <c r="Y252" s="233">
        <f>IFERROR(_xlfn.XLOOKUP($A252,Input_Raw!$A:$A,Input_Raw!$BN:$BN),"")</f>
        <v>0</v>
      </c>
      <c r="Z252" s="233"/>
      <c r="AA252" s="233">
        <f>IFERROR(_xlfn.XLOOKUP($A252,Input_Raw!$A:$A,Input_Raw!$BO:$BO),"")</f>
        <v>0</v>
      </c>
      <c r="AB252" s="233">
        <f>IFERROR(_xlfn.XLOOKUP($A252,Input_Raw!$A:$A,Input_Raw!$BP:$BP),"")</f>
        <v>0</v>
      </c>
      <c r="AC252" s="242">
        <f>IFERROR(_xlfn.XLOOKUP($D252,'Modelling New'!$D:$D,'Modelling New'!P:P),"")</f>
        <v>6.8774193548387093</v>
      </c>
      <c r="AD252" s="233">
        <f>IFERROR(_xlfn.XLOOKUP($D252,'Modelling New'!$D:$D,'Modelling New'!T:T)*1000,"")</f>
        <v>498365.37379619037</v>
      </c>
      <c r="AE252" s="243">
        <f>IFERROR(_xlfn.XLOOKUP($D252,'Modelling New'!$D:$D,'Modelling New'!$O:$O),"")</f>
        <v>0.82533039162869648</v>
      </c>
      <c r="AF252" s="243">
        <f>IFERROR(_xlfn.XLOOKUP($D252,'Modelling New'!$D:$D,'Modelling New'!$W:$W),"")</f>
        <v>0.23650596706349206</v>
      </c>
      <c r="AG252" s="243">
        <f>IFERROR(_xlfn.XLOOKUP($D252,'Modelling New'!$D:$D,'Modelling New'!$AE:$AE),"")</f>
        <v>0.995</v>
      </c>
      <c r="AH252" s="243">
        <f>IFERROR(_xlfn.XLOOKUP($D252,'Modelling New'!$D:$D,'Modelling New'!$AF:$AF),"")</f>
        <v>0.995</v>
      </c>
      <c r="AI252" s="234"/>
      <c r="AJ252" s="234"/>
      <c r="AK252" s="234"/>
      <c r="AL252" s="234"/>
      <c r="AM252" s="234"/>
      <c r="AN252" s="244"/>
      <c r="AO252" s="241"/>
      <c r="AP252" s="241"/>
      <c r="AQ252" s="241"/>
      <c r="AR252" s="233">
        <f>_xlfn.XLOOKUP($D252,'Modelling New'!$D:$D,'Modelling New'!$N:$N)</f>
        <v>87.8</v>
      </c>
      <c r="AS252" s="233">
        <f t="shared" si="23"/>
        <v>0</v>
      </c>
    </row>
    <row r="253" spans="1:45">
      <c r="A253" s="232">
        <f t="shared" si="24"/>
        <v>46090</v>
      </c>
      <c r="B253" s="233">
        <f>YEAR(Daily_KPI[[#This Row],[Date]])+IF(MONTH(Daily_KPI[[#This Row],[Date]])&gt;=4,1,0)</f>
        <v>2026</v>
      </c>
      <c r="C253" s="234">
        <f>YEAR(Daily_KPI[[#This Row],[Date]])</f>
        <v>2026</v>
      </c>
      <c r="D253" s="235">
        <f>Daily_KPI[[#This Row],[Date]]-DAY(Daily_KPI[[#This Row],[Date]])+1</f>
        <v>46082</v>
      </c>
      <c r="E253" s="234">
        <f t="shared" si="20"/>
        <v>31</v>
      </c>
      <c r="F253" s="236">
        <f>IFERROR(_xlfn.XLOOKUP($A253,Input_Raw!$A:$A,Input_Raw!$BM:$BM),"")</f>
        <v>0</v>
      </c>
      <c r="G253" s="237">
        <f>IFERROR(_xlfn.XLOOKUP($A253,Input_Raw!$A:$A,Input_Raw!$AN:$AN),"")</f>
        <v>0</v>
      </c>
      <c r="H253" s="237"/>
      <c r="I253" s="237">
        <f>IFERROR(_xlfn.XLOOKUP($A253,Input_Raw!$A:$A,Input_Raw!$AM:$AM),"")</f>
        <v>0</v>
      </c>
      <c r="J253" s="237"/>
      <c r="K253" s="237">
        <f>IFERROR(_xlfn.XLOOKUP($A253,Input_Raw!$A:$A,Input_Raw!AO:AO),"")</f>
        <v>0</v>
      </c>
      <c r="L253" s="237">
        <f>IFERROR(_xlfn.XLOOKUP($A253,Input_Raw!$A:$A,Input_Raw!AP:AP),"")</f>
        <v>0</v>
      </c>
      <c r="M253" s="237">
        <f>IFERROR(_xlfn.XLOOKUP($A253,Input_Raw!$A:$A,Input_Raw!AS:AS),"")</f>
        <v>0</v>
      </c>
      <c r="N253" s="237">
        <f>IFERROR(_xlfn.XLOOKUP($A253,Input_Raw!$A:$A,Input_Raw!AT:AT),"")</f>
        <v>0</v>
      </c>
      <c r="O253" s="238" t="str">
        <f>IFERROR(1-(SUMIF(Plant_BD!$B:$B,$A253,Plant_BD!$AL:$AL)/($AA253+SUMIF(Plant_BD!$B:$B,$A253,Plant_BD!$AL:$AL))),"")</f>
        <v/>
      </c>
      <c r="P253" s="238"/>
      <c r="Q253" s="239"/>
      <c r="R253" s="238" t="str">
        <f>IFERROR(1-(SUMIF(Grid_BD!$B:$B,$A253,Grid_BD!$V:$V)/($AA253+SUMIF(Grid_BD!$B:$B,$A253,Grid_BD!$V:$V))),"")</f>
        <v/>
      </c>
      <c r="S253" s="234"/>
      <c r="T253" s="239"/>
      <c r="U253" s="240" t="str">
        <f t="shared" si="21"/>
        <v/>
      </c>
      <c r="V253" s="240" t="str">
        <f>IFERROR(_xlfn.XLOOKUP($A253,Input_Raw!$A:$A,Input_Raw!$BS:$BS),"")</f>
        <v/>
      </c>
      <c r="W253" s="241">
        <f t="shared" si="22"/>
        <v>0</v>
      </c>
      <c r="X253" s="233">
        <f>IFERROR(_xlfn.XLOOKUP($A253,Input_Raw!$A:$A,Input_Raw!$AW:$AW),"")</f>
        <v>0</v>
      </c>
      <c r="Y253" s="233">
        <f>IFERROR(_xlfn.XLOOKUP($A253,Input_Raw!$A:$A,Input_Raw!$BN:$BN),"")</f>
        <v>0</v>
      </c>
      <c r="Z253" s="233"/>
      <c r="AA253" s="233">
        <f>IFERROR(_xlfn.XLOOKUP($A253,Input_Raw!$A:$A,Input_Raw!$BO:$BO),"")</f>
        <v>0</v>
      </c>
      <c r="AB253" s="233">
        <f>IFERROR(_xlfn.XLOOKUP($A253,Input_Raw!$A:$A,Input_Raw!$BP:$BP),"")</f>
        <v>0</v>
      </c>
      <c r="AC253" s="242">
        <f>IFERROR(_xlfn.XLOOKUP($D253,'Modelling New'!$D:$D,'Modelling New'!P:P),"")</f>
        <v>6.8774193548387093</v>
      </c>
      <c r="AD253" s="233">
        <f>IFERROR(_xlfn.XLOOKUP($D253,'Modelling New'!$D:$D,'Modelling New'!T:T)*1000,"")</f>
        <v>498365.37379619037</v>
      </c>
      <c r="AE253" s="243">
        <f>IFERROR(_xlfn.XLOOKUP($D253,'Modelling New'!$D:$D,'Modelling New'!$O:$O),"")</f>
        <v>0.82533039162869648</v>
      </c>
      <c r="AF253" s="243">
        <f>IFERROR(_xlfn.XLOOKUP($D253,'Modelling New'!$D:$D,'Modelling New'!$W:$W),"")</f>
        <v>0.23650596706349206</v>
      </c>
      <c r="AG253" s="243">
        <f>IFERROR(_xlfn.XLOOKUP($D253,'Modelling New'!$D:$D,'Modelling New'!$AE:$AE),"")</f>
        <v>0.995</v>
      </c>
      <c r="AH253" s="243">
        <f>IFERROR(_xlfn.XLOOKUP($D253,'Modelling New'!$D:$D,'Modelling New'!$AF:$AF),"")</f>
        <v>0.995</v>
      </c>
      <c r="AI253" s="234"/>
      <c r="AJ253" s="234"/>
      <c r="AK253" s="234"/>
      <c r="AL253" s="234"/>
      <c r="AM253" s="234"/>
      <c r="AN253" s="244"/>
      <c r="AO253" s="241"/>
      <c r="AP253" s="241"/>
      <c r="AQ253" s="241"/>
      <c r="AR253" s="233">
        <f>_xlfn.XLOOKUP($D253,'Modelling New'!$D:$D,'Modelling New'!$N:$N)</f>
        <v>87.8</v>
      </c>
      <c r="AS253" s="233">
        <f t="shared" si="23"/>
        <v>0</v>
      </c>
    </row>
    <row r="254" spans="1:45">
      <c r="A254" s="232">
        <f t="shared" si="24"/>
        <v>46091</v>
      </c>
      <c r="B254" s="233">
        <f>YEAR(Daily_KPI[[#This Row],[Date]])+IF(MONTH(Daily_KPI[[#This Row],[Date]])&gt;=4,1,0)</f>
        <v>2026</v>
      </c>
      <c r="C254" s="234">
        <f>YEAR(Daily_KPI[[#This Row],[Date]])</f>
        <v>2026</v>
      </c>
      <c r="D254" s="235">
        <f>Daily_KPI[[#This Row],[Date]]-DAY(Daily_KPI[[#This Row],[Date]])+1</f>
        <v>46082</v>
      </c>
      <c r="E254" s="234">
        <f t="shared" si="20"/>
        <v>31</v>
      </c>
      <c r="F254" s="236">
        <f>IFERROR(_xlfn.XLOOKUP($A254,Input_Raw!$A:$A,Input_Raw!$BM:$BM),"")</f>
        <v>0</v>
      </c>
      <c r="G254" s="237">
        <f>IFERROR(_xlfn.XLOOKUP($A254,Input_Raw!$A:$A,Input_Raw!$AN:$AN),"")</f>
        <v>0</v>
      </c>
      <c r="H254" s="237"/>
      <c r="I254" s="237">
        <f>IFERROR(_xlfn.XLOOKUP($A254,Input_Raw!$A:$A,Input_Raw!$AM:$AM),"")</f>
        <v>0</v>
      </c>
      <c r="J254" s="237"/>
      <c r="K254" s="237">
        <f>IFERROR(_xlfn.XLOOKUP($A254,Input_Raw!$A:$A,Input_Raw!AO:AO),"")</f>
        <v>0</v>
      </c>
      <c r="L254" s="237">
        <f>IFERROR(_xlfn.XLOOKUP($A254,Input_Raw!$A:$A,Input_Raw!AP:AP),"")</f>
        <v>0</v>
      </c>
      <c r="M254" s="237">
        <f>IFERROR(_xlfn.XLOOKUP($A254,Input_Raw!$A:$A,Input_Raw!AS:AS),"")</f>
        <v>0</v>
      </c>
      <c r="N254" s="237">
        <f>IFERROR(_xlfn.XLOOKUP($A254,Input_Raw!$A:$A,Input_Raw!AT:AT),"")</f>
        <v>0</v>
      </c>
      <c r="O254" s="238" t="str">
        <f>IFERROR(1-(SUMIF(Plant_BD!$B:$B,$A254,Plant_BD!$AL:$AL)/($AA254+SUMIF(Plant_BD!$B:$B,$A254,Plant_BD!$AL:$AL))),"")</f>
        <v/>
      </c>
      <c r="P254" s="238"/>
      <c r="Q254" s="239"/>
      <c r="R254" s="238" t="str">
        <f>IFERROR(1-(SUMIF(Grid_BD!$B:$B,$A254,Grid_BD!$V:$V)/($AA254+SUMIF(Grid_BD!$B:$B,$A254,Grid_BD!$V:$V))),"")</f>
        <v/>
      </c>
      <c r="S254" s="234"/>
      <c r="T254" s="239"/>
      <c r="U254" s="240" t="str">
        <f t="shared" si="21"/>
        <v/>
      </c>
      <c r="V254" s="240" t="str">
        <f>IFERROR(_xlfn.XLOOKUP($A254,Input_Raw!$A:$A,Input_Raw!$BS:$BS),"")</f>
        <v/>
      </c>
      <c r="W254" s="241">
        <f t="shared" si="22"/>
        <v>0</v>
      </c>
      <c r="X254" s="233">
        <f>IFERROR(_xlfn.XLOOKUP($A254,Input_Raw!$A:$A,Input_Raw!$AW:$AW),"")</f>
        <v>0</v>
      </c>
      <c r="Y254" s="233">
        <f>IFERROR(_xlfn.XLOOKUP($A254,Input_Raw!$A:$A,Input_Raw!$BN:$BN),"")</f>
        <v>0</v>
      </c>
      <c r="Z254" s="233"/>
      <c r="AA254" s="233">
        <f>IFERROR(_xlfn.XLOOKUP($A254,Input_Raw!$A:$A,Input_Raw!$BO:$BO),"")</f>
        <v>0</v>
      </c>
      <c r="AB254" s="233">
        <f>IFERROR(_xlfn.XLOOKUP($A254,Input_Raw!$A:$A,Input_Raw!$BP:$BP),"")</f>
        <v>0</v>
      </c>
      <c r="AC254" s="242">
        <f>IFERROR(_xlfn.XLOOKUP($D254,'Modelling New'!$D:$D,'Modelling New'!P:P),"")</f>
        <v>6.8774193548387093</v>
      </c>
      <c r="AD254" s="233">
        <f>IFERROR(_xlfn.XLOOKUP($D254,'Modelling New'!$D:$D,'Modelling New'!T:T)*1000,"")</f>
        <v>498365.37379619037</v>
      </c>
      <c r="AE254" s="243">
        <f>IFERROR(_xlfn.XLOOKUP($D254,'Modelling New'!$D:$D,'Modelling New'!$O:$O),"")</f>
        <v>0.82533039162869648</v>
      </c>
      <c r="AF254" s="243">
        <f>IFERROR(_xlfn.XLOOKUP($D254,'Modelling New'!$D:$D,'Modelling New'!$W:$W),"")</f>
        <v>0.23650596706349206</v>
      </c>
      <c r="AG254" s="243">
        <f>IFERROR(_xlfn.XLOOKUP($D254,'Modelling New'!$D:$D,'Modelling New'!$AE:$AE),"")</f>
        <v>0.995</v>
      </c>
      <c r="AH254" s="243">
        <f>IFERROR(_xlfn.XLOOKUP($D254,'Modelling New'!$D:$D,'Modelling New'!$AF:$AF),"")</f>
        <v>0.995</v>
      </c>
      <c r="AI254" s="234"/>
      <c r="AJ254" s="234"/>
      <c r="AK254" s="234"/>
      <c r="AL254" s="234"/>
      <c r="AM254" s="234"/>
      <c r="AN254" s="244"/>
      <c r="AO254" s="241"/>
      <c r="AP254" s="241"/>
      <c r="AQ254" s="241"/>
      <c r="AR254" s="233">
        <f>_xlfn.XLOOKUP($D254,'Modelling New'!$D:$D,'Modelling New'!$N:$N)</f>
        <v>87.8</v>
      </c>
      <c r="AS254" s="233">
        <f t="shared" si="23"/>
        <v>0</v>
      </c>
    </row>
    <row r="255" spans="1:45">
      <c r="A255" s="232">
        <f t="shared" si="24"/>
        <v>46092</v>
      </c>
      <c r="B255" s="233">
        <f>YEAR(Daily_KPI[[#This Row],[Date]])+IF(MONTH(Daily_KPI[[#This Row],[Date]])&gt;=4,1,0)</f>
        <v>2026</v>
      </c>
      <c r="C255" s="234">
        <f>YEAR(Daily_KPI[[#This Row],[Date]])</f>
        <v>2026</v>
      </c>
      <c r="D255" s="235">
        <f>Daily_KPI[[#This Row],[Date]]-DAY(Daily_KPI[[#This Row],[Date]])+1</f>
        <v>46082</v>
      </c>
      <c r="E255" s="234">
        <f t="shared" si="20"/>
        <v>31</v>
      </c>
      <c r="F255" s="236">
        <f>IFERROR(_xlfn.XLOOKUP($A255,Input_Raw!$A:$A,Input_Raw!$BM:$BM),"")</f>
        <v>0</v>
      </c>
      <c r="G255" s="237">
        <f>IFERROR(_xlfn.XLOOKUP($A255,Input_Raw!$A:$A,Input_Raw!$AN:$AN),"")</f>
        <v>0</v>
      </c>
      <c r="H255" s="237"/>
      <c r="I255" s="237">
        <f>IFERROR(_xlfn.XLOOKUP($A255,Input_Raw!$A:$A,Input_Raw!$AM:$AM),"")</f>
        <v>0</v>
      </c>
      <c r="J255" s="237"/>
      <c r="K255" s="237">
        <f>IFERROR(_xlfn.XLOOKUP($A255,Input_Raw!$A:$A,Input_Raw!AO:AO),"")</f>
        <v>0</v>
      </c>
      <c r="L255" s="237">
        <f>IFERROR(_xlfn.XLOOKUP($A255,Input_Raw!$A:$A,Input_Raw!AP:AP),"")</f>
        <v>0</v>
      </c>
      <c r="M255" s="237">
        <f>IFERROR(_xlfn.XLOOKUP($A255,Input_Raw!$A:$A,Input_Raw!AS:AS),"")</f>
        <v>0</v>
      </c>
      <c r="N255" s="237">
        <f>IFERROR(_xlfn.XLOOKUP($A255,Input_Raw!$A:$A,Input_Raw!AT:AT),"")</f>
        <v>0</v>
      </c>
      <c r="O255" s="238" t="str">
        <f>IFERROR(1-(SUMIF(Plant_BD!$B:$B,$A255,Plant_BD!$AL:$AL)/($AA255+SUMIF(Plant_BD!$B:$B,$A255,Plant_BD!$AL:$AL))),"")</f>
        <v/>
      </c>
      <c r="P255" s="238"/>
      <c r="Q255" s="239"/>
      <c r="R255" s="238" t="str">
        <f>IFERROR(1-(SUMIF(Grid_BD!$B:$B,$A255,Grid_BD!$V:$V)/($AA255+SUMIF(Grid_BD!$B:$B,$A255,Grid_BD!$V:$V))),"")</f>
        <v/>
      </c>
      <c r="S255" s="234"/>
      <c r="T255" s="239"/>
      <c r="U255" s="240" t="str">
        <f t="shared" si="21"/>
        <v/>
      </c>
      <c r="V255" s="240" t="str">
        <f>IFERROR(_xlfn.XLOOKUP($A255,Input_Raw!$A:$A,Input_Raw!$BS:$BS),"")</f>
        <v/>
      </c>
      <c r="W255" s="241">
        <f t="shared" si="22"/>
        <v>0</v>
      </c>
      <c r="X255" s="233">
        <f>IFERROR(_xlfn.XLOOKUP($A255,Input_Raw!$A:$A,Input_Raw!$AW:$AW),"")</f>
        <v>0</v>
      </c>
      <c r="Y255" s="233">
        <f>IFERROR(_xlfn.XLOOKUP($A255,Input_Raw!$A:$A,Input_Raw!$BN:$BN),"")</f>
        <v>0</v>
      </c>
      <c r="Z255" s="233"/>
      <c r="AA255" s="233">
        <f>IFERROR(_xlfn.XLOOKUP($A255,Input_Raw!$A:$A,Input_Raw!$BO:$BO),"")</f>
        <v>0</v>
      </c>
      <c r="AB255" s="233">
        <f>IFERROR(_xlfn.XLOOKUP($A255,Input_Raw!$A:$A,Input_Raw!$BP:$BP),"")</f>
        <v>0</v>
      </c>
      <c r="AC255" s="242">
        <f>IFERROR(_xlfn.XLOOKUP($D255,'Modelling New'!$D:$D,'Modelling New'!P:P),"")</f>
        <v>6.8774193548387093</v>
      </c>
      <c r="AD255" s="233">
        <f>IFERROR(_xlfn.XLOOKUP($D255,'Modelling New'!$D:$D,'Modelling New'!T:T)*1000,"")</f>
        <v>498365.37379619037</v>
      </c>
      <c r="AE255" s="243">
        <f>IFERROR(_xlfn.XLOOKUP($D255,'Modelling New'!$D:$D,'Modelling New'!$O:$O),"")</f>
        <v>0.82533039162869648</v>
      </c>
      <c r="AF255" s="243">
        <f>IFERROR(_xlfn.XLOOKUP($D255,'Modelling New'!$D:$D,'Modelling New'!$W:$W),"")</f>
        <v>0.23650596706349206</v>
      </c>
      <c r="AG255" s="243">
        <f>IFERROR(_xlfn.XLOOKUP($D255,'Modelling New'!$D:$D,'Modelling New'!$AE:$AE),"")</f>
        <v>0.995</v>
      </c>
      <c r="AH255" s="243">
        <f>IFERROR(_xlfn.XLOOKUP($D255,'Modelling New'!$D:$D,'Modelling New'!$AF:$AF),"")</f>
        <v>0.995</v>
      </c>
      <c r="AI255" s="234"/>
      <c r="AJ255" s="234"/>
      <c r="AK255" s="234"/>
      <c r="AL255" s="234"/>
      <c r="AM255" s="234"/>
      <c r="AN255" s="244"/>
      <c r="AO255" s="241"/>
      <c r="AP255" s="241"/>
      <c r="AQ255" s="241"/>
      <c r="AR255" s="233">
        <f>_xlfn.XLOOKUP($D255,'Modelling New'!$D:$D,'Modelling New'!$N:$N)</f>
        <v>87.8</v>
      </c>
      <c r="AS255" s="233">
        <f t="shared" si="23"/>
        <v>0</v>
      </c>
    </row>
    <row r="256" spans="1:45">
      <c r="A256" s="232">
        <f t="shared" si="24"/>
        <v>46093</v>
      </c>
      <c r="B256" s="233">
        <f>YEAR(Daily_KPI[[#This Row],[Date]])+IF(MONTH(Daily_KPI[[#This Row],[Date]])&gt;=4,1,0)</f>
        <v>2026</v>
      </c>
      <c r="C256" s="234">
        <f>YEAR(Daily_KPI[[#This Row],[Date]])</f>
        <v>2026</v>
      </c>
      <c r="D256" s="235">
        <f>Daily_KPI[[#This Row],[Date]]-DAY(Daily_KPI[[#This Row],[Date]])+1</f>
        <v>46082</v>
      </c>
      <c r="E256" s="234">
        <f t="shared" si="20"/>
        <v>31</v>
      </c>
      <c r="F256" s="236">
        <f>IFERROR(_xlfn.XLOOKUP($A256,Input_Raw!$A:$A,Input_Raw!$BM:$BM),"")</f>
        <v>0</v>
      </c>
      <c r="G256" s="237">
        <f>IFERROR(_xlfn.XLOOKUP($A256,Input_Raw!$A:$A,Input_Raw!$AN:$AN),"")</f>
        <v>0</v>
      </c>
      <c r="H256" s="237"/>
      <c r="I256" s="237">
        <f>IFERROR(_xlfn.XLOOKUP($A256,Input_Raw!$A:$A,Input_Raw!$AM:$AM),"")</f>
        <v>0</v>
      </c>
      <c r="J256" s="237"/>
      <c r="K256" s="237">
        <f>IFERROR(_xlfn.XLOOKUP($A256,Input_Raw!$A:$A,Input_Raw!AO:AO),"")</f>
        <v>0</v>
      </c>
      <c r="L256" s="237">
        <f>IFERROR(_xlfn.XLOOKUP($A256,Input_Raw!$A:$A,Input_Raw!AP:AP),"")</f>
        <v>0</v>
      </c>
      <c r="M256" s="237">
        <f>IFERROR(_xlfn.XLOOKUP($A256,Input_Raw!$A:$A,Input_Raw!AS:AS),"")</f>
        <v>0</v>
      </c>
      <c r="N256" s="237">
        <f>IFERROR(_xlfn.XLOOKUP($A256,Input_Raw!$A:$A,Input_Raw!AT:AT),"")</f>
        <v>0</v>
      </c>
      <c r="O256" s="238" t="str">
        <f>IFERROR(1-(SUMIF(Plant_BD!$B:$B,$A256,Plant_BD!$AL:$AL)/($AA256+SUMIF(Plant_BD!$B:$B,$A256,Plant_BD!$AL:$AL))),"")</f>
        <v/>
      </c>
      <c r="P256" s="238"/>
      <c r="Q256" s="239"/>
      <c r="R256" s="238" t="str">
        <f>IFERROR(1-(SUMIF(Grid_BD!$B:$B,$A256,Grid_BD!$V:$V)/($AA256+SUMIF(Grid_BD!$B:$B,$A256,Grid_BD!$V:$V))),"")</f>
        <v/>
      </c>
      <c r="S256" s="234"/>
      <c r="T256" s="239"/>
      <c r="U256" s="240" t="str">
        <f t="shared" si="21"/>
        <v/>
      </c>
      <c r="V256" s="240" t="str">
        <f>IFERROR(_xlfn.XLOOKUP($A256,Input_Raw!$A:$A,Input_Raw!$BS:$BS),"")</f>
        <v/>
      </c>
      <c r="W256" s="241">
        <f t="shared" si="22"/>
        <v>0</v>
      </c>
      <c r="X256" s="233">
        <f>IFERROR(_xlfn.XLOOKUP($A256,Input_Raw!$A:$A,Input_Raw!$AW:$AW),"")</f>
        <v>0</v>
      </c>
      <c r="Y256" s="233">
        <f>IFERROR(_xlfn.XLOOKUP($A256,Input_Raw!$A:$A,Input_Raw!$BN:$BN),"")</f>
        <v>0</v>
      </c>
      <c r="Z256" s="233"/>
      <c r="AA256" s="233">
        <f>IFERROR(_xlfn.XLOOKUP($A256,Input_Raw!$A:$A,Input_Raw!$BO:$BO),"")</f>
        <v>0</v>
      </c>
      <c r="AB256" s="233">
        <f>IFERROR(_xlfn.XLOOKUP($A256,Input_Raw!$A:$A,Input_Raw!$BP:$BP),"")</f>
        <v>0</v>
      </c>
      <c r="AC256" s="242">
        <f>IFERROR(_xlfn.XLOOKUP($D256,'Modelling New'!$D:$D,'Modelling New'!P:P),"")</f>
        <v>6.8774193548387093</v>
      </c>
      <c r="AD256" s="233">
        <f>IFERROR(_xlfn.XLOOKUP($D256,'Modelling New'!$D:$D,'Modelling New'!T:T)*1000,"")</f>
        <v>498365.37379619037</v>
      </c>
      <c r="AE256" s="243">
        <f>IFERROR(_xlfn.XLOOKUP($D256,'Modelling New'!$D:$D,'Modelling New'!$O:$O),"")</f>
        <v>0.82533039162869648</v>
      </c>
      <c r="AF256" s="243">
        <f>IFERROR(_xlfn.XLOOKUP($D256,'Modelling New'!$D:$D,'Modelling New'!$W:$W),"")</f>
        <v>0.23650596706349206</v>
      </c>
      <c r="AG256" s="243">
        <f>IFERROR(_xlfn.XLOOKUP($D256,'Modelling New'!$D:$D,'Modelling New'!$AE:$AE),"")</f>
        <v>0.995</v>
      </c>
      <c r="AH256" s="243">
        <f>IFERROR(_xlfn.XLOOKUP($D256,'Modelling New'!$D:$D,'Modelling New'!$AF:$AF),"")</f>
        <v>0.995</v>
      </c>
      <c r="AI256" s="234"/>
      <c r="AJ256" s="234"/>
      <c r="AK256" s="234"/>
      <c r="AL256" s="234"/>
      <c r="AM256" s="234"/>
      <c r="AN256" s="244"/>
      <c r="AO256" s="241"/>
      <c r="AP256" s="241"/>
      <c r="AQ256" s="241"/>
      <c r="AR256" s="233">
        <f>_xlfn.XLOOKUP($D256,'Modelling New'!$D:$D,'Modelling New'!$N:$N)</f>
        <v>87.8</v>
      </c>
      <c r="AS256" s="233">
        <f t="shared" si="23"/>
        <v>0</v>
      </c>
    </row>
    <row r="257" spans="1:45">
      <c r="A257" s="232">
        <f t="shared" si="24"/>
        <v>46094</v>
      </c>
      <c r="B257" s="233">
        <f>YEAR(Daily_KPI[[#This Row],[Date]])+IF(MONTH(Daily_KPI[[#This Row],[Date]])&gt;=4,1,0)</f>
        <v>2026</v>
      </c>
      <c r="C257" s="234">
        <f>YEAR(Daily_KPI[[#This Row],[Date]])</f>
        <v>2026</v>
      </c>
      <c r="D257" s="235">
        <f>Daily_KPI[[#This Row],[Date]]-DAY(Daily_KPI[[#This Row],[Date]])+1</f>
        <v>46082</v>
      </c>
      <c r="E257" s="234">
        <f t="shared" si="20"/>
        <v>31</v>
      </c>
      <c r="F257" s="236">
        <f>IFERROR(_xlfn.XLOOKUP($A257,Input_Raw!$A:$A,Input_Raw!$BM:$BM),"")</f>
        <v>0</v>
      </c>
      <c r="G257" s="237">
        <f>IFERROR(_xlfn.XLOOKUP($A257,Input_Raw!$A:$A,Input_Raw!$AN:$AN),"")</f>
        <v>0</v>
      </c>
      <c r="H257" s="237"/>
      <c r="I257" s="237">
        <f>IFERROR(_xlfn.XLOOKUP($A257,Input_Raw!$A:$A,Input_Raw!$AM:$AM),"")</f>
        <v>0</v>
      </c>
      <c r="J257" s="237"/>
      <c r="K257" s="237">
        <f>IFERROR(_xlfn.XLOOKUP($A257,Input_Raw!$A:$A,Input_Raw!AO:AO),"")</f>
        <v>0</v>
      </c>
      <c r="L257" s="237">
        <f>IFERROR(_xlfn.XLOOKUP($A257,Input_Raw!$A:$A,Input_Raw!AP:AP),"")</f>
        <v>0</v>
      </c>
      <c r="M257" s="237">
        <f>IFERROR(_xlfn.XLOOKUP($A257,Input_Raw!$A:$A,Input_Raw!AS:AS),"")</f>
        <v>0</v>
      </c>
      <c r="N257" s="237">
        <f>IFERROR(_xlfn.XLOOKUP($A257,Input_Raw!$A:$A,Input_Raw!AT:AT),"")</f>
        <v>0</v>
      </c>
      <c r="O257" s="238" t="str">
        <f>IFERROR(1-(SUMIF(Plant_BD!$B:$B,$A257,Plant_BD!$AL:$AL)/($AA257+SUMIF(Plant_BD!$B:$B,$A257,Plant_BD!$AL:$AL))),"")</f>
        <v/>
      </c>
      <c r="P257" s="238"/>
      <c r="Q257" s="239"/>
      <c r="R257" s="238" t="str">
        <f>IFERROR(1-(SUMIF(Grid_BD!$B:$B,$A257,Grid_BD!$V:$V)/($AA257+SUMIF(Grid_BD!$B:$B,$A257,Grid_BD!$V:$V))),"")</f>
        <v/>
      </c>
      <c r="S257" s="234"/>
      <c r="T257" s="239"/>
      <c r="U257" s="240" t="str">
        <f t="shared" si="21"/>
        <v/>
      </c>
      <c r="V257" s="240" t="str">
        <f>IFERROR(_xlfn.XLOOKUP($A257,Input_Raw!$A:$A,Input_Raw!$BS:$BS),"")</f>
        <v/>
      </c>
      <c r="W257" s="241">
        <f t="shared" si="22"/>
        <v>0</v>
      </c>
      <c r="X257" s="233">
        <f>IFERROR(_xlfn.XLOOKUP($A257,Input_Raw!$A:$A,Input_Raw!$AW:$AW),"")</f>
        <v>0</v>
      </c>
      <c r="Y257" s="233">
        <f>IFERROR(_xlfn.XLOOKUP($A257,Input_Raw!$A:$A,Input_Raw!$BN:$BN),"")</f>
        <v>0</v>
      </c>
      <c r="Z257" s="233"/>
      <c r="AA257" s="233">
        <f>IFERROR(_xlfn.XLOOKUP($A257,Input_Raw!$A:$A,Input_Raw!$BO:$BO),"")</f>
        <v>0</v>
      </c>
      <c r="AB257" s="233">
        <f>IFERROR(_xlfn.XLOOKUP($A257,Input_Raw!$A:$A,Input_Raw!$BP:$BP),"")</f>
        <v>0</v>
      </c>
      <c r="AC257" s="242">
        <f>IFERROR(_xlfn.XLOOKUP($D257,'Modelling New'!$D:$D,'Modelling New'!P:P),"")</f>
        <v>6.8774193548387093</v>
      </c>
      <c r="AD257" s="233">
        <f>IFERROR(_xlfn.XLOOKUP($D257,'Modelling New'!$D:$D,'Modelling New'!T:T)*1000,"")</f>
        <v>498365.37379619037</v>
      </c>
      <c r="AE257" s="243">
        <f>IFERROR(_xlfn.XLOOKUP($D257,'Modelling New'!$D:$D,'Modelling New'!$O:$O),"")</f>
        <v>0.82533039162869648</v>
      </c>
      <c r="AF257" s="243">
        <f>IFERROR(_xlfn.XLOOKUP($D257,'Modelling New'!$D:$D,'Modelling New'!$W:$W),"")</f>
        <v>0.23650596706349206</v>
      </c>
      <c r="AG257" s="243">
        <f>IFERROR(_xlfn.XLOOKUP($D257,'Modelling New'!$D:$D,'Modelling New'!$AE:$AE),"")</f>
        <v>0.995</v>
      </c>
      <c r="AH257" s="243">
        <f>IFERROR(_xlfn.XLOOKUP($D257,'Modelling New'!$D:$D,'Modelling New'!$AF:$AF),"")</f>
        <v>0.995</v>
      </c>
      <c r="AI257" s="234"/>
      <c r="AJ257" s="234"/>
      <c r="AK257" s="234"/>
      <c r="AL257" s="234"/>
      <c r="AM257" s="234"/>
      <c r="AN257" s="244"/>
      <c r="AO257" s="241"/>
      <c r="AP257" s="241"/>
      <c r="AQ257" s="241"/>
      <c r="AR257" s="233">
        <f>_xlfn.XLOOKUP($D257,'Modelling New'!$D:$D,'Modelling New'!$N:$N)</f>
        <v>87.8</v>
      </c>
      <c r="AS257" s="233">
        <f t="shared" si="23"/>
        <v>0</v>
      </c>
    </row>
    <row r="258" spans="1:45">
      <c r="A258" s="232">
        <f t="shared" si="24"/>
        <v>46095</v>
      </c>
      <c r="B258" s="233">
        <f>YEAR(Daily_KPI[[#This Row],[Date]])+IF(MONTH(Daily_KPI[[#This Row],[Date]])&gt;=4,1,0)</f>
        <v>2026</v>
      </c>
      <c r="C258" s="234">
        <f>YEAR(Daily_KPI[[#This Row],[Date]])</f>
        <v>2026</v>
      </c>
      <c r="D258" s="235">
        <f>Daily_KPI[[#This Row],[Date]]-DAY(Daily_KPI[[#This Row],[Date]])+1</f>
        <v>46082</v>
      </c>
      <c r="E258" s="234">
        <f t="shared" si="20"/>
        <v>31</v>
      </c>
      <c r="F258" s="236">
        <f>IFERROR(_xlfn.XLOOKUP($A258,Input_Raw!$A:$A,Input_Raw!$BM:$BM),"")</f>
        <v>0</v>
      </c>
      <c r="G258" s="237">
        <f>IFERROR(_xlfn.XLOOKUP($A258,Input_Raw!$A:$A,Input_Raw!$AN:$AN),"")</f>
        <v>0</v>
      </c>
      <c r="H258" s="237"/>
      <c r="I258" s="237">
        <f>IFERROR(_xlfn.XLOOKUP($A258,Input_Raw!$A:$A,Input_Raw!$AM:$AM),"")</f>
        <v>0</v>
      </c>
      <c r="J258" s="237"/>
      <c r="K258" s="237">
        <f>IFERROR(_xlfn.XLOOKUP($A258,Input_Raw!$A:$A,Input_Raw!AO:AO),"")</f>
        <v>0</v>
      </c>
      <c r="L258" s="237">
        <f>IFERROR(_xlfn.XLOOKUP($A258,Input_Raw!$A:$A,Input_Raw!AP:AP),"")</f>
        <v>0</v>
      </c>
      <c r="M258" s="237">
        <f>IFERROR(_xlfn.XLOOKUP($A258,Input_Raw!$A:$A,Input_Raw!AS:AS),"")</f>
        <v>0</v>
      </c>
      <c r="N258" s="237">
        <f>IFERROR(_xlfn.XLOOKUP($A258,Input_Raw!$A:$A,Input_Raw!AT:AT),"")</f>
        <v>0</v>
      </c>
      <c r="O258" s="238" t="str">
        <f>IFERROR(1-(SUMIF(Plant_BD!$B:$B,$A258,Plant_BD!$AL:$AL)/($AA258+SUMIF(Plant_BD!$B:$B,$A258,Plant_BD!$AL:$AL))),"")</f>
        <v/>
      </c>
      <c r="P258" s="238"/>
      <c r="Q258" s="239"/>
      <c r="R258" s="238" t="str">
        <f>IFERROR(1-(SUMIF(Grid_BD!$B:$B,$A258,Grid_BD!$V:$V)/($AA258+SUMIF(Grid_BD!$B:$B,$A258,Grid_BD!$V:$V))),"")</f>
        <v/>
      </c>
      <c r="S258" s="234"/>
      <c r="T258" s="239"/>
      <c r="U258" s="240" t="str">
        <f t="shared" si="21"/>
        <v/>
      </c>
      <c r="V258" s="240" t="str">
        <f>IFERROR(_xlfn.XLOOKUP($A258,Input_Raw!$A:$A,Input_Raw!$BS:$BS),"")</f>
        <v/>
      </c>
      <c r="W258" s="241">
        <f t="shared" si="22"/>
        <v>0</v>
      </c>
      <c r="X258" s="233">
        <f>IFERROR(_xlfn.XLOOKUP($A258,Input_Raw!$A:$A,Input_Raw!$AW:$AW),"")</f>
        <v>0</v>
      </c>
      <c r="Y258" s="233">
        <f>IFERROR(_xlfn.XLOOKUP($A258,Input_Raw!$A:$A,Input_Raw!$BN:$BN),"")</f>
        <v>0</v>
      </c>
      <c r="Z258" s="233"/>
      <c r="AA258" s="233">
        <f>IFERROR(_xlfn.XLOOKUP($A258,Input_Raw!$A:$A,Input_Raw!$BO:$BO),"")</f>
        <v>0</v>
      </c>
      <c r="AB258" s="233">
        <f>IFERROR(_xlfn.XLOOKUP($A258,Input_Raw!$A:$A,Input_Raw!$BP:$BP),"")</f>
        <v>0</v>
      </c>
      <c r="AC258" s="242">
        <f>IFERROR(_xlfn.XLOOKUP($D258,'Modelling New'!$D:$D,'Modelling New'!P:P),"")</f>
        <v>6.8774193548387093</v>
      </c>
      <c r="AD258" s="233">
        <f>IFERROR(_xlfn.XLOOKUP($D258,'Modelling New'!$D:$D,'Modelling New'!T:T)*1000,"")</f>
        <v>498365.37379619037</v>
      </c>
      <c r="AE258" s="243">
        <f>IFERROR(_xlfn.XLOOKUP($D258,'Modelling New'!$D:$D,'Modelling New'!$O:$O),"")</f>
        <v>0.82533039162869648</v>
      </c>
      <c r="AF258" s="243">
        <f>IFERROR(_xlfn.XLOOKUP($D258,'Modelling New'!$D:$D,'Modelling New'!$W:$W),"")</f>
        <v>0.23650596706349206</v>
      </c>
      <c r="AG258" s="243">
        <f>IFERROR(_xlfn.XLOOKUP($D258,'Modelling New'!$D:$D,'Modelling New'!$AE:$AE),"")</f>
        <v>0.995</v>
      </c>
      <c r="AH258" s="243">
        <f>IFERROR(_xlfn.XLOOKUP($D258,'Modelling New'!$D:$D,'Modelling New'!$AF:$AF),"")</f>
        <v>0.995</v>
      </c>
      <c r="AI258" s="234"/>
      <c r="AJ258" s="234"/>
      <c r="AK258" s="234"/>
      <c r="AL258" s="234"/>
      <c r="AM258" s="234"/>
      <c r="AN258" s="244"/>
      <c r="AO258" s="241"/>
      <c r="AP258" s="241"/>
      <c r="AQ258" s="241"/>
      <c r="AR258" s="233">
        <f>_xlfn.XLOOKUP($D258,'Modelling New'!$D:$D,'Modelling New'!$N:$N)</f>
        <v>87.8</v>
      </c>
      <c r="AS258" s="233">
        <f t="shared" si="23"/>
        <v>0</v>
      </c>
    </row>
    <row r="259" spans="1:45">
      <c r="A259" s="232">
        <f t="shared" si="24"/>
        <v>46096</v>
      </c>
      <c r="B259" s="233">
        <f>YEAR(Daily_KPI[[#This Row],[Date]])+IF(MONTH(Daily_KPI[[#This Row],[Date]])&gt;=4,1,0)</f>
        <v>2026</v>
      </c>
      <c r="C259" s="234">
        <f>YEAR(Daily_KPI[[#This Row],[Date]])</f>
        <v>2026</v>
      </c>
      <c r="D259" s="235">
        <f>Daily_KPI[[#This Row],[Date]]-DAY(Daily_KPI[[#This Row],[Date]])+1</f>
        <v>46082</v>
      </c>
      <c r="E259" s="234">
        <f t="shared" si="20"/>
        <v>31</v>
      </c>
      <c r="F259" s="236">
        <f>IFERROR(_xlfn.XLOOKUP($A259,Input_Raw!$A:$A,Input_Raw!$BM:$BM),"")</f>
        <v>0</v>
      </c>
      <c r="G259" s="237">
        <f>IFERROR(_xlfn.XLOOKUP($A259,Input_Raw!$A:$A,Input_Raw!$AN:$AN),"")</f>
        <v>0</v>
      </c>
      <c r="H259" s="237"/>
      <c r="I259" s="237">
        <f>IFERROR(_xlfn.XLOOKUP($A259,Input_Raw!$A:$A,Input_Raw!$AM:$AM),"")</f>
        <v>0</v>
      </c>
      <c r="J259" s="237"/>
      <c r="K259" s="237">
        <f>IFERROR(_xlfn.XLOOKUP($A259,Input_Raw!$A:$A,Input_Raw!AO:AO),"")</f>
        <v>0</v>
      </c>
      <c r="L259" s="237">
        <f>IFERROR(_xlfn.XLOOKUP($A259,Input_Raw!$A:$A,Input_Raw!AP:AP),"")</f>
        <v>0</v>
      </c>
      <c r="M259" s="237">
        <f>IFERROR(_xlfn.XLOOKUP($A259,Input_Raw!$A:$A,Input_Raw!AS:AS),"")</f>
        <v>0</v>
      </c>
      <c r="N259" s="237">
        <f>IFERROR(_xlfn.XLOOKUP($A259,Input_Raw!$A:$A,Input_Raw!AT:AT),"")</f>
        <v>0</v>
      </c>
      <c r="O259" s="238" t="str">
        <f>IFERROR(1-(SUMIF(Plant_BD!$B:$B,$A259,Plant_BD!$AL:$AL)/($AA259+SUMIF(Plant_BD!$B:$B,$A259,Plant_BD!$AL:$AL))),"")</f>
        <v/>
      </c>
      <c r="P259" s="238"/>
      <c r="Q259" s="239"/>
      <c r="R259" s="238" t="str">
        <f>IFERROR(1-(SUMIF(Grid_BD!$B:$B,$A259,Grid_BD!$V:$V)/($AA259+SUMIF(Grid_BD!$B:$B,$A259,Grid_BD!$V:$V))),"")</f>
        <v/>
      </c>
      <c r="S259" s="234"/>
      <c r="T259" s="239"/>
      <c r="U259" s="240" t="str">
        <f t="shared" si="21"/>
        <v/>
      </c>
      <c r="V259" s="240" t="str">
        <f>IFERROR(_xlfn.XLOOKUP($A259,Input_Raw!$A:$A,Input_Raw!$BS:$BS),"")</f>
        <v/>
      </c>
      <c r="W259" s="241">
        <f t="shared" si="22"/>
        <v>0</v>
      </c>
      <c r="X259" s="233">
        <f>IFERROR(_xlfn.XLOOKUP($A259,Input_Raw!$A:$A,Input_Raw!$AW:$AW),"")</f>
        <v>0</v>
      </c>
      <c r="Y259" s="233">
        <f>IFERROR(_xlfn.XLOOKUP($A259,Input_Raw!$A:$A,Input_Raw!$BN:$BN),"")</f>
        <v>0</v>
      </c>
      <c r="Z259" s="233"/>
      <c r="AA259" s="233">
        <f>IFERROR(_xlfn.XLOOKUP($A259,Input_Raw!$A:$A,Input_Raw!$BO:$BO),"")</f>
        <v>0</v>
      </c>
      <c r="AB259" s="233">
        <f>IFERROR(_xlfn.XLOOKUP($A259,Input_Raw!$A:$A,Input_Raw!$BP:$BP),"")</f>
        <v>0</v>
      </c>
      <c r="AC259" s="242">
        <f>IFERROR(_xlfn.XLOOKUP($D259,'Modelling New'!$D:$D,'Modelling New'!P:P),"")</f>
        <v>6.8774193548387093</v>
      </c>
      <c r="AD259" s="233">
        <f>IFERROR(_xlfn.XLOOKUP($D259,'Modelling New'!$D:$D,'Modelling New'!T:T)*1000,"")</f>
        <v>498365.37379619037</v>
      </c>
      <c r="AE259" s="243">
        <f>IFERROR(_xlfn.XLOOKUP($D259,'Modelling New'!$D:$D,'Modelling New'!$O:$O),"")</f>
        <v>0.82533039162869648</v>
      </c>
      <c r="AF259" s="243">
        <f>IFERROR(_xlfn.XLOOKUP($D259,'Modelling New'!$D:$D,'Modelling New'!$W:$W),"")</f>
        <v>0.23650596706349206</v>
      </c>
      <c r="AG259" s="243">
        <f>IFERROR(_xlfn.XLOOKUP($D259,'Modelling New'!$D:$D,'Modelling New'!$AE:$AE),"")</f>
        <v>0.995</v>
      </c>
      <c r="AH259" s="243">
        <f>IFERROR(_xlfn.XLOOKUP($D259,'Modelling New'!$D:$D,'Modelling New'!$AF:$AF),"")</f>
        <v>0.995</v>
      </c>
      <c r="AI259" s="234"/>
      <c r="AJ259" s="234"/>
      <c r="AK259" s="234"/>
      <c r="AL259" s="234"/>
      <c r="AM259" s="234"/>
      <c r="AN259" s="244"/>
      <c r="AO259" s="241"/>
      <c r="AP259" s="241"/>
      <c r="AQ259" s="241"/>
      <c r="AR259" s="233">
        <f>_xlfn.XLOOKUP($D259,'Modelling New'!$D:$D,'Modelling New'!$N:$N)</f>
        <v>87.8</v>
      </c>
      <c r="AS259" s="233">
        <f t="shared" si="23"/>
        <v>0</v>
      </c>
    </row>
    <row r="260" spans="1:45">
      <c r="A260" s="232">
        <f t="shared" si="24"/>
        <v>46097</v>
      </c>
      <c r="B260" s="233">
        <f>YEAR(Daily_KPI[[#This Row],[Date]])+IF(MONTH(Daily_KPI[[#This Row],[Date]])&gt;=4,1,0)</f>
        <v>2026</v>
      </c>
      <c r="C260" s="234">
        <f>YEAR(Daily_KPI[[#This Row],[Date]])</f>
        <v>2026</v>
      </c>
      <c r="D260" s="235">
        <f>Daily_KPI[[#This Row],[Date]]-DAY(Daily_KPI[[#This Row],[Date]])+1</f>
        <v>46082</v>
      </c>
      <c r="E260" s="234">
        <f t="shared" si="20"/>
        <v>31</v>
      </c>
      <c r="F260" s="236">
        <f>IFERROR(_xlfn.XLOOKUP($A260,Input_Raw!$A:$A,Input_Raw!$BM:$BM),"")</f>
        <v>0</v>
      </c>
      <c r="G260" s="237">
        <f>IFERROR(_xlfn.XLOOKUP($A260,Input_Raw!$A:$A,Input_Raw!$AN:$AN),"")</f>
        <v>0</v>
      </c>
      <c r="H260" s="237"/>
      <c r="I260" s="237">
        <f>IFERROR(_xlfn.XLOOKUP($A260,Input_Raw!$A:$A,Input_Raw!$AM:$AM),"")</f>
        <v>0</v>
      </c>
      <c r="J260" s="237"/>
      <c r="K260" s="237">
        <f>IFERROR(_xlfn.XLOOKUP($A260,Input_Raw!$A:$A,Input_Raw!AO:AO),"")</f>
        <v>0</v>
      </c>
      <c r="L260" s="237">
        <f>IFERROR(_xlfn.XLOOKUP($A260,Input_Raw!$A:$A,Input_Raw!AP:AP),"")</f>
        <v>0</v>
      </c>
      <c r="M260" s="237">
        <f>IFERROR(_xlfn.XLOOKUP($A260,Input_Raw!$A:$A,Input_Raw!AS:AS),"")</f>
        <v>0</v>
      </c>
      <c r="N260" s="237">
        <f>IFERROR(_xlfn.XLOOKUP($A260,Input_Raw!$A:$A,Input_Raw!AT:AT),"")</f>
        <v>0</v>
      </c>
      <c r="O260" s="238" t="str">
        <f>IFERROR(1-(SUMIF(Plant_BD!$B:$B,$A260,Plant_BD!$AL:$AL)/($AA260+SUMIF(Plant_BD!$B:$B,$A260,Plant_BD!$AL:$AL))),"")</f>
        <v/>
      </c>
      <c r="P260" s="238"/>
      <c r="Q260" s="239"/>
      <c r="R260" s="238" t="str">
        <f>IFERROR(1-(SUMIF(Grid_BD!$B:$B,$A260,Grid_BD!$V:$V)/($AA260+SUMIF(Grid_BD!$B:$B,$A260,Grid_BD!$V:$V))),"")</f>
        <v/>
      </c>
      <c r="S260" s="234"/>
      <c r="T260" s="239"/>
      <c r="U260" s="240" t="str">
        <f t="shared" si="21"/>
        <v/>
      </c>
      <c r="V260" s="240" t="str">
        <f>IFERROR(_xlfn.XLOOKUP($A260,Input_Raw!$A:$A,Input_Raw!$BS:$BS),"")</f>
        <v/>
      </c>
      <c r="W260" s="241">
        <f t="shared" si="22"/>
        <v>0</v>
      </c>
      <c r="X260" s="233">
        <f>IFERROR(_xlfn.XLOOKUP($A260,Input_Raw!$A:$A,Input_Raw!$AW:$AW),"")</f>
        <v>0</v>
      </c>
      <c r="Y260" s="233">
        <f>IFERROR(_xlfn.XLOOKUP($A260,Input_Raw!$A:$A,Input_Raw!$BN:$BN),"")</f>
        <v>0</v>
      </c>
      <c r="Z260" s="233"/>
      <c r="AA260" s="233">
        <f>IFERROR(_xlfn.XLOOKUP($A260,Input_Raw!$A:$A,Input_Raw!$BO:$BO),"")</f>
        <v>0</v>
      </c>
      <c r="AB260" s="233">
        <f>IFERROR(_xlfn.XLOOKUP($A260,Input_Raw!$A:$A,Input_Raw!$BP:$BP),"")</f>
        <v>0</v>
      </c>
      <c r="AC260" s="242">
        <f>IFERROR(_xlfn.XLOOKUP($D260,'Modelling New'!$D:$D,'Modelling New'!P:P),"")</f>
        <v>6.8774193548387093</v>
      </c>
      <c r="AD260" s="233">
        <f>IFERROR(_xlfn.XLOOKUP($D260,'Modelling New'!$D:$D,'Modelling New'!T:T)*1000,"")</f>
        <v>498365.37379619037</v>
      </c>
      <c r="AE260" s="243">
        <f>IFERROR(_xlfn.XLOOKUP($D260,'Modelling New'!$D:$D,'Modelling New'!$O:$O),"")</f>
        <v>0.82533039162869648</v>
      </c>
      <c r="AF260" s="243">
        <f>IFERROR(_xlfn.XLOOKUP($D260,'Modelling New'!$D:$D,'Modelling New'!$W:$W),"")</f>
        <v>0.23650596706349206</v>
      </c>
      <c r="AG260" s="243">
        <f>IFERROR(_xlfn.XLOOKUP($D260,'Modelling New'!$D:$D,'Modelling New'!$AE:$AE),"")</f>
        <v>0.995</v>
      </c>
      <c r="AH260" s="243">
        <f>IFERROR(_xlfn.XLOOKUP($D260,'Modelling New'!$D:$D,'Modelling New'!$AF:$AF),"")</f>
        <v>0.995</v>
      </c>
      <c r="AI260" s="234"/>
      <c r="AJ260" s="234"/>
      <c r="AK260" s="234"/>
      <c r="AL260" s="234"/>
      <c r="AM260" s="234"/>
      <c r="AN260" s="244"/>
      <c r="AO260" s="241"/>
      <c r="AP260" s="241"/>
      <c r="AQ260" s="241"/>
      <c r="AR260" s="233">
        <f>_xlfn.XLOOKUP($D260,'Modelling New'!$D:$D,'Modelling New'!$N:$N)</f>
        <v>87.8</v>
      </c>
      <c r="AS260" s="233">
        <f t="shared" si="23"/>
        <v>0</v>
      </c>
    </row>
    <row r="261" spans="1:45">
      <c r="A261" s="232">
        <f t="shared" si="24"/>
        <v>46098</v>
      </c>
      <c r="B261" s="233">
        <f>YEAR(Daily_KPI[[#This Row],[Date]])+IF(MONTH(Daily_KPI[[#This Row],[Date]])&gt;=4,1,0)</f>
        <v>2026</v>
      </c>
      <c r="C261" s="234">
        <f>YEAR(Daily_KPI[[#This Row],[Date]])</f>
        <v>2026</v>
      </c>
      <c r="D261" s="235">
        <f>Daily_KPI[[#This Row],[Date]]-DAY(Daily_KPI[[#This Row],[Date]])+1</f>
        <v>46082</v>
      </c>
      <c r="E261" s="234">
        <f t="shared" si="20"/>
        <v>31</v>
      </c>
      <c r="F261" s="236">
        <f>IFERROR(_xlfn.XLOOKUP($A261,Input_Raw!$A:$A,Input_Raw!$BM:$BM),"")</f>
        <v>0</v>
      </c>
      <c r="G261" s="237">
        <f>IFERROR(_xlfn.XLOOKUP($A261,Input_Raw!$A:$A,Input_Raw!$AN:$AN),"")</f>
        <v>0</v>
      </c>
      <c r="H261" s="237"/>
      <c r="I261" s="237">
        <f>IFERROR(_xlfn.XLOOKUP($A261,Input_Raw!$A:$A,Input_Raw!$AM:$AM),"")</f>
        <v>0</v>
      </c>
      <c r="J261" s="237"/>
      <c r="K261" s="237">
        <f>IFERROR(_xlfn.XLOOKUP($A261,Input_Raw!$A:$A,Input_Raw!AO:AO),"")</f>
        <v>0</v>
      </c>
      <c r="L261" s="237">
        <f>IFERROR(_xlfn.XLOOKUP($A261,Input_Raw!$A:$A,Input_Raw!AP:AP),"")</f>
        <v>0</v>
      </c>
      <c r="M261" s="237">
        <f>IFERROR(_xlfn.XLOOKUP($A261,Input_Raw!$A:$A,Input_Raw!AS:AS),"")</f>
        <v>0</v>
      </c>
      <c r="N261" s="237">
        <f>IFERROR(_xlfn.XLOOKUP($A261,Input_Raw!$A:$A,Input_Raw!AT:AT),"")</f>
        <v>0</v>
      </c>
      <c r="O261" s="238" t="str">
        <f>IFERROR(1-(SUMIF(Plant_BD!$B:$B,$A261,Plant_BD!$AL:$AL)/($AA261+SUMIF(Plant_BD!$B:$B,$A261,Plant_BD!$AL:$AL))),"")</f>
        <v/>
      </c>
      <c r="P261" s="238"/>
      <c r="Q261" s="239"/>
      <c r="R261" s="238" t="str">
        <f>IFERROR(1-(SUMIF(Grid_BD!$B:$B,$A261,Grid_BD!$V:$V)/($AA261+SUMIF(Grid_BD!$B:$B,$A261,Grid_BD!$V:$V))),"")</f>
        <v/>
      </c>
      <c r="S261" s="234"/>
      <c r="T261" s="239"/>
      <c r="U261" s="240" t="str">
        <f t="shared" si="21"/>
        <v/>
      </c>
      <c r="V261" s="240" t="str">
        <f>IFERROR(_xlfn.XLOOKUP($A261,Input_Raw!$A:$A,Input_Raw!$BS:$BS),"")</f>
        <v/>
      </c>
      <c r="W261" s="241">
        <f t="shared" si="22"/>
        <v>0</v>
      </c>
      <c r="X261" s="233">
        <f>IFERROR(_xlfn.XLOOKUP($A261,Input_Raw!$A:$A,Input_Raw!$AW:$AW),"")</f>
        <v>0</v>
      </c>
      <c r="Y261" s="233">
        <f>IFERROR(_xlfn.XLOOKUP($A261,Input_Raw!$A:$A,Input_Raw!$BN:$BN),"")</f>
        <v>0</v>
      </c>
      <c r="Z261" s="233"/>
      <c r="AA261" s="233">
        <f>IFERROR(_xlfn.XLOOKUP($A261,Input_Raw!$A:$A,Input_Raw!$BO:$BO),"")</f>
        <v>0</v>
      </c>
      <c r="AB261" s="233">
        <f>IFERROR(_xlfn.XLOOKUP($A261,Input_Raw!$A:$A,Input_Raw!$BP:$BP),"")</f>
        <v>0</v>
      </c>
      <c r="AC261" s="242">
        <f>IFERROR(_xlfn.XLOOKUP($D261,'Modelling New'!$D:$D,'Modelling New'!P:P),"")</f>
        <v>6.8774193548387093</v>
      </c>
      <c r="AD261" s="233">
        <f>IFERROR(_xlfn.XLOOKUP($D261,'Modelling New'!$D:$D,'Modelling New'!T:T)*1000,"")</f>
        <v>498365.37379619037</v>
      </c>
      <c r="AE261" s="243">
        <f>IFERROR(_xlfn.XLOOKUP($D261,'Modelling New'!$D:$D,'Modelling New'!$O:$O),"")</f>
        <v>0.82533039162869648</v>
      </c>
      <c r="AF261" s="243">
        <f>IFERROR(_xlfn.XLOOKUP($D261,'Modelling New'!$D:$D,'Modelling New'!$W:$W),"")</f>
        <v>0.23650596706349206</v>
      </c>
      <c r="AG261" s="243">
        <f>IFERROR(_xlfn.XLOOKUP($D261,'Modelling New'!$D:$D,'Modelling New'!$AE:$AE),"")</f>
        <v>0.995</v>
      </c>
      <c r="AH261" s="243">
        <f>IFERROR(_xlfn.XLOOKUP($D261,'Modelling New'!$D:$D,'Modelling New'!$AF:$AF),"")</f>
        <v>0.995</v>
      </c>
      <c r="AI261" s="234"/>
      <c r="AJ261" s="234"/>
      <c r="AK261" s="234"/>
      <c r="AL261" s="234"/>
      <c r="AM261" s="234"/>
      <c r="AN261" s="244"/>
      <c r="AO261" s="241"/>
      <c r="AP261" s="241"/>
      <c r="AQ261" s="241"/>
      <c r="AR261" s="233">
        <f>_xlfn.XLOOKUP($D261,'Modelling New'!$D:$D,'Modelling New'!$N:$N)</f>
        <v>87.8</v>
      </c>
      <c r="AS261" s="233">
        <f t="shared" si="23"/>
        <v>0</v>
      </c>
    </row>
    <row r="262" spans="1:45">
      <c r="A262" s="232">
        <f t="shared" si="24"/>
        <v>46099</v>
      </c>
      <c r="B262" s="233">
        <f>YEAR(Daily_KPI[[#This Row],[Date]])+IF(MONTH(Daily_KPI[[#This Row],[Date]])&gt;=4,1,0)</f>
        <v>2026</v>
      </c>
      <c r="C262" s="234">
        <f>YEAR(Daily_KPI[[#This Row],[Date]])</f>
        <v>2026</v>
      </c>
      <c r="D262" s="235">
        <f>Daily_KPI[[#This Row],[Date]]-DAY(Daily_KPI[[#This Row],[Date]])+1</f>
        <v>46082</v>
      </c>
      <c r="E262" s="234">
        <f t="shared" si="20"/>
        <v>31</v>
      </c>
      <c r="F262" s="236">
        <f>IFERROR(_xlfn.XLOOKUP($A262,Input_Raw!$A:$A,Input_Raw!$BM:$BM),"")</f>
        <v>0</v>
      </c>
      <c r="G262" s="237">
        <f>IFERROR(_xlfn.XLOOKUP($A262,Input_Raw!$A:$A,Input_Raw!$AN:$AN),"")</f>
        <v>0</v>
      </c>
      <c r="H262" s="237"/>
      <c r="I262" s="237">
        <f>IFERROR(_xlfn.XLOOKUP($A262,Input_Raw!$A:$A,Input_Raw!$AM:$AM),"")</f>
        <v>0</v>
      </c>
      <c r="J262" s="237"/>
      <c r="K262" s="237">
        <f>IFERROR(_xlfn.XLOOKUP($A262,Input_Raw!$A:$A,Input_Raw!AO:AO),"")</f>
        <v>0</v>
      </c>
      <c r="L262" s="237">
        <f>IFERROR(_xlfn.XLOOKUP($A262,Input_Raw!$A:$A,Input_Raw!AP:AP),"")</f>
        <v>0</v>
      </c>
      <c r="M262" s="237">
        <f>IFERROR(_xlfn.XLOOKUP($A262,Input_Raw!$A:$A,Input_Raw!AS:AS),"")</f>
        <v>0</v>
      </c>
      <c r="N262" s="237">
        <f>IFERROR(_xlfn.XLOOKUP($A262,Input_Raw!$A:$A,Input_Raw!AT:AT),"")</f>
        <v>0</v>
      </c>
      <c r="O262" s="238" t="str">
        <f>IFERROR(1-(SUMIF(Plant_BD!$B:$B,$A262,Plant_BD!$AL:$AL)/($AA262+SUMIF(Plant_BD!$B:$B,$A262,Plant_BD!$AL:$AL))),"")</f>
        <v/>
      </c>
      <c r="P262" s="238"/>
      <c r="Q262" s="239"/>
      <c r="R262" s="238" t="str">
        <f>IFERROR(1-(SUMIF(Grid_BD!$B:$B,$A262,Grid_BD!$V:$V)/($AA262+SUMIF(Grid_BD!$B:$B,$A262,Grid_BD!$V:$V))),"")</f>
        <v/>
      </c>
      <c r="S262" s="234"/>
      <c r="T262" s="239"/>
      <c r="U262" s="240" t="str">
        <f t="shared" si="21"/>
        <v/>
      </c>
      <c r="V262" s="240" t="str">
        <f>IFERROR(_xlfn.XLOOKUP($A262,Input_Raw!$A:$A,Input_Raw!$BS:$BS),"")</f>
        <v/>
      </c>
      <c r="W262" s="241">
        <f t="shared" si="22"/>
        <v>0</v>
      </c>
      <c r="X262" s="233">
        <f>IFERROR(_xlfn.XLOOKUP($A262,Input_Raw!$A:$A,Input_Raw!$AW:$AW),"")</f>
        <v>0</v>
      </c>
      <c r="Y262" s="233">
        <f>IFERROR(_xlfn.XLOOKUP($A262,Input_Raw!$A:$A,Input_Raw!$BN:$BN),"")</f>
        <v>0</v>
      </c>
      <c r="Z262" s="233"/>
      <c r="AA262" s="233">
        <f>IFERROR(_xlfn.XLOOKUP($A262,Input_Raw!$A:$A,Input_Raw!$BO:$BO),"")</f>
        <v>0</v>
      </c>
      <c r="AB262" s="233">
        <f>IFERROR(_xlfn.XLOOKUP($A262,Input_Raw!$A:$A,Input_Raw!$BP:$BP),"")</f>
        <v>0</v>
      </c>
      <c r="AC262" s="242">
        <f>IFERROR(_xlfn.XLOOKUP($D262,'Modelling New'!$D:$D,'Modelling New'!P:P),"")</f>
        <v>6.8774193548387093</v>
      </c>
      <c r="AD262" s="233">
        <f>IFERROR(_xlfn.XLOOKUP($D262,'Modelling New'!$D:$D,'Modelling New'!T:T)*1000,"")</f>
        <v>498365.37379619037</v>
      </c>
      <c r="AE262" s="243">
        <f>IFERROR(_xlfn.XLOOKUP($D262,'Modelling New'!$D:$D,'Modelling New'!$O:$O),"")</f>
        <v>0.82533039162869648</v>
      </c>
      <c r="AF262" s="243">
        <f>IFERROR(_xlfn.XLOOKUP($D262,'Modelling New'!$D:$D,'Modelling New'!$W:$W),"")</f>
        <v>0.23650596706349206</v>
      </c>
      <c r="AG262" s="243">
        <f>IFERROR(_xlfn.XLOOKUP($D262,'Modelling New'!$D:$D,'Modelling New'!$AE:$AE),"")</f>
        <v>0.995</v>
      </c>
      <c r="AH262" s="243">
        <f>IFERROR(_xlfn.XLOOKUP($D262,'Modelling New'!$D:$D,'Modelling New'!$AF:$AF),"")</f>
        <v>0.995</v>
      </c>
      <c r="AI262" s="234"/>
      <c r="AJ262" s="234"/>
      <c r="AK262" s="234"/>
      <c r="AL262" s="234"/>
      <c r="AM262" s="234"/>
      <c r="AN262" s="244"/>
      <c r="AO262" s="241"/>
      <c r="AP262" s="241"/>
      <c r="AQ262" s="241"/>
      <c r="AR262" s="233">
        <f>_xlfn.XLOOKUP($D262,'Modelling New'!$D:$D,'Modelling New'!$N:$N)</f>
        <v>87.8</v>
      </c>
      <c r="AS262" s="233">
        <f t="shared" si="23"/>
        <v>0</v>
      </c>
    </row>
    <row r="263" spans="1:45">
      <c r="A263" s="232">
        <f t="shared" si="24"/>
        <v>46100</v>
      </c>
      <c r="B263" s="233">
        <f>YEAR(Daily_KPI[[#This Row],[Date]])+IF(MONTH(Daily_KPI[[#This Row],[Date]])&gt;=4,1,0)</f>
        <v>2026</v>
      </c>
      <c r="C263" s="234">
        <f>YEAR(Daily_KPI[[#This Row],[Date]])</f>
        <v>2026</v>
      </c>
      <c r="D263" s="235">
        <f>Daily_KPI[[#This Row],[Date]]-DAY(Daily_KPI[[#This Row],[Date]])+1</f>
        <v>46082</v>
      </c>
      <c r="E263" s="234">
        <f t="shared" si="20"/>
        <v>31</v>
      </c>
      <c r="F263" s="236">
        <f>IFERROR(_xlfn.XLOOKUP($A263,Input_Raw!$A:$A,Input_Raw!$BM:$BM),"")</f>
        <v>0</v>
      </c>
      <c r="G263" s="237">
        <f>IFERROR(_xlfn.XLOOKUP($A263,Input_Raw!$A:$A,Input_Raw!$AN:$AN),"")</f>
        <v>0</v>
      </c>
      <c r="H263" s="237"/>
      <c r="I263" s="237">
        <f>IFERROR(_xlfn.XLOOKUP($A263,Input_Raw!$A:$A,Input_Raw!$AM:$AM),"")</f>
        <v>0</v>
      </c>
      <c r="J263" s="237"/>
      <c r="K263" s="237">
        <f>IFERROR(_xlfn.XLOOKUP($A263,Input_Raw!$A:$A,Input_Raw!AO:AO),"")</f>
        <v>0</v>
      </c>
      <c r="L263" s="237">
        <f>IFERROR(_xlfn.XLOOKUP($A263,Input_Raw!$A:$A,Input_Raw!AP:AP),"")</f>
        <v>0</v>
      </c>
      <c r="M263" s="237">
        <f>IFERROR(_xlfn.XLOOKUP($A263,Input_Raw!$A:$A,Input_Raw!AS:AS),"")</f>
        <v>0</v>
      </c>
      <c r="N263" s="237">
        <f>IFERROR(_xlfn.XLOOKUP($A263,Input_Raw!$A:$A,Input_Raw!AT:AT),"")</f>
        <v>0</v>
      </c>
      <c r="O263" s="238" t="str">
        <f>IFERROR(1-(SUMIF(Plant_BD!$B:$B,$A263,Plant_BD!$AL:$AL)/($AA263+SUMIF(Plant_BD!$B:$B,$A263,Plant_BD!$AL:$AL))),"")</f>
        <v/>
      </c>
      <c r="P263" s="238"/>
      <c r="Q263" s="239"/>
      <c r="R263" s="238" t="str">
        <f>IFERROR(1-(SUMIF(Grid_BD!$B:$B,$A263,Grid_BD!$V:$V)/($AA263+SUMIF(Grid_BD!$B:$B,$A263,Grid_BD!$V:$V))),"")</f>
        <v/>
      </c>
      <c r="S263" s="234"/>
      <c r="T263" s="239"/>
      <c r="U263" s="240" t="str">
        <f t="shared" si="21"/>
        <v/>
      </c>
      <c r="V263" s="240" t="str">
        <f>IFERROR(_xlfn.XLOOKUP($A263,Input_Raw!$A:$A,Input_Raw!$BS:$BS),"")</f>
        <v/>
      </c>
      <c r="W263" s="241">
        <f t="shared" si="22"/>
        <v>0</v>
      </c>
      <c r="X263" s="233">
        <f>IFERROR(_xlfn.XLOOKUP($A263,Input_Raw!$A:$A,Input_Raw!$AW:$AW),"")</f>
        <v>0</v>
      </c>
      <c r="Y263" s="233">
        <f>IFERROR(_xlfn.XLOOKUP($A263,Input_Raw!$A:$A,Input_Raw!$BN:$BN),"")</f>
        <v>0</v>
      </c>
      <c r="Z263" s="233"/>
      <c r="AA263" s="233">
        <f>IFERROR(_xlfn.XLOOKUP($A263,Input_Raw!$A:$A,Input_Raw!$BO:$BO),"")</f>
        <v>0</v>
      </c>
      <c r="AB263" s="233">
        <f>IFERROR(_xlfn.XLOOKUP($A263,Input_Raw!$A:$A,Input_Raw!$BP:$BP),"")</f>
        <v>0</v>
      </c>
      <c r="AC263" s="242">
        <f>IFERROR(_xlfn.XLOOKUP($D263,'Modelling New'!$D:$D,'Modelling New'!P:P),"")</f>
        <v>6.8774193548387093</v>
      </c>
      <c r="AD263" s="233">
        <f>IFERROR(_xlfn.XLOOKUP($D263,'Modelling New'!$D:$D,'Modelling New'!T:T)*1000,"")</f>
        <v>498365.37379619037</v>
      </c>
      <c r="AE263" s="243">
        <f>IFERROR(_xlfn.XLOOKUP($D263,'Modelling New'!$D:$D,'Modelling New'!$O:$O),"")</f>
        <v>0.82533039162869648</v>
      </c>
      <c r="AF263" s="243">
        <f>IFERROR(_xlfn.XLOOKUP($D263,'Modelling New'!$D:$D,'Modelling New'!$W:$W),"")</f>
        <v>0.23650596706349206</v>
      </c>
      <c r="AG263" s="243">
        <f>IFERROR(_xlfn.XLOOKUP($D263,'Modelling New'!$D:$D,'Modelling New'!$AE:$AE),"")</f>
        <v>0.995</v>
      </c>
      <c r="AH263" s="243">
        <f>IFERROR(_xlfn.XLOOKUP($D263,'Modelling New'!$D:$D,'Modelling New'!$AF:$AF),"")</f>
        <v>0.995</v>
      </c>
      <c r="AI263" s="234"/>
      <c r="AJ263" s="234"/>
      <c r="AK263" s="234"/>
      <c r="AL263" s="234"/>
      <c r="AM263" s="234"/>
      <c r="AN263" s="244"/>
      <c r="AO263" s="241"/>
      <c r="AP263" s="241"/>
      <c r="AQ263" s="241"/>
      <c r="AR263" s="233">
        <f>_xlfn.XLOOKUP($D263,'Modelling New'!$D:$D,'Modelling New'!$N:$N)</f>
        <v>87.8</v>
      </c>
      <c r="AS263" s="233">
        <f t="shared" si="23"/>
        <v>0</v>
      </c>
    </row>
    <row r="264" spans="1:45">
      <c r="A264" s="232">
        <f t="shared" si="24"/>
        <v>46101</v>
      </c>
      <c r="B264" s="233">
        <f>YEAR(Daily_KPI[[#This Row],[Date]])+IF(MONTH(Daily_KPI[[#This Row],[Date]])&gt;=4,1,0)</f>
        <v>2026</v>
      </c>
      <c r="C264" s="234">
        <f>YEAR(Daily_KPI[[#This Row],[Date]])</f>
        <v>2026</v>
      </c>
      <c r="D264" s="235">
        <f>Daily_KPI[[#This Row],[Date]]-DAY(Daily_KPI[[#This Row],[Date]])+1</f>
        <v>46082</v>
      </c>
      <c r="E264" s="234">
        <f t="shared" si="20"/>
        <v>31</v>
      </c>
      <c r="F264" s="236">
        <f>IFERROR(_xlfn.XLOOKUP($A264,Input_Raw!$A:$A,Input_Raw!$BM:$BM),"")</f>
        <v>0</v>
      </c>
      <c r="G264" s="237">
        <f>IFERROR(_xlfn.XLOOKUP($A264,Input_Raw!$A:$A,Input_Raw!$AN:$AN),"")</f>
        <v>0</v>
      </c>
      <c r="H264" s="237"/>
      <c r="I264" s="237">
        <f>IFERROR(_xlfn.XLOOKUP($A264,Input_Raw!$A:$A,Input_Raw!$AM:$AM),"")</f>
        <v>0</v>
      </c>
      <c r="J264" s="237"/>
      <c r="K264" s="237">
        <f>IFERROR(_xlfn.XLOOKUP($A264,Input_Raw!$A:$A,Input_Raw!AO:AO),"")</f>
        <v>0</v>
      </c>
      <c r="L264" s="237">
        <f>IFERROR(_xlfn.XLOOKUP($A264,Input_Raw!$A:$A,Input_Raw!AP:AP),"")</f>
        <v>0</v>
      </c>
      <c r="M264" s="237">
        <f>IFERROR(_xlfn.XLOOKUP($A264,Input_Raw!$A:$A,Input_Raw!AS:AS),"")</f>
        <v>0</v>
      </c>
      <c r="N264" s="237">
        <f>IFERROR(_xlfn.XLOOKUP($A264,Input_Raw!$A:$A,Input_Raw!AT:AT),"")</f>
        <v>0</v>
      </c>
      <c r="O264" s="238" t="str">
        <f>IFERROR(1-(SUMIF(Plant_BD!$B:$B,$A264,Plant_BD!$AL:$AL)/($AA264+SUMIF(Plant_BD!$B:$B,$A264,Plant_BD!$AL:$AL))),"")</f>
        <v/>
      </c>
      <c r="P264" s="238"/>
      <c r="Q264" s="239"/>
      <c r="R264" s="238" t="str">
        <f>IFERROR(1-(SUMIF(Grid_BD!$B:$B,$A264,Grid_BD!$V:$V)/($AA264+SUMIF(Grid_BD!$B:$B,$A264,Grid_BD!$V:$V))),"")</f>
        <v/>
      </c>
      <c r="S264" s="234"/>
      <c r="T264" s="239"/>
      <c r="U264" s="240" t="str">
        <f t="shared" si="21"/>
        <v/>
      </c>
      <c r="V264" s="240" t="str">
        <f>IFERROR(_xlfn.XLOOKUP($A264,Input_Raw!$A:$A,Input_Raw!$BS:$BS),"")</f>
        <v/>
      </c>
      <c r="W264" s="241">
        <f t="shared" si="22"/>
        <v>0</v>
      </c>
      <c r="X264" s="233">
        <f>IFERROR(_xlfn.XLOOKUP($A264,Input_Raw!$A:$A,Input_Raw!$AW:$AW),"")</f>
        <v>0</v>
      </c>
      <c r="Y264" s="233">
        <f>IFERROR(_xlfn.XLOOKUP($A264,Input_Raw!$A:$A,Input_Raw!$BN:$BN),"")</f>
        <v>0</v>
      </c>
      <c r="Z264" s="233"/>
      <c r="AA264" s="233">
        <f>IFERROR(_xlfn.XLOOKUP($A264,Input_Raw!$A:$A,Input_Raw!$BO:$BO),"")</f>
        <v>0</v>
      </c>
      <c r="AB264" s="233">
        <f>IFERROR(_xlfn.XLOOKUP($A264,Input_Raw!$A:$A,Input_Raw!$BP:$BP),"")</f>
        <v>0</v>
      </c>
      <c r="AC264" s="242">
        <f>IFERROR(_xlfn.XLOOKUP($D264,'Modelling New'!$D:$D,'Modelling New'!P:P),"")</f>
        <v>6.8774193548387093</v>
      </c>
      <c r="AD264" s="233">
        <f>IFERROR(_xlfn.XLOOKUP($D264,'Modelling New'!$D:$D,'Modelling New'!T:T)*1000,"")</f>
        <v>498365.37379619037</v>
      </c>
      <c r="AE264" s="243">
        <f>IFERROR(_xlfn.XLOOKUP($D264,'Modelling New'!$D:$D,'Modelling New'!$O:$O),"")</f>
        <v>0.82533039162869648</v>
      </c>
      <c r="AF264" s="243">
        <f>IFERROR(_xlfn.XLOOKUP($D264,'Modelling New'!$D:$D,'Modelling New'!$W:$W),"")</f>
        <v>0.23650596706349206</v>
      </c>
      <c r="AG264" s="243">
        <f>IFERROR(_xlfn.XLOOKUP($D264,'Modelling New'!$D:$D,'Modelling New'!$AE:$AE),"")</f>
        <v>0.995</v>
      </c>
      <c r="AH264" s="243">
        <f>IFERROR(_xlfn.XLOOKUP($D264,'Modelling New'!$D:$D,'Modelling New'!$AF:$AF),"")</f>
        <v>0.995</v>
      </c>
      <c r="AI264" s="234"/>
      <c r="AJ264" s="234"/>
      <c r="AK264" s="234"/>
      <c r="AL264" s="234"/>
      <c r="AM264" s="234"/>
      <c r="AN264" s="244"/>
      <c r="AO264" s="241"/>
      <c r="AP264" s="241"/>
      <c r="AQ264" s="241"/>
      <c r="AR264" s="233">
        <f>_xlfn.XLOOKUP($D264,'Modelling New'!$D:$D,'Modelling New'!$N:$N)</f>
        <v>87.8</v>
      </c>
      <c r="AS264" s="233">
        <f t="shared" si="23"/>
        <v>0</v>
      </c>
    </row>
    <row r="265" spans="1:45">
      <c r="A265" s="232">
        <f t="shared" si="24"/>
        <v>46102</v>
      </c>
      <c r="B265" s="233">
        <f>YEAR(Daily_KPI[[#This Row],[Date]])+IF(MONTH(Daily_KPI[[#This Row],[Date]])&gt;=4,1,0)</f>
        <v>2026</v>
      </c>
      <c r="C265" s="234">
        <f>YEAR(Daily_KPI[[#This Row],[Date]])</f>
        <v>2026</v>
      </c>
      <c r="D265" s="235">
        <f>Daily_KPI[[#This Row],[Date]]-DAY(Daily_KPI[[#This Row],[Date]])+1</f>
        <v>46082</v>
      </c>
      <c r="E265" s="234">
        <f t="shared" si="20"/>
        <v>31</v>
      </c>
      <c r="F265" s="236">
        <f>IFERROR(_xlfn.XLOOKUP($A265,Input_Raw!$A:$A,Input_Raw!$BM:$BM),"")</f>
        <v>0</v>
      </c>
      <c r="G265" s="237">
        <f>IFERROR(_xlfn.XLOOKUP($A265,Input_Raw!$A:$A,Input_Raw!$AN:$AN),"")</f>
        <v>0</v>
      </c>
      <c r="H265" s="237"/>
      <c r="I265" s="237">
        <f>IFERROR(_xlfn.XLOOKUP($A265,Input_Raw!$A:$A,Input_Raw!$AM:$AM),"")</f>
        <v>0</v>
      </c>
      <c r="J265" s="237"/>
      <c r="K265" s="237">
        <f>IFERROR(_xlfn.XLOOKUP($A265,Input_Raw!$A:$A,Input_Raw!AO:AO),"")</f>
        <v>0</v>
      </c>
      <c r="L265" s="237">
        <f>IFERROR(_xlfn.XLOOKUP($A265,Input_Raw!$A:$A,Input_Raw!AP:AP),"")</f>
        <v>0</v>
      </c>
      <c r="M265" s="237">
        <f>IFERROR(_xlfn.XLOOKUP($A265,Input_Raw!$A:$A,Input_Raw!AS:AS),"")</f>
        <v>0</v>
      </c>
      <c r="N265" s="237">
        <f>IFERROR(_xlfn.XLOOKUP($A265,Input_Raw!$A:$A,Input_Raw!AT:AT),"")</f>
        <v>0</v>
      </c>
      <c r="O265" s="238" t="str">
        <f>IFERROR(1-(SUMIF(Plant_BD!$B:$B,$A265,Plant_BD!$AL:$AL)/($AA265+SUMIF(Plant_BD!$B:$B,$A265,Plant_BD!$AL:$AL))),"")</f>
        <v/>
      </c>
      <c r="P265" s="238"/>
      <c r="Q265" s="239"/>
      <c r="R265" s="238" t="str">
        <f>IFERROR(1-(SUMIF(Grid_BD!$B:$B,$A265,Grid_BD!$V:$V)/($AA265+SUMIF(Grid_BD!$B:$B,$A265,Grid_BD!$V:$V))),"")</f>
        <v/>
      </c>
      <c r="S265" s="234"/>
      <c r="T265" s="239"/>
      <c r="U265" s="240" t="str">
        <f t="shared" si="21"/>
        <v/>
      </c>
      <c r="V265" s="240" t="str">
        <f>IFERROR(_xlfn.XLOOKUP($A265,Input_Raw!$A:$A,Input_Raw!$BS:$BS),"")</f>
        <v/>
      </c>
      <c r="W265" s="241">
        <f t="shared" si="22"/>
        <v>0</v>
      </c>
      <c r="X265" s="233">
        <f>IFERROR(_xlfn.XLOOKUP($A265,Input_Raw!$A:$A,Input_Raw!$AW:$AW),"")</f>
        <v>0</v>
      </c>
      <c r="Y265" s="233">
        <f>IFERROR(_xlfn.XLOOKUP($A265,Input_Raw!$A:$A,Input_Raw!$BN:$BN),"")</f>
        <v>0</v>
      </c>
      <c r="Z265" s="233"/>
      <c r="AA265" s="233">
        <f>IFERROR(_xlfn.XLOOKUP($A265,Input_Raw!$A:$A,Input_Raw!$BO:$BO),"")</f>
        <v>0</v>
      </c>
      <c r="AB265" s="233">
        <f>IFERROR(_xlfn.XLOOKUP($A265,Input_Raw!$A:$A,Input_Raw!$BP:$BP),"")</f>
        <v>0</v>
      </c>
      <c r="AC265" s="242">
        <f>IFERROR(_xlfn.XLOOKUP($D265,'Modelling New'!$D:$D,'Modelling New'!P:P),"")</f>
        <v>6.8774193548387093</v>
      </c>
      <c r="AD265" s="233">
        <f>IFERROR(_xlfn.XLOOKUP($D265,'Modelling New'!$D:$D,'Modelling New'!T:T)*1000,"")</f>
        <v>498365.37379619037</v>
      </c>
      <c r="AE265" s="243">
        <f>IFERROR(_xlfn.XLOOKUP($D265,'Modelling New'!$D:$D,'Modelling New'!$O:$O),"")</f>
        <v>0.82533039162869648</v>
      </c>
      <c r="AF265" s="243">
        <f>IFERROR(_xlfn.XLOOKUP($D265,'Modelling New'!$D:$D,'Modelling New'!$W:$W),"")</f>
        <v>0.23650596706349206</v>
      </c>
      <c r="AG265" s="243">
        <f>IFERROR(_xlfn.XLOOKUP($D265,'Modelling New'!$D:$D,'Modelling New'!$AE:$AE),"")</f>
        <v>0.995</v>
      </c>
      <c r="AH265" s="243">
        <f>IFERROR(_xlfn.XLOOKUP($D265,'Modelling New'!$D:$D,'Modelling New'!$AF:$AF),"")</f>
        <v>0.995</v>
      </c>
      <c r="AI265" s="234"/>
      <c r="AJ265" s="234"/>
      <c r="AK265" s="234"/>
      <c r="AL265" s="234"/>
      <c r="AM265" s="234"/>
      <c r="AN265" s="244"/>
      <c r="AO265" s="241"/>
      <c r="AP265" s="241"/>
      <c r="AQ265" s="241"/>
      <c r="AR265" s="233">
        <f>_xlfn.XLOOKUP($D265,'Modelling New'!$D:$D,'Modelling New'!$N:$N)</f>
        <v>87.8</v>
      </c>
      <c r="AS265" s="233">
        <f t="shared" si="23"/>
        <v>0</v>
      </c>
    </row>
    <row r="266" spans="1:45">
      <c r="A266" s="232">
        <f t="shared" si="24"/>
        <v>46103</v>
      </c>
      <c r="B266" s="233">
        <f>YEAR(Daily_KPI[[#This Row],[Date]])+IF(MONTH(Daily_KPI[[#This Row],[Date]])&gt;=4,1,0)</f>
        <v>2026</v>
      </c>
      <c r="C266" s="234">
        <f>YEAR(Daily_KPI[[#This Row],[Date]])</f>
        <v>2026</v>
      </c>
      <c r="D266" s="235">
        <f>Daily_KPI[[#This Row],[Date]]-DAY(Daily_KPI[[#This Row],[Date]])+1</f>
        <v>46082</v>
      </c>
      <c r="E266" s="234">
        <f t="shared" ref="E266:E329" si="25">DAY(EOMONTH(A266,0))</f>
        <v>31</v>
      </c>
      <c r="F266" s="236">
        <f>IFERROR(_xlfn.XLOOKUP($A266,Input_Raw!$A:$A,Input_Raw!$BM:$BM),"")</f>
        <v>0</v>
      </c>
      <c r="G266" s="237">
        <f>IFERROR(_xlfn.XLOOKUP($A266,Input_Raw!$A:$A,Input_Raw!$AN:$AN),"")</f>
        <v>0</v>
      </c>
      <c r="H266" s="237"/>
      <c r="I266" s="237">
        <f>IFERROR(_xlfn.XLOOKUP($A266,Input_Raw!$A:$A,Input_Raw!$AM:$AM),"")</f>
        <v>0</v>
      </c>
      <c r="J266" s="237"/>
      <c r="K266" s="237">
        <f>IFERROR(_xlfn.XLOOKUP($A266,Input_Raw!$A:$A,Input_Raw!AO:AO),"")</f>
        <v>0</v>
      </c>
      <c r="L266" s="237">
        <f>IFERROR(_xlfn.XLOOKUP($A266,Input_Raw!$A:$A,Input_Raw!AP:AP),"")</f>
        <v>0</v>
      </c>
      <c r="M266" s="237">
        <f>IFERROR(_xlfn.XLOOKUP($A266,Input_Raw!$A:$A,Input_Raw!AS:AS),"")</f>
        <v>0</v>
      </c>
      <c r="N266" s="237">
        <f>IFERROR(_xlfn.XLOOKUP($A266,Input_Raw!$A:$A,Input_Raw!AT:AT),"")</f>
        <v>0</v>
      </c>
      <c r="O266" s="238" t="str">
        <f>IFERROR(1-(SUMIF(Plant_BD!$B:$B,$A266,Plant_BD!$AL:$AL)/($AA266+SUMIF(Plant_BD!$B:$B,$A266,Plant_BD!$AL:$AL))),"")</f>
        <v/>
      </c>
      <c r="P266" s="238"/>
      <c r="Q266" s="239"/>
      <c r="R266" s="238" t="str">
        <f>IFERROR(1-(SUMIF(Grid_BD!$B:$B,$A266,Grid_BD!$V:$V)/($AA266+SUMIF(Grid_BD!$B:$B,$A266,Grid_BD!$V:$V))),"")</f>
        <v/>
      </c>
      <c r="S266" s="234"/>
      <c r="T266" s="239"/>
      <c r="U266" s="240" t="str">
        <f t="shared" ref="U266:U329" si="26">IFERROR(AA266/I266/AB266/1000,"")</f>
        <v/>
      </c>
      <c r="V266" s="240" t="str">
        <f>IFERROR(_xlfn.XLOOKUP($A266,Input_Raw!$A:$A,Input_Raw!$BS:$BS),"")</f>
        <v/>
      </c>
      <c r="W266" s="241">
        <f t="shared" ref="W266:W329" si="27">IFERROR(AA266/(24*AR266*1000),"")</f>
        <v>0</v>
      </c>
      <c r="X266" s="233">
        <f>IFERROR(_xlfn.XLOOKUP($A266,Input_Raw!$A:$A,Input_Raw!$AW:$AW),"")</f>
        <v>0</v>
      </c>
      <c r="Y266" s="233">
        <f>IFERROR(_xlfn.XLOOKUP($A266,Input_Raw!$A:$A,Input_Raw!$BN:$BN),"")</f>
        <v>0</v>
      </c>
      <c r="Z266" s="233"/>
      <c r="AA266" s="233">
        <f>IFERROR(_xlfn.XLOOKUP($A266,Input_Raw!$A:$A,Input_Raw!$BO:$BO),"")</f>
        <v>0</v>
      </c>
      <c r="AB266" s="233">
        <f>IFERROR(_xlfn.XLOOKUP($A266,Input_Raw!$A:$A,Input_Raw!$BP:$BP),"")</f>
        <v>0</v>
      </c>
      <c r="AC266" s="242">
        <f>IFERROR(_xlfn.XLOOKUP($D266,'Modelling New'!$D:$D,'Modelling New'!P:P),"")</f>
        <v>6.8774193548387093</v>
      </c>
      <c r="AD266" s="233">
        <f>IFERROR(_xlfn.XLOOKUP($D266,'Modelling New'!$D:$D,'Modelling New'!T:T)*1000,"")</f>
        <v>498365.37379619037</v>
      </c>
      <c r="AE266" s="243">
        <f>IFERROR(_xlfn.XLOOKUP($D266,'Modelling New'!$D:$D,'Modelling New'!$O:$O),"")</f>
        <v>0.82533039162869648</v>
      </c>
      <c r="AF266" s="243">
        <f>IFERROR(_xlfn.XLOOKUP($D266,'Modelling New'!$D:$D,'Modelling New'!$W:$W),"")</f>
        <v>0.23650596706349206</v>
      </c>
      <c r="AG266" s="243">
        <f>IFERROR(_xlfn.XLOOKUP($D266,'Modelling New'!$D:$D,'Modelling New'!$AE:$AE),"")</f>
        <v>0.995</v>
      </c>
      <c r="AH266" s="243">
        <f>IFERROR(_xlfn.XLOOKUP($D266,'Modelling New'!$D:$D,'Modelling New'!$AF:$AF),"")</f>
        <v>0.995</v>
      </c>
      <c r="AI266" s="234"/>
      <c r="AJ266" s="234"/>
      <c r="AK266" s="234"/>
      <c r="AL266" s="234"/>
      <c r="AM266" s="234"/>
      <c r="AN266" s="244"/>
      <c r="AO266" s="241"/>
      <c r="AP266" s="241"/>
      <c r="AQ266" s="241"/>
      <c r="AR266" s="233">
        <f>_xlfn.XLOOKUP($D266,'Modelling New'!$D:$D,'Modelling New'!$N:$N)</f>
        <v>87.8</v>
      </c>
      <c r="AS266" s="233">
        <f t="shared" ref="AS266:AS329" si="28">IFERROR((AD266/AR266)*AB266,"")</f>
        <v>0</v>
      </c>
    </row>
    <row r="267" spans="1:45">
      <c r="A267" s="232">
        <f t="shared" si="24"/>
        <v>46104</v>
      </c>
      <c r="B267" s="233">
        <f>YEAR(Daily_KPI[[#This Row],[Date]])+IF(MONTH(Daily_KPI[[#This Row],[Date]])&gt;=4,1,0)</f>
        <v>2026</v>
      </c>
      <c r="C267" s="234">
        <f>YEAR(Daily_KPI[[#This Row],[Date]])</f>
        <v>2026</v>
      </c>
      <c r="D267" s="235">
        <f>Daily_KPI[[#This Row],[Date]]-DAY(Daily_KPI[[#This Row],[Date]])+1</f>
        <v>46082</v>
      </c>
      <c r="E267" s="234">
        <f t="shared" si="25"/>
        <v>31</v>
      </c>
      <c r="F267" s="236">
        <f>IFERROR(_xlfn.XLOOKUP($A267,Input_Raw!$A:$A,Input_Raw!$BM:$BM),"")</f>
        <v>0</v>
      </c>
      <c r="G267" s="237">
        <f>IFERROR(_xlfn.XLOOKUP($A267,Input_Raw!$A:$A,Input_Raw!$AN:$AN),"")</f>
        <v>0</v>
      </c>
      <c r="H267" s="237"/>
      <c r="I267" s="237">
        <f>IFERROR(_xlfn.XLOOKUP($A267,Input_Raw!$A:$A,Input_Raw!$AM:$AM),"")</f>
        <v>0</v>
      </c>
      <c r="J267" s="237"/>
      <c r="K267" s="237">
        <f>IFERROR(_xlfn.XLOOKUP($A267,Input_Raw!$A:$A,Input_Raw!AO:AO),"")</f>
        <v>0</v>
      </c>
      <c r="L267" s="237">
        <f>IFERROR(_xlfn.XLOOKUP($A267,Input_Raw!$A:$A,Input_Raw!AP:AP),"")</f>
        <v>0</v>
      </c>
      <c r="M267" s="237">
        <f>IFERROR(_xlfn.XLOOKUP($A267,Input_Raw!$A:$A,Input_Raw!AS:AS),"")</f>
        <v>0</v>
      </c>
      <c r="N267" s="237">
        <f>IFERROR(_xlfn.XLOOKUP($A267,Input_Raw!$A:$A,Input_Raw!AT:AT),"")</f>
        <v>0</v>
      </c>
      <c r="O267" s="238" t="str">
        <f>IFERROR(1-(SUMIF(Plant_BD!$B:$B,$A267,Plant_BD!$AL:$AL)/($AA267+SUMIF(Plant_BD!$B:$B,$A267,Plant_BD!$AL:$AL))),"")</f>
        <v/>
      </c>
      <c r="P267" s="238"/>
      <c r="Q267" s="239"/>
      <c r="R267" s="238" t="str">
        <f>IFERROR(1-(SUMIF(Grid_BD!$B:$B,$A267,Grid_BD!$V:$V)/($AA267+SUMIF(Grid_BD!$B:$B,$A267,Grid_BD!$V:$V))),"")</f>
        <v/>
      </c>
      <c r="S267" s="234"/>
      <c r="T267" s="239"/>
      <c r="U267" s="240" t="str">
        <f t="shared" si="26"/>
        <v/>
      </c>
      <c r="V267" s="240" t="str">
        <f>IFERROR(_xlfn.XLOOKUP($A267,Input_Raw!$A:$A,Input_Raw!$BS:$BS),"")</f>
        <v/>
      </c>
      <c r="W267" s="241">
        <f t="shared" si="27"/>
        <v>0</v>
      </c>
      <c r="X267" s="233">
        <f>IFERROR(_xlfn.XLOOKUP($A267,Input_Raw!$A:$A,Input_Raw!$AW:$AW),"")</f>
        <v>0</v>
      </c>
      <c r="Y267" s="233">
        <f>IFERROR(_xlfn.XLOOKUP($A267,Input_Raw!$A:$A,Input_Raw!$BN:$BN),"")</f>
        <v>0</v>
      </c>
      <c r="Z267" s="233"/>
      <c r="AA267" s="233">
        <f>IFERROR(_xlfn.XLOOKUP($A267,Input_Raw!$A:$A,Input_Raw!$BO:$BO),"")</f>
        <v>0</v>
      </c>
      <c r="AB267" s="233">
        <f>IFERROR(_xlfn.XLOOKUP($A267,Input_Raw!$A:$A,Input_Raw!$BP:$BP),"")</f>
        <v>0</v>
      </c>
      <c r="AC267" s="242">
        <f>IFERROR(_xlfn.XLOOKUP($D267,'Modelling New'!$D:$D,'Modelling New'!P:P),"")</f>
        <v>6.8774193548387093</v>
      </c>
      <c r="AD267" s="233">
        <f>IFERROR(_xlfn.XLOOKUP($D267,'Modelling New'!$D:$D,'Modelling New'!T:T)*1000,"")</f>
        <v>498365.37379619037</v>
      </c>
      <c r="AE267" s="243">
        <f>IFERROR(_xlfn.XLOOKUP($D267,'Modelling New'!$D:$D,'Modelling New'!$O:$O),"")</f>
        <v>0.82533039162869648</v>
      </c>
      <c r="AF267" s="243">
        <f>IFERROR(_xlfn.XLOOKUP($D267,'Modelling New'!$D:$D,'Modelling New'!$W:$W),"")</f>
        <v>0.23650596706349206</v>
      </c>
      <c r="AG267" s="243">
        <f>IFERROR(_xlfn.XLOOKUP($D267,'Modelling New'!$D:$D,'Modelling New'!$AE:$AE),"")</f>
        <v>0.995</v>
      </c>
      <c r="AH267" s="243">
        <f>IFERROR(_xlfn.XLOOKUP($D267,'Modelling New'!$D:$D,'Modelling New'!$AF:$AF),"")</f>
        <v>0.995</v>
      </c>
      <c r="AI267" s="234"/>
      <c r="AJ267" s="234"/>
      <c r="AK267" s="234"/>
      <c r="AL267" s="234"/>
      <c r="AM267" s="234"/>
      <c r="AN267" s="244"/>
      <c r="AO267" s="241"/>
      <c r="AP267" s="241"/>
      <c r="AQ267" s="241"/>
      <c r="AR267" s="233">
        <f>_xlfn.XLOOKUP($D267,'Modelling New'!$D:$D,'Modelling New'!$N:$N)</f>
        <v>87.8</v>
      </c>
      <c r="AS267" s="233">
        <f t="shared" si="28"/>
        <v>0</v>
      </c>
    </row>
    <row r="268" spans="1:45">
      <c r="A268" s="232">
        <f t="shared" ref="A268:A331" si="29">A267+1</f>
        <v>46105</v>
      </c>
      <c r="B268" s="233">
        <f>YEAR(Daily_KPI[[#This Row],[Date]])+IF(MONTH(Daily_KPI[[#This Row],[Date]])&gt;=4,1,0)</f>
        <v>2026</v>
      </c>
      <c r="C268" s="234">
        <f>YEAR(Daily_KPI[[#This Row],[Date]])</f>
        <v>2026</v>
      </c>
      <c r="D268" s="235">
        <f>Daily_KPI[[#This Row],[Date]]-DAY(Daily_KPI[[#This Row],[Date]])+1</f>
        <v>46082</v>
      </c>
      <c r="E268" s="234">
        <f t="shared" si="25"/>
        <v>31</v>
      </c>
      <c r="F268" s="236">
        <f>IFERROR(_xlfn.XLOOKUP($A268,Input_Raw!$A:$A,Input_Raw!$BM:$BM),"")</f>
        <v>0</v>
      </c>
      <c r="G268" s="237">
        <f>IFERROR(_xlfn.XLOOKUP($A268,Input_Raw!$A:$A,Input_Raw!$AN:$AN),"")</f>
        <v>0</v>
      </c>
      <c r="H268" s="237"/>
      <c r="I268" s="237">
        <f>IFERROR(_xlfn.XLOOKUP($A268,Input_Raw!$A:$A,Input_Raw!$AM:$AM),"")</f>
        <v>0</v>
      </c>
      <c r="J268" s="237"/>
      <c r="K268" s="237">
        <f>IFERROR(_xlfn.XLOOKUP($A268,Input_Raw!$A:$A,Input_Raw!AO:AO),"")</f>
        <v>0</v>
      </c>
      <c r="L268" s="237">
        <f>IFERROR(_xlfn.XLOOKUP($A268,Input_Raw!$A:$A,Input_Raw!AP:AP),"")</f>
        <v>0</v>
      </c>
      <c r="M268" s="237">
        <f>IFERROR(_xlfn.XLOOKUP($A268,Input_Raw!$A:$A,Input_Raw!AS:AS),"")</f>
        <v>0</v>
      </c>
      <c r="N268" s="237">
        <f>IFERROR(_xlfn.XLOOKUP($A268,Input_Raw!$A:$A,Input_Raw!AT:AT),"")</f>
        <v>0</v>
      </c>
      <c r="O268" s="238" t="str">
        <f>IFERROR(1-(SUMIF(Plant_BD!$B:$B,$A268,Plant_BD!$AL:$AL)/($AA268+SUMIF(Plant_BD!$B:$B,$A268,Plant_BD!$AL:$AL))),"")</f>
        <v/>
      </c>
      <c r="P268" s="238"/>
      <c r="Q268" s="239"/>
      <c r="R268" s="238" t="str">
        <f>IFERROR(1-(SUMIF(Grid_BD!$B:$B,$A268,Grid_BD!$V:$V)/($AA268+SUMIF(Grid_BD!$B:$B,$A268,Grid_BD!$V:$V))),"")</f>
        <v/>
      </c>
      <c r="S268" s="234"/>
      <c r="T268" s="239"/>
      <c r="U268" s="240" t="str">
        <f t="shared" si="26"/>
        <v/>
      </c>
      <c r="V268" s="240" t="str">
        <f>IFERROR(_xlfn.XLOOKUP($A268,Input_Raw!$A:$A,Input_Raw!$BS:$BS),"")</f>
        <v/>
      </c>
      <c r="W268" s="241">
        <f t="shared" si="27"/>
        <v>0</v>
      </c>
      <c r="X268" s="233">
        <f>IFERROR(_xlfn.XLOOKUP($A268,Input_Raw!$A:$A,Input_Raw!$AW:$AW),"")</f>
        <v>0</v>
      </c>
      <c r="Y268" s="233">
        <f>IFERROR(_xlfn.XLOOKUP($A268,Input_Raw!$A:$A,Input_Raw!$BN:$BN),"")</f>
        <v>0</v>
      </c>
      <c r="Z268" s="233"/>
      <c r="AA268" s="233">
        <f>IFERROR(_xlfn.XLOOKUP($A268,Input_Raw!$A:$A,Input_Raw!$BO:$BO),"")</f>
        <v>0</v>
      </c>
      <c r="AB268" s="233">
        <f>IFERROR(_xlfn.XLOOKUP($A268,Input_Raw!$A:$A,Input_Raw!$BP:$BP),"")</f>
        <v>0</v>
      </c>
      <c r="AC268" s="242">
        <f>IFERROR(_xlfn.XLOOKUP($D268,'Modelling New'!$D:$D,'Modelling New'!P:P),"")</f>
        <v>6.8774193548387093</v>
      </c>
      <c r="AD268" s="233">
        <f>IFERROR(_xlfn.XLOOKUP($D268,'Modelling New'!$D:$D,'Modelling New'!T:T)*1000,"")</f>
        <v>498365.37379619037</v>
      </c>
      <c r="AE268" s="243">
        <f>IFERROR(_xlfn.XLOOKUP($D268,'Modelling New'!$D:$D,'Modelling New'!$O:$O),"")</f>
        <v>0.82533039162869648</v>
      </c>
      <c r="AF268" s="243">
        <f>IFERROR(_xlfn.XLOOKUP($D268,'Modelling New'!$D:$D,'Modelling New'!$W:$W),"")</f>
        <v>0.23650596706349206</v>
      </c>
      <c r="AG268" s="243">
        <f>IFERROR(_xlfn.XLOOKUP($D268,'Modelling New'!$D:$D,'Modelling New'!$AE:$AE),"")</f>
        <v>0.995</v>
      </c>
      <c r="AH268" s="243">
        <f>IFERROR(_xlfn.XLOOKUP($D268,'Modelling New'!$D:$D,'Modelling New'!$AF:$AF),"")</f>
        <v>0.995</v>
      </c>
      <c r="AI268" s="234"/>
      <c r="AJ268" s="234"/>
      <c r="AK268" s="234"/>
      <c r="AL268" s="234"/>
      <c r="AM268" s="234"/>
      <c r="AN268" s="244"/>
      <c r="AO268" s="241"/>
      <c r="AP268" s="241"/>
      <c r="AQ268" s="241"/>
      <c r="AR268" s="233">
        <f>_xlfn.XLOOKUP($D268,'Modelling New'!$D:$D,'Modelling New'!$N:$N)</f>
        <v>87.8</v>
      </c>
      <c r="AS268" s="233">
        <f t="shared" si="28"/>
        <v>0</v>
      </c>
    </row>
    <row r="269" spans="1:45">
      <c r="A269" s="232">
        <f t="shared" si="29"/>
        <v>46106</v>
      </c>
      <c r="B269" s="233">
        <f>YEAR(Daily_KPI[[#This Row],[Date]])+IF(MONTH(Daily_KPI[[#This Row],[Date]])&gt;=4,1,0)</f>
        <v>2026</v>
      </c>
      <c r="C269" s="234">
        <f>YEAR(Daily_KPI[[#This Row],[Date]])</f>
        <v>2026</v>
      </c>
      <c r="D269" s="235">
        <f>Daily_KPI[[#This Row],[Date]]-DAY(Daily_KPI[[#This Row],[Date]])+1</f>
        <v>46082</v>
      </c>
      <c r="E269" s="234">
        <f t="shared" si="25"/>
        <v>31</v>
      </c>
      <c r="F269" s="236">
        <f>IFERROR(_xlfn.XLOOKUP($A269,Input_Raw!$A:$A,Input_Raw!$BM:$BM),"")</f>
        <v>0</v>
      </c>
      <c r="G269" s="237">
        <f>IFERROR(_xlfn.XLOOKUP($A269,Input_Raw!$A:$A,Input_Raw!$AN:$AN),"")</f>
        <v>0</v>
      </c>
      <c r="H269" s="237"/>
      <c r="I269" s="237">
        <f>IFERROR(_xlfn.XLOOKUP($A269,Input_Raw!$A:$A,Input_Raw!$AM:$AM),"")</f>
        <v>0</v>
      </c>
      <c r="J269" s="237"/>
      <c r="K269" s="237">
        <f>IFERROR(_xlfn.XLOOKUP($A269,Input_Raw!$A:$A,Input_Raw!AO:AO),"")</f>
        <v>0</v>
      </c>
      <c r="L269" s="237">
        <f>IFERROR(_xlfn.XLOOKUP($A269,Input_Raw!$A:$A,Input_Raw!AP:AP),"")</f>
        <v>0</v>
      </c>
      <c r="M269" s="237">
        <f>IFERROR(_xlfn.XLOOKUP($A269,Input_Raw!$A:$A,Input_Raw!AS:AS),"")</f>
        <v>0</v>
      </c>
      <c r="N269" s="237">
        <f>IFERROR(_xlfn.XLOOKUP($A269,Input_Raw!$A:$A,Input_Raw!AT:AT),"")</f>
        <v>0</v>
      </c>
      <c r="O269" s="238" t="str">
        <f>IFERROR(1-(SUMIF(Plant_BD!$B:$B,$A269,Plant_BD!$AL:$AL)/($AA269+SUMIF(Plant_BD!$B:$B,$A269,Plant_BD!$AL:$AL))),"")</f>
        <v/>
      </c>
      <c r="P269" s="238"/>
      <c r="Q269" s="239"/>
      <c r="R269" s="238" t="str">
        <f>IFERROR(1-(SUMIF(Grid_BD!$B:$B,$A269,Grid_BD!$V:$V)/($AA269+SUMIF(Grid_BD!$B:$B,$A269,Grid_BD!$V:$V))),"")</f>
        <v/>
      </c>
      <c r="S269" s="234"/>
      <c r="T269" s="239"/>
      <c r="U269" s="240" t="str">
        <f t="shared" si="26"/>
        <v/>
      </c>
      <c r="V269" s="240" t="str">
        <f>IFERROR(_xlfn.XLOOKUP($A269,Input_Raw!$A:$A,Input_Raw!$BS:$BS),"")</f>
        <v/>
      </c>
      <c r="W269" s="241">
        <f t="shared" si="27"/>
        <v>0</v>
      </c>
      <c r="X269" s="233">
        <f>IFERROR(_xlfn.XLOOKUP($A269,Input_Raw!$A:$A,Input_Raw!$AW:$AW),"")</f>
        <v>0</v>
      </c>
      <c r="Y269" s="233">
        <f>IFERROR(_xlfn.XLOOKUP($A269,Input_Raw!$A:$A,Input_Raw!$BN:$BN),"")</f>
        <v>0</v>
      </c>
      <c r="Z269" s="233"/>
      <c r="AA269" s="233">
        <f>IFERROR(_xlfn.XLOOKUP($A269,Input_Raw!$A:$A,Input_Raw!$BO:$BO),"")</f>
        <v>0</v>
      </c>
      <c r="AB269" s="233">
        <f>IFERROR(_xlfn.XLOOKUP($A269,Input_Raw!$A:$A,Input_Raw!$BP:$BP),"")</f>
        <v>0</v>
      </c>
      <c r="AC269" s="242">
        <f>IFERROR(_xlfn.XLOOKUP($D269,'Modelling New'!$D:$D,'Modelling New'!P:P),"")</f>
        <v>6.8774193548387093</v>
      </c>
      <c r="AD269" s="233">
        <f>IFERROR(_xlfn.XLOOKUP($D269,'Modelling New'!$D:$D,'Modelling New'!T:T)*1000,"")</f>
        <v>498365.37379619037</v>
      </c>
      <c r="AE269" s="243">
        <f>IFERROR(_xlfn.XLOOKUP($D269,'Modelling New'!$D:$D,'Modelling New'!$O:$O),"")</f>
        <v>0.82533039162869648</v>
      </c>
      <c r="AF269" s="243">
        <f>IFERROR(_xlfn.XLOOKUP($D269,'Modelling New'!$D:$D,'Modelling New'!$W:$W),"")</f>
        <v>0.23650596706349206</v>
      </c>
      <c r="AG269" s="243">
        <f>IFERROR(_xlfn.XLOOKUP($D269,'Modelling New'!$D:$D,'Modelling New'!$AE:$AE),"")</f>
        <v>0.995</v>
      </c>
      <c r="AH269" s="243">
        <f>IFERROR(_xlfn.XLOOKUP($D269,'Modelling New'!$D:$D,'Modelling New'!$AF:$AF),"")</f>
        <v>0.995</v>
      </c>
      <c r="AI269" s="234"/>
      <c r="AJ269" s="234"/>
      <c r="AK269" s="234"/>
      <c r="AL269" s="234"/>
      <c r="AM269" s="234"/>
      <c r="AN269" s="244"/>
      <c r="AO269" s="241"/>
      <c r="AP269" s="241"/>
      <c r="AQ269" s="241"/>
      <c r="AR269" s="233">
        <f>_xlfn.XLOOKUP($D269,'Modelling New'!$D:$D,'Modelling New'!$N:$N)</f>
        <v>87.8</v>
      </c>
      <c r="AS269" s="233">
        <f t="shared" si="28"/>
        <v>0</v>
      </c>
    </row>
    <row r="270" spans="1:45">
      <c r="A270" s="232">
        <f t="shared" si="29"/>
        <v>46107</v>
      </c>
      <c r="B270" s="233">
        <f>YEAR(Daily_KPI[[#This Row],[Date]])+IF(MONTH(Daily_KPI[[#This Row],[Date]])&gt;=4,1,0)</f>
        <v>2026</v>
      </c>
      <c r="C270" s="234">
        <f>YEAR(Daily_KPI[[#This Row],[Date]])</f>
        <v>2026</v>
      </c>
      <c r="D270" s="235">
        <f>Daily_KPI[[#This Row],[Date]]-DAY(Daily_KPI[[#This Row],[Date]])+1</f>
        <v>46082</v>
      </c>
      <c r="E270" s="234">
        <f t="shared" si="25"/>
        <v>31</v>
      </c>
      <c r="F270" s="236">
        <f>IFERROR(_xlfn.XLOOKUP($A270,Input_Raw!$A:$A,Input_Raw!$BM:$BM),"")</f>
        <v>0</v>
      </c>
      <c r="G270" s="237">
        <f>IFERROR(_xlfn.XLOOKUP($A270,Input_Raw!$A:$A,Input_Raw!$AN:$AN),"")</f>
        <v>0</v>
      </c>
      <c r="H270" s="237"/>
      <c r="I270" s="237">
        <f>IFERROR(_xlfn.XLOOKUP($A270,Input_Raw!$A:$A,Input_Raw!$AM:$AM),"")</f>
        <v>0</v>
      </c>
      <c r="J270" s="237"/>
      <c r="K270" s="237">
        <f>IFERROR(_xlfn.XLOOKUP($A270,Input_Raw!$A:$A,Input_Raw!AO:AO),"")</f>
        <v>0</v>
      </c>
      <c r="L270" s="237">
        <f>IFERROR(_xlfn.XLOOKUP($A270,Input_Raw!$A:$A,Input_Raw!AP:AP),"")</f>
        <v>0</v>
      </c>
      <c r="M270" s="237">
        <f>IFERROR(_xlfn.XLOOKUP($A270,Input_Raw!$A:$A,Input_Raw!AS:AS),"")</f>
        <v>0</v>
      </c>
      <c r="N270" s="237">
        <f>IFERROR(_xlfn.XLOOKUP($A270,Input_Raw!$A:$A,Input_Raw!AT:AT),"")</f>
        <v>0</v>
      </c>
      <c r="O270" s="238" t="str">
        <f>IFERROR(1-(SUMIF(Plant_BD!$B:$B,$A270,Plant_BD!$AL:$AL)/($AA270+SUMIF(Plant_BD!$B:$B,$A270,Plant_BD!$AL:$AL))),"")</f>
        <v/>
      </c>
      <c r="P270" s="238"/>
      <c r="Q270" s="239"/>
      <c r="R270" s="238" t="str">
        <f>IFERROR(1-(SUMIF(Grid_BD!$B:$B,$A270,Grid_BD!$V:$V)/($AA270+SUMIF(Grid_BD!$B:$B,$A270,Grid_BD!$V:$V))),"")</f>
        <v/>
      </c>
      <c r="S270" s="234"/>
      <c r="T270" s="239"/>
      <c r="U270" s="240" t="str">
        <f t="shared" si="26"/>
        <v/>
      </c>
      <c r="V270" s="240" t="str">
        <f>IFERROR(_xlfn.XLOOKUP($A270,Input_Raw!$A:$A,Input_Raw!$BS:$BS),"")</f>
        <v/>
      </c>
      <c r="W270" s="241">
        <f t="shared" si="27"/>
        <v>0</v>
      </c>
      <c r="X270" s="233">
        <f>IFERROR(_xlfn.XLOOKUP($A270,Input_Raw!$A:$A,Input_Raw!$AW:$AW),"")</f>
        <v>0</v>
      </c>
      <c r="Y270" s="233">
        <f>IFERROR(_xlfn.XLOOKUP($A270,Input_Raw!$A:$A,Input_Raw!$BN:$BN),"")</f>
        <v>0</v>
      </c>
      <c r="Z270" s="233"/>
      <c r="AA270" s="233">
        <f>IFERROR(_xlfn.XLOOKUP($A270,Input_Raw!$A:$A,Input_Raw!$BO:$BO),"")</f>
        <v>0</v>
      </c>
      <c r="AB270" s="233">
        <f>IFERROR(_xlfn.XLOOKUP($A270,Input_Raw!$A:$A,Input_Raw!$BP:$BP),"")</f>
        <v>0</v>
      </c>
      <c r="AC270" s="242">
        <f>IFERROR(_xlfn.XLOOKUP($D270,'Modelling New'!$D:$D,'Modelling New'!P:P),"")</f>
        <v>6.8774193548387093</v>
      </c>
      <c r="AD270" s="233">
        <f>IFERROR(_xlfn.XLOOKUP($D270,'Modelling New'!$D:$D,'Modelling New'!T:T)*1000,"")</f>
        <v>498365.37379619037</v>
      </c>
      <c r="AE270" s="243">
        <f>IFERROR(_xlfn.XLOOKUP($D270,'Modelling New'!$D:$D,'Modelling New'!$O:$O),"")</f>
        <v>0.82533039162869648</v>
      </c>
      <c r="AF270" s="243">
        <f>IFERROR(_xlfn.XLOOKUP($D270,'Modelling New'!$D:$D,'Modelling New'!$W:$W),"")</f>
        <v>0.23650596706349206</v>
      </c>
      <c r="AG270" s="243">
        <f>IFERROR(_xlfn.XLOOKUP($D270,'Modelling New'!$D:$D,'Modelling New'!$AE:$AE),"")</f>
        <v>0.995</v>
      </c>
      <c r="AH270" s="243">
        <f>IFERROR(_xlfn.XLOOKUP($D270,'Modelling New'!$D:$D,'Modelling New'!$AF:$AF),"")</f>
        <v>0.995</v>
      </c>
      <c r="AI270" s="234"/>
      <c r="AJ270" s="234"/>
      <c r="AK270" s="234"/>
      <c r="AL270" s="234"/>
      <c r="AM270" s="234"/>
      <c r="AN270" s="244"/>
      <c r="AO270" s="241"/>
      <c r="AP270" s="241"/>
      <c r="AQ270" s="241"/>
      <c r="AR270" s="233">
        <f>_xlfn.XLOOKUP($D270,'Modelling New'!$D:$D,'Modelling New'!$N:$N)</f>
        <v>87.8</v>
      </c>
      <c r="AS270" s="233">
        <f t="shared" si="28"/>
        <v>0</v>
      </c>
    </row>
    <row r="271" spans="1:45">
      <c r="A271" s="232">
        <f t="shared" si="29"/>
        <v>46108</v>
      </c>
      <c r="B271" s="233">
        <f>YEAR(Daily_KPI[[#This Row],[Date]])+IF(MONTH(Daily_KPI[[#This Row],[Date]])&gt;=4,1,0)</f>
        <v>2026</v>
      </c>
      <c r="C271" s="234">
        <f>YEAR(Daily_KPI[[#This Row],[Date]])</f>
        <v>2026</v>
      </c>
      <c r="D271" s="235">
        <f>Daily_KPI[[#This Row],[Date]]-DAY(Daily_KPI[[#This Row],[Date]])+1</f>
        <v>46082</v>
      </c>
      <c r="E271" s="234">
        <f t="shared" si="25"/>
        <v>31</v>
      </c>
      <c r="F271" s="236">
        <f>IFERROR(_xlfn.XLOOKUP($A271,Input_Raw!$A:$A,Input_Raw!$BM:$BM),"")</f>
        <v>0</v>
      </c>
      <c r="G271" s="237">
        <f>IFERROR(_xlfn.XLOOKUP($A271,Input_Raw!$A:$A,Input_Raw!$AN:$AN),"")</f>
        <v>0</v>
      </c>
      <c r="H271" s="237"/>
      <c r="I271" s="237">
        <f>IFERROR(_xlfn.XLOOKUP($A271,Input_Raw!$A:$A,Input_Raw!$AM:$AM),"")</f>
        <v>0</v>
      </c>
      <c r="J271" s="237"/>
      <c r="K271" s="237">
        <f>IFERROR(_xlfn.XLOOKUP($A271,Input_Raw!$A:$A,Input_Raw!AO:AO),"")</f>
        <v>0</v>
      </c>
      <c r="L271" s="237">
        <f>IFERROR(_xlfn.XLOOKUP($A271,Input_Raw!$A:$A,Input_Raw!AP:AP),"")</f>
        <v>0</v>
      </c>
      <c r="M271" s="237">
        <f>IFERROR(_xlfn.XLOOKUP($A271,Input_Raw!$A:$A,Input_Raw!AS:AS),"")</f>
        <v>0</v>
      </c>
      <c r="N271" s="237">
        <f>IFERROR(_xlfn.XLOOKUP($A271,Input_Raw!$A:$A,Input_Raw!AT:AT),"")</f>
        <v>0</v>
      </c>
      <c r="O271" s="238" t="str">
        <f>IFERROR(1-(SUMIF(Plant_BD!$B:$B,$A271,Plant_BD!$AL:$AL)/($AA271+SUMIF(Plant_BD!$B:$B,$A271,Plant_BD!$AL:$AL))),"")</f>
        <v/>
      </c>
      <c r="P271" s="238"/>
      <c r="Q271" s="239"/>
      <c r="R271" s="238" t="str">
        <f>IFERROR(1-(SUMIF(Grid_BD!$B:$B,$A271,Grid_BD!$V:$V)/($AA271+SUMIF(Grid_BD!$B:$B,$A271,Grid_BD!$V:$V))),"")</f>
        <v/>
      </c>
      <c r="S271" s="234"/>
      <c r="T271" s="239"/>
      <c r="U271" s="240" t="str">
        <f t="shared" si="26"/>
        <v/>
      </c>
      <c r="V271" s="240" t="str">
        <f>IFERROR(_xlfn.XLOOKUP($A271,Input_Raw!$A:$A,Input_Raw!$BS:$BS),"")</f>
        <v/>
      </c>
      <c r="W271" s="241">
        <f t="shared" si="27"/>
        <v>0</v>
      </c>
      <c r="X271" s="233">
        <f>IFERROR(_xlfn.XLOOKUP($A271,Input_Raw!$A:$A,Input_Raw!$AW:$AW),"")</f>
        <v>0</v>
      </c>
      <c r="Y271" s="233">
        <f>IFERROR(_xlfn.XLOOKUP($A271,Input_Raw!$A:$A,Input_Raw!$BN:$BN),"")</f>
        <v>0</v>
      </c>
      <c r="Z271" s="233"/>
      <c r="AA271" s="233">
        <f>IFERROR(_xlfn.XLOOKUP($A271,Input_Raw!$A:$A,Input_Raw!$BO:$BO),"")</f>
        <v>0</v>
      </c>
      <c r="AB271" s="233">
        <f>IFERROR(_xlfn.XLOOKUP($A271,Input_Raw!$A:$A,Input_Raw!$BP:$BP),"")</f>
        <v>0</v>
      </c>
      <c r="AC271" s="242">
        <f>IFERROR(_xlfn.XLOOKUP($D271,'Modelling New'!$D:$D,'Modelling New'!P:P),"")</f>
        <v>6.8774193548387093</v>
      </c>
      <c r="AD271" s="233">
        <f>IFERROR(_xlfn.XLOOKUP($D271,'Modelling New'!$D:$D,'Modelling New'!T:T)*1000,"")</f>
        <v>498365.37379619037</v>
      </c>
      <c r="AE271" s="243">
        <f>IFERROR(_xlfn.XLOOKUP($D271,'Modelling New'!$D:$D,'Modelling New'!$O:$O),"")</f>
        <v>0.82533039162869648</v>
      </c>
      <c r="AF271" s="243">
        <f>IFERROR(_xlfn.XLOOKUP($D271,'Modelling New'!$D:$D,'Modelling New'!$W:$W),"")</f>
        <v>0.23650596706349206</v>
      </c>
      <c r="AG271" s="243">
        <f>IFERROR(_xlfn.XLOOKUP($D271,'Modelling New'!$D:$D,'Modelling New'!$AE:$AE),"")</f>
        <v>0.995</v>
      </c>
      <c r="AH271" s="243">
        <f>IFERROR(_xlfn.XLOOKUP($D271,'Modelling New'!$D:$D,'Modelling New'!$AF:$AF),"")</f>
        <v>0.995</v>
      </c>
      <c r="AI271" s="234"/>
      <c r="AJ271" s="234"/>
      <c r="AK271" s="234"/>
      <c r="AL271" s="234"/>
      <c r="AM271" s="234"/>
      <c r="AN271" s="244"/>
      <c r="AO271" s="241"/>
      <c r="AP271" s="241"/>
      <c r="AQ271" s="241"/>
      <c r="AR271" s="233">
        <f>_xlfn.XLOOKUP($D271,'Modelling New'!$D:$D,'Modelling New'!$N:$N)</f>
        <v>87.8</v>
      </c>
      <c r="AS271" s="233">
        <f t="shared" si="28"/>
        <v>0</v>
      </c>
    </row>
    <row r="272" spans="1:45">
      <c r="A272" s="232">
        <f t="shared" si="29"/>
        <v>46109</v>
      </c>
      <c r="B272" s="233">
        <f>YEAR(Daily_KPI[[#This Row],[Date]])+IF(MONTH(Daily_KPI[[#This Row],[Date]])&gt;=4,1,0)</f>
        <v>2026</v>
      </c>
      <c r="C272" s="234">
        <f>YEAR(Daily_KPI[[#This Row],[Date]])</f>
        <v>2026</v>
      </c>
      <c r="D272" s="235">
        <f>Daily_KPI[[#This Row],[Date]]-DAY(Daily_KPI[[#This Row],[Date]])+1</f>
        <v>46082</v>
      </c>
      <c r="E272" s="234">
        <f t="shared" si="25"/>
        <v>31</v>
      </c>
      <c r="F272" s="236">
        <f>IFERROR(_xlfn.XLOOKUP($A272,Input_Raw!$A:$A,Input_Raw!$BM:$BM),"")</f>
        <v>0</v>
      </c>
      <c r="G272" s="237">
        <f>IFERROR(_xlfn.XLOOKUP($A272,Input_Raw!$A:$A,Input_Raw!$AN:$AN),"")</f>
        <v>0</v>
      </c>
      <c r="H272" s="237"/>
      <c r="I272" s="237">
        <f>IFERROR(_xlfn.XLOOKUP($A272,Input_Raw!$A:$A,Input_Raw!$AM:$AM),"")</f>
        <v>0</v>
      </c>
      <c r="J272" s="237"/>
      <c r="K272" s="237">
        <f>IFERROR(_xlfn.XLOOKUP($A272,Input_Raw!$A:$A,Input_Raw!AO:AO),"")</f>
        <v>0</v>
      </c>
      <c r="L272" s="237">
        <f>IFERROR(_xlfn.XLOOKUP($A272,Input_Raw!$A:$A,Input_Raw!AP:AP),"")</f>
        <v>0</v>
      </c>
      <c r="M272" s="237">
        <f>IFERROR(_xlfn.XLOOKUP($A272,Input_Raw!$A:$A,Input_Raw!AS:AS),"")</f>
        <v>0</v>
      </c>
      <c r="N272" s="237">
        <f>IFERROR(_xlfn.XLOOKUP($A272,Input_Raw!$A:$A,Input_Raw!AT:AT),"")</f>
        <v>0</v>
      </c>
      <c r="O272" s="238" t="str">
        <f>IFERROR(1-(SUMIF(Plant_BD!$B:$B,$A272,Plant_BD!$AL:$AL)/($AA272+SUMIF(Plant_BD!$B:$B,$A272,Plant_BD!$AL:$AL))),"")</f>
        <v/>
      </c>
      <c r="P272" s="238"/>
      <c r="Q272" s="239"/>
      <c r="R272" s="238" t="str">
        <f>IFERROR(1-(SUMIF(Grid_BD!$B:$B,$A272,Grid_BD!$V:$V)/($AA272+SUMIF(Grid_BD!$B:$B,$A272,Grid_BD!$V:$V))),"")</f>
        <v/>
      </c>
      <c r="S272" s="234"/>
      <c r="T272" s="239"/>
      <c r="U272" s="240" t="str">
        <f t="shared" si="26"/>
        <v/>
      </c>
      <c r="V272" s="240" t="str">
        <f>IFERROR(_xlfn.XLOOKUP($A272,Input_Raw!$A:$A,Input_Raw!$BS:$BS),"")</f>
        <v/>
      </c>
      <c r="W272" s="241">
        <f t="shared" si="27"/>
        <v>0</v>
      </c>
      <c r="X272" s="233">
        <f>IFERROR(_xlfn.XLOOKUP($A272,Input_Raw!$A:$A,Input_Raw!$AW:$AW),"")</f>
        <v>0</v>
      </c>
      <c r="Y272" s="233">
        <f>IFERROR(_xlfn.XLOOKUP($A272,Input_Raw!$A:$A,Input_Raw!$BN:$BN),"")</f>
        <v>0</v>
      </c>
      <c r="Z272" s="233"/>
      <c r="AA272" s="233">
        <f>IFERROR(_xlfn.XLOOKUP($A272,Input_Raw!$A:$A,Input_Raw!$BO:$BO),"")</f>
        <v>0</v>
      </c>
      <c r="AB272" s="233">
        <f>IFERROR(_xlfn.XLOOKUP($A272,Input_Raw!$A:$A,Input_Raw!$BP:$BP),"")</f>
        <v>0</v>
      </c>
      <c r="AC272" s="242">
        <f>IFERROR(_xlfn.XLOOKUP($D272,'Modelling New'!$D:$D,'Modelling New'!P:P),"")</f>
        <v>6.8774193548387093</v>
      </c>
      <c r="AD272" s="233">
        <f>IFERROR(_xlfn.XLOOKUP($D272,'Modelling New'!$D:$D,'Modelling New'!T:T)*1000,"")</f>
        <v>498365.37379619037</v>
      </c>
      <c r="AE272" s="243">
        <f>IFERROR(_xlfn.XLOOKUP($D272,'Modelling New'!$D:$D,'Modelling New'!$O:$O),"")</f>
        <v>0.82533039162869648</v>
      </c>
      <c r="AF272" s="243">
        <f>IFERROR(_xlfn.XLOOKUP($D272,'Modelling New'!$D:$D,'Modelling New'!$W:$W),"")</f>
        <v>0.23650596706349206</v>
      </c>
      <c r="AG272" s="243">
        <f>IFERROR(_xlfn.XLOOKUP($D272,'Modelling New'!$D:$D,'Modelling New'!$AE:$AE),"")</f>
        <v>0.995</v>
      </c>
      <c r="AH272" s="243">
        <f>IFERROR(_xlfn.XLOOKUP($D272,'Modelling New'!$D:$D,'Modelling New'!$AF:$AF),"")</f>
        <v>0.995</v>
      </c>
      <c r="AI272" s="234"/>
      <c r="AJ272" s="234"/>
      <c r="AK272" s="234"/>
      <c r="AL272" s="234"/>
      <c r="AM272" s="234"/>
      <c r="AN272" s="244"/>
      <c r="AO272" s="241"/>
      <c r="AP272" s="241"/>
      <c r="AQ272" s="241"/>
      <c r="AR272" s="233">
        <f>_xlfn.XLOOKUP($D272,'Modelling New'!$D:$D,'Modelling New'!$N:$N)</f>
        <v>87.8</v>
      </c>
      <c r="AS272" s="233">
        <f t="shared" si="28"/>
        <v>0</v>
      </c>
    </row>
    <row r="273" spans="1:45">
      <c r="A273" s="232">
        <f t="shared" si="29"/>
        <v>46110</v>
      </c>
      <c r="B273" s="233">
        <f>YEAR(Daily_KPI[[#This Row],[Date]])+IF(MONTH(Daily_KPI[[#This Row],[Date]])&gt;=4,1,0)</f>
        <v>2026</v>
      </c>
      <c r="C273" s="234">
        <f>YEAR(Daily_KPI[[#This Row],[Date]])</f>
        <v>2026</v>
      </c>
      <c r="D273" s="235">
        <f>Daily_KPI[[#This Row],[Date]]-DAY(Daily_KPI[[#This Row],[Date]])+1</f>
        <v>46082</v>
      </c>
      <c r="E273" s="234">
        <f t="shared" si="25"/>
        <v>31</v>
      </c>
      <c r="F273" s="236">
        <f>IFERROR(_xlfn.XLOOKUP($A273,Input_Raw!$A:$A,Input_Raw!$BM:$BM),"")</f>
        <v>0</v>
      </c>
      <c r="G273" s="237">
        <f>IFERROR(_xlfn.XLOOKUP($A273,Input_Raw!$A:$A,Input_Raw!$AN:$AN),"")</f>
        <v>0</v>
      </c>
      <c r="H273" s="237"/>
      <c r="I273" s="237">
        <f>IFERROR(_xlfn.XLOOKUP($A273,Input_Raw!$A:$A,Input_Raw!$AM:$AM),"")</f>
        <v>0</v>
      </c>
      <c r="J273" s="237"/>
      <c r="K273" s="237">
        <f>IFERROR(_xlfn.XLOOKUP($A273,Input_Raw!$A:$A,Input_Raw!AO:AO),"")</f>
        <v>0</v>
      </c>
      <c r="L273" s="237">
        <f>IFERROR(_xlfn.XLOOKUP($A273,Input_Raw!$A:$A,Input_Raw!AP:AP),"")</f>
        <v>0</v>
      </c>
      <c r="M273" s="237">
        <f>IFERROR(_xlfn.XLOOKUP($A273,Input_Raw!$A:$A,Input_Raw!AS:AS),"")</f>
        <v>0</v>
      </c>
      <c r="N273" s="237">
        <f>IFERROR(_xlfn.XLOOKUP($A273,Input_Raw!$A:$A,Input_Raw!AT:AT),"")</f>
        <v>0</v>
      </c>
      <c r="O273" s="238" t="str">
        <f>IFERROR(1-(SUMIF(Plant_BD!$B:$B,$A273,Plant_BD!$AL:$AL)/($AA273+SUMIF(Plant_BD!$B:$B,$A273,Plant_BD!$AL:$AL))),"")</f>
        <v/>
      </c>
      <c r="P273" s="238"/>
      <c r="Q273" s="239"/>
      <c r="R273" s="238" t="str">
        <f>IFERROR(1-(SUMIF(Grid_BD!$B:$B,$A273,Grid_BD!$V:$V)/($AA273+SUMIF(Grid_BD!$B:$B,$A273,Grid_BD!$V:$V))),"")</f>
        <v/>
      </c>
      <c r="S273" s="234"/>
      <c r="T273" s="239"/>
      <c r="U273" s="240" t="str">
        <f t="shared" si="26"/>
        <v/>
      </c>
      <c r="V273" s="240" t="str">
        <f>IFERROR(_xlfn.XLOOKUP($A273,Input_Raw!$A:$A,Input_Raw!$BS:$BS),"")</f>
        <v/>
      </c>
      <c r="W273" s="241">
        <f t="shared" si="27"/>
        <v>0</v>
      </c>
      <c r="X273" s="233">
        <f>IFERROR(_xlfn.XLOOKUP($A273,Input_Raw!$A:$A,Input_Raw!$AW:$AW),"")</f>
        <v>0</v>
      </c>
      <c r="Y273" s="233">
        <f>IFERROR(_xlfn.XLOOKUP($A273,Input_Raw!$A:$A,Input_Raw!$BN:$BN),"")</f>
        <v>0</v>
      </c>
      <c r="Z273" s="233"/>
      <c r="AA273" s="233">
        <f>IFERROR(_xlfn.XLOOKUP($A273,Input_Raw!$A:$A,Input_Raw!$BO:$BO),"")</f>
        <v>0</v>
      </c>
      <c r="AB273" s="233">
        <f>IFERROR(_xlfn.XLOOKUP($A273,Input_Raw!$A:$A,Input_Raw!$BP:$BP),"")</f>
        <v>0</v>
      </c>
      <c r="AC273" s="242">
        <f>IFERROR(_xlfn.XLOOKUP($D273,'Modelling New'!$D:$D,'Modelling New'!P:P),"")</f>
        <v>6.8774193548387093</v>
      </c>
      <c r="AD273" s="233">
        <f>IFERROR(_xlfn.XLOOKUP($D273,'Modelling New'!$D:$D,'Modelling New'!T:T)*1000,"")</f>
        <v>498365.37379619037</v>
      </c>
      <c r="AE273" s="243">
        <f>IFERROR(_xlfn.XLOOKUP($D273,'Modelling New'!$D:$D,'Modelling New'!$O:$O),"")</f>
        <v>0.82533039162869648</v>
      </c>
      <c r="AF273" s="243">
        <f>IFERROR(_xlfn.XLOOKUP($D273,'Modelling New'!$D:$D,'Modelling New'!$W:$W),"")</f>
        <v>0.23650596706349206</v>
      </c>
      <c r="AG273" s="243">
        <f>IFERROR(_xlfn.XLOOKUP($D273,'Modelling New'!$D:$D,'Modelling New'!$AE:$AE),"")</f>
        <v>0.995</v>
      </c>
      <c r="AH273" s="243">
        <f>IFERROR(_xlfn.XLOOKUP($D273,'Modelling New'!$D:$D,'Modelling New'!$AF:$AF),"")</f>
        <v>0.995</v>
      </c>
      <c r="AI273" s="234"/>
      <c r="AJ273" s="234"/>
      <c r="AK273" s="234"/>
      <c r="AL273" s="234"/>
      <c r="AM273" s="234"/>
      <c r="AN273" s="244"/>
      <c r="AO273" s="241"/>
      <c r="AP273" s="241"/>
      <c r="AQ273" s="241"/>
      <c r="AR273" s="233">
        <f>_xlfn.XLOOKUP($D273,'Modelling New'!$D:$D,'Modelling New'!$N:$N)</f>
        <v>87.8</v>
      </c>
      <c r="AS273" s="233">
        <f t="shared" si="28"/>
        <v>0</v>
      </c>
    </row>
    <row r="274" spans="1:45">
      <c r="A274" s="232">
        <f t="shared" si="29"/>
        <v>46111</v>
      </c>
      <c r="B274" s="233">
        <f>YEAR(Daily_KPI[[#This Row],[Date]])+IF(MONTH(Daily_KPI[[#This Row],[Date]])&gt;=4,1,0)</f>
        <v>2026</v>
      </c>
      <c r="C274" s="234">
        <f>YEAR(Daily_KPI[[#This Row],[Date]])</f>
        <v>2026</v>
      </c>
      <c r="D274" s="235">
        <f>Daily_KPI[[#This Row],[Date]]-DAY(Daily_KPI[[#This Row],[Date]])+1</f>
        <v>46082</v>
      </c>
      <c r="E274" s="234">
        <f t="shared" si="25"/>
        <v>31</v>
      </c>
      <c r="F274" s="236">
        <f>IFERROR(_xlfn.XLOOKUP($A274,Input_Raw!$A:$A,Input_Raw!$BM:$BM),"")</f>
        <v>0</v>
      </c>
      <c r="G274" s="237">
        <f>IFERROR(_xlfn.XLOOKUP($A274,Input_Raw!$A:$A,Input_Raw!$AN:$AN),"")</f>
        <v>0</v>
      </c>
      <c r="H274" s="237"/>
      <c r="I274" s="237">
        <f>IFERROR(_xlfn.XLOOKUP($A274,Input_Raw!$A:$A,Input_Raw!$AM:$AM),"")</f>
        <v>0</v>
      </c>
      <c r="J274" s="237"/>
      <c r="K274" s="237">
        <f>IFERROR(_xlfn.XLOOKUP($A274,Input_Raw!$A:$A,Input_Raw!AO:AO),"")</f>
        <v>0</v>
      </c>
      <c r="L274" s="237">
        <f>IFERROR(_xlfn.XLOOKUP($A274,Input_Raw!$A:$A,Input_Raw!AP:AP),"")</f>
        <v>0</v>
      </c>
      <c r="M274" s="237">
        <f>IFERROR(_xlfn.XLOOKUP($A274,Input_Raw!$A:$A,Input_Raw!AS:AS),"")</f>
        <v>0</v>
      </c>
      <c r="N274" s="237">
        <f>IFERROR(_xlfn.XLOOKUP($A274,Input_Raw!$A:$A,Input_Raw!AT:AT),"")</f>
        <v>0</v>
      </c>
      <c r="O274" s="238" t="str">
        <f>IFERROR(1-(SUMIF(Plant_BD!$B:$B,$A274,Plant_BD!$AL:$AL)/($AA274+SUMIF(Plant_BD!$B:$B,$A274,Plant_BD!$AL:$AL))),"")</f>
        <v/>
      </c>
      <c r="P274" s="238"/>
      <c r="Q274" s="239"/>
      <c r="R274" s="238" t="str">
        <f>IFERROR(1-(SUMIF(Grid_BD!$B:$B,$A274,Grid_BD!$V:$V)/($AA274+SUMIF(Grid_BD!$B:$B,$A274,Grid_BD!$V:$V))),"")</f>
        <v/>
      </c>
      <c r="S274" s="234"/>
      <c r="T274" s="239"/>
      <c r="U274" s="240" t="str">
        <f t="shared" si="26"/>
        <v/>
      </c>
      <c r="V274" s="240" t="str">
        <f>IFERROR(_xlfn.XLOOKUP($A274,Input_Raw!$A:$A,Input_Raw!$BS:$BS),"")</f>
        <v/>
      </c>
      <c r="W274" s="241">
        <f t="shared" si="27"/>
        <v>0</v>
      </c>
      <c r="X274" s="233">
        <f>IFERROR(_xlfn.XLOOKUP($A274,Input_Raw!$A:$A,Input_Raw!$AW:$AW),"")</f>
        <v>0</v>
      </c>
      <c r="Y274" s="233">
        <f>IFERROR(_xlfn.XLOOKUP($A274,Input_Raw!$A:$A,Input_Raw!$BN:$BN),"")</f>
        <v>0</v>
      </c>
      <c r="Z274" s="233"/>
      <c r="AA274" s="233">
        <f>IFERROR(_xlfn.XLOOKUP($A274,Input_Raw!$A:$A,Input_Raw!$BO:$BO),"")</f>
        <v>0</v>
      </c>
      <c r="AB274" s="233">
        <f>IFERROR(_xlfn.XLOOKUP($A274,Input_Raw!$A:$A,Input_Raw!$BP:$BP),"")</f>
        <v>0</v>
      </c>
      <c r="AC274" s="242">
        <f>IFERROR(_xlfn.XLOOKUP($D274,'Modelling New'!$D:$D,'Modelling New'!P:P),"")</f>
        <v>6.8774193548387093</v>
      </c>
      <c r="AD274" s="233">
        <f>IFERROR(_xlfn.XLOOKUP($D274,'Modelling New'!$D:$D,'Modelling New'!T:T)*1000,"")</f>
        <v>498365.37379619037</v>
      </c>
      <c r="AE274" s="243">
        <f>IFERROR(_xlfn.XLOOKUP($D274,'Modelling New'!$D:$D,'Modelling New'!$O:$O),"")</f>
        <v>0.82533039162869648</v>
      </c>
      <c r="AF274" s="243">
        <f>IFERROR(_xlfn.XLOOKUP($D274,'Modelling New'!$D:$D,'Modelling New'!$W:$W),"")</f>
        <v>0.23650596706349206</v>
      </c>
      <c r="AG274" s="243">
        <f>IFERROR(_xlfn.XLOOKUP($D274,'Modelling New'!$D:$D,'Modelling New'!$AE:$AE),"")</f>
        <v>0.995</v>
      </c>
      <c r="AH274" s="243">
        <f>IFERROR(_xlfn.XLOOKUP($D274,'Modelling New'!$D:$D,'Modelling New'!$AF:$AF),"")</f>
        <v>0.995</v>
      </c>
      <c r="AI274" s="234"/>
      <c r="AJ274" s="234"/>
      <c r="AK274" s="234"/>
      <c r="AL274" s="234"/>
      <c r="AM274" s="234"/>
      <c r="AN274" s="244"/>
      <c r="AO274" s="241"/>
      <c r="AP274" s="241"/>
      <c r="AQ274" s="241"/>
      <c r="AR274" s="233">
        <f>_xlfn.XLOOKUP($D274,'Modelling New'!$D:$D,'Modelling New'!$N:$N)</f>
        <v>87.8</v>
      </c>
      <c r="AS274" s="233">
        <f t="shared" si="28"/>
        <v>0</v>
      </c>
    </row>
    <row r="275" spans="1:45">
      <c r="A275" s="232">
        <f t="shared" si="29"/>
        <v>46112</v>
      </c>
      <c r="B275" s="233">
        <f>YEAR(Daily_KPI[[#This Row],[Date]])+IF(MONTH(Daily_KPI[[#This Row],[Date]])&gt;=4,1,0)</f>
        <v>2026</v>
      </c>
      <c r="C275" s="234">
        <f>YEAR(Daily_KPI[[#This Row],[Date]])</f>
        <v>2026</v>
      </c>
      <c r="D275" s="235">
        <f>Daily_KPI[[#This Row],[Date]]-DAY(Daily_KPI[[#This Row],[Date]])+1</f>
        <v>46082</v>
      </c>
      <c r="E275" s="234">
        <f t="shared" si="25"/>
        <v>31</v>
      </c>
      <c r="F275" s="236">
        <f>IFERROR(_xlfn.XLOOKUP($A275,Input_Raw!$A:$A,Input_Raw!$BM:$BM),"")</f>
        <v>0</v>
      </c>
      <c r="G275" s="237">
        <f>IFERROR(_xlfn.XLOOKUP($A275,Input_Raw!$A:$A,Input_Raw!$AN:$AN),"")</f>
        <v>0</v>
      </c>
      <c r="H275" s="237"/>
      <c r="I275" s="237">
        <f>IFERROR(_xlfn.XLOOKUP($A275,Input_Raw!$A:$A,Input_Raw!$AM:$AM),"")</f>
        <v>0</v>
      </c>
      <c r="J275" s="237"/>
      <c r="K275" s="237">
        <f>IFERROR(_xlfn.XLOOKUP($A275,Input_Raw!$A:$A,Input_Raw!AO:AO),"")</f>
        <v>0</v>
      </c>
      <c r="L275" s="237">
        <f>IFERROR(_xlfn.XLOOKUP($A275,Input_Raw!$A:$A,Input_Raw!AP:AP),"")</f>
        <v>0</v>
      </c>
      <c r="M275" s="237">
        <f>IFERROR(_xlfn.XLOOKUP($A275,Input_Raw!$A:$A,Input_Raw!AS:AS),"")</f>
        <v>0</v>
      </c>
      <c r="N275" s="237">
        <f>IFERROR(_xlfn.XLOOKUP($A275,Input_Raw!$A:$A,Input_Raw!AT:AT),"")</f>
        <v>0</v>
      </c>
      <c r="O275" s="238" t="str">
        <f>IFERROR(1-(SUMIF(Plant_BD!$B:$B,$A275,Plant_BD!$AL:$AL)/($AA275+SUMIF(Plant_BD!$B:$B,$A275,Plant_BD!$AL:$AL))),"")</f>
        <v/>
      </c>
      <c r="P275" s="238"/>
      <c r="Q275" s="239"/>
      <c r="R275" s="238" t="str">
        <f>IFERROR(1-(SUMIF(Grid_BD!$B:$B,$A275,Grid_BD!$V:$V)/($AA275+SUMIF(Grid_BD!$B:$B,$A275,Grid_BD!$V:$V))),"")</f>
        <v/>
      </c>
      <c r="S275" s="234"/>
      <c r="T275" s="239"/>
      <c r="U275" s="240" t="str">
        <f t="shared" si="26"/>
        <v/>
      </c>
      <c r="V275" s="240" t="str">
        <f>IFERROR(_xlfn.XLOOKUP($A275,Input_Raw!$A:$A,Input_Raw!$BS:$BS),"")</f>
        <v/>
      </c>
      <c r="W275" s="241">
        <f t="shared" si="27"/>
        <v>0</v>
      </c>
      <c r="X275" s="233">
        <f>IFERROR(_xlfn.XLOOKUP($A275,Input_Raw!$A:$A,Input_Raw!$AW:$AW),"")</f>
        <v>0</v>
      </c>
      <c r="Y275" s="233">
        <f>IFERROR(_xlfn.XLOOKUP($A275,Input_Raw!$A:$A,Input_Raw!$BN:$BN),"")</f>
        <v>0</v>
      </c>
      <c r="Z275" s="233"/>
      <c r="AA275" s="233">
        <f>IFERROR(_xlfn.XLOOKUP($A275,Input_Raw!$A:$A,Input_Raw!$BO:$BO),"")</f>
        <v>0</v>
      </c>
      <c r="AB275" s="233">
        <f>IFERROR(_xlfn.XLOOKUP($A275,Input_Raw!$A:$A,Input_Raw!$BP:$BP),"")</f>
        <v>0</v>
      </c>
      <c r="AC275" s="242">
        <f>IFERROR(_xlfn.XLOOKUP($D275,'Modelling New'!$D:$D,'Modelling New'!P:P),"")</f>
        <v>6.8774193548387093</v>
      </c>
      <c r="AD275" s="233">
        <f>IFERROR(_xlfn.XLOOKUP($D275,'Modelling New'!$D:$D,'Modelling New'!T:T)*1000,"")</f>
        <v>498365.37379619037</v>
      </c>
      <c r="AE275" s="243">
        <f>IFERROR(_xlfn.XLOOKUP($D275,'Modelling New'!$D:$D,'Modelling New'!$O:$O),"")</f>
        <v>0.82533039162869648</v>
      </c>
      <c r="AF275" s="243">
        <f>IFERROR(_xlfn.XLOOKUP($D275,'Modelling New'!$D:$D,'Modelling New'!$W:$W),"")</f>
        <v>0.23650596706349206</v>
      </c>
      <c r="AG275" s="243">
        <f>IFERROR(_xlfn.XLOOKUP($D275,'Modelling New'!$D:$D,'Modelling New'!$AE:$AE),"")</f>
        <v>0.995</v>
      </c>
      <c r="AH275" s="243">
        <f>IFERROR(_xlfn.XLOOKUP($D275,'Modelling New'!$D:$D,'Modelling New'!$AF:$AF),"")</f>
        <v>0.995</v>
      </c>
      <c r="AI275" s="234"/>
      <c r="AJ275" s="234"/>
      <c r="AK275" s="234"/>
      <c r="AL275" s="234"/>
      <c r="AM275" s="234"/>
      <c r="AN275" s="244"/>
      <c r="AO275" s="241"/>
      <c r="AP275" s="241"/>
      <c r="AQ275" s="241"/>
      <c r="AR275" s="233">
        <f>_xlfn.XLOOKUP($D275,'Modelling New'!$D:$D,'Modelling New'!$N:$N)</f>
        <v>87.8</v>
      </c>
      <c r="AS275" s="233">
        <f t="shared" si="28"/>
        <v>0</v>
      </c>
    </row>
    <row r="276" spans="1:45">
      <c r="A276" s="232">
        <f t="shared" si="29"/>
        <v>46113</v>
      </c>
      <c r="B276" s="233">
        <f>YEAR(Daily_KPI[[#This Row],[Date]])+IF(MONTH(Daily_KPI[[#This Row],[Date]])&gt;=4,1,0)</f>
        <v>2027</v>
      </c>
      <c r="C276" s="234">
        <f>YEAR(Daily_KPI[[#This Row],[Date]])</f>
        <v>2026</v>
      </c>
      <c r="D276" s="235">
        <f>Daily_KPI[[#This Row],[Date]]-DAY(Daily_KPI[[#This Row],[Date]])+1</f>
        <v>46113</v>
      </c>
      <c r="E276" s="234">
        <f t="shared" si="25"/>
        <v>30</v>
      </c>
      <c r="F276" s="236">
        <f>IFERROR(_xlfn.XLOOKUP($A276,Input_Raw!$A:$A,Input_Raw!$BM:$BM),"")</f>
        <v>0</v>
      </c>
      <c r="G276" s="237">
        <f>IFERROR(_xlfn.XLOOKUP($A276,Input_Raw!$A:$A,Input_Raw!$AN:$AN),"")</f>
        <v>0</v>
      </c>
      <c r="H276" s="237"/>
      <c r="I276" s="237">
        <f>IFERROR(_xlfn.XLOOKUP($A276,Input_Raw!$A:$A,Input_Raw!$AM:$AM),"")</f>
        <v>0</v>
      </c>
      <c r="J276" s="237"/>
      <c r="K276" s="237">
        <f>IFERROR(_xlfn.XLOOKUP($A276,Input_Raw!$A:$A,Input_Raw!AO:AO),"")</f>
        <v>0</v>
      </c>
      <c r="L276" s="237">
        <f>IFERROR(_xlfn.XLOOKUP($A276,Input_Raw!$A:$A,Input_Raw!AP:AP),"")</f>
        <v>0</v>
      </c>
      <c r="M276" s="237">
        <f>IFERROR(_xlfn.XLOOKUP($A276,Input_Raw!$A:$A,Input_Raw!AS:AS),"")</f>
        <v>0</v>
      </c>
      <c r="N276" s="237">
        <f>IFERROR(_xlfn.XLOOKUP($A276,Input_Raw!$A:$A,Input_Raw!AT:AT),"")</f>
        <v>0</v>
      </c>
      <c r="O276" s="238" t="str">
        <f>IFERROR(1-(SUMIF(Plant_BD!$B:$B,$A276,Plant_BD!$AL:$AL)/($AA276+SUMIF(Plant_BD!$B:$B,$A276,Plant_BD!$AL:$AL))),"")</f>
        <v/>
      </c>
      <c r="P276" s="238"/>
      <c r="Q276" s="239"/>
      <c r="R276" s="238" t="str">
        <f>IFERROR(1-(SUMIF(Grid_BD!$B:$B,$A276,Grid_BD!$V:$V)/($AA276+SUMIF(Grid_BD!$B:$B,$A276,Grid_BD!$V:$V))),"")</f>
        <v/>
      </c>
      <c r="S276" s="234"/>
      <c r="T276" s="239"/>
      <c r="U276" s="240" t="str">
        <f t="shared" si="26"/>
        <v/>
      </c>
      <c r="V276" s="240" t="str">
        <f>IFERROR(_xlfn.XLOOKUP($A276,Input_Raw!$A:$A,Input_Raw!$BS:$BS),"")</f>
        <v/>
      </c>
      <c r="W276" s="241" t="str">
        <f t="shared" si="27"/>
        <v/>
      </c>
      <c r="X276" s="233">
        <f>IFERROR(_xlfn.XLOOKUP($A276,Input_Raw!$A:$A,Input_Raw!$AW:$AW),"")</f>
        <v>0</v>
      </c>
      <c r="Y276" s="233">
        <f>IFERROR(_xlfn.XLOOKUP($A276,Input_Raw!$A:$A,Input_Raw!$BN:$BN),"")</f>
        <v>0</v>
      </c>
      <c r="Z276" s="233"/>
      <c r="AA276" s="233">
        <f>IFERROR(_xlfn.XLOOKUP($A276,Input_Raw!$A:$A,Input_Raw!$BO:$BO),"")</f>
        <v>0</v>
      </c>
      <c r="AB276" s="233">
        <f>IFERROR(_xlfn.XLOOKUP($A276,Input_Raw!$A:$A,Input_Raw!$BP:$BP),"")</f>
        <v>0</v>
      </c>
      <c r="AC276" s="242" t="str">
        <f>IFERROR(_xlfn.XLOOKUP($D276,'Modelling New'!$D:$D,'Modelling New'!P:P),"")</f>
        <v/>
      </c>
      <c r="AD276" s="233" t="str">
        <f>IFERROR(_xlfn.XLOOKUP($D276,'Modelling New'!$D:$D,'Modelling New'!T:T)*1000,"")</f>
        <v/>
      </c>
      <c r="AE276" s="243" t="str">
        <f>IFERROR(_xlfn.XLOOKUP($D276,'Modelling New'!$D:$D,'Modelling New'!$O:$O),"")</f>
        <v/>
      </c>
      <c r="AF276" s="243" t="str">
        <f>IFERROR(_xlfn.XLOOKUP($D276,'Modelling New'!$D:$D,'Modelling New'!$W:$W),"")</f>
        <v/>
      </c>
      <c r="AG276" s="243" t="str">
        <f>IFERROR(_xlfn.XLOOKUP($D276,'Modelling New'!$D:$D,'Modelling New'!$AE:$AE),"")</f>
        <v/>
      </c>
      <c r="AH276" s="243" t="str">
        <f>IFERROR(_xlfn.XLOOKUP($D276,'Modelling New'!$D:$D,'Modelling New'!$AF:$AF),"")</f>
        <v/>
      </c>
      <c r="AI276" s="234"/>
      <c r="AJ276" s="234"/>
      <c r="AK276" s="234"/>
      <c r="AL276" s="234"/>
      <c r="AM276" s="234"/>
      <c r="AN276" s="244"/>
      <c r="AO276" s="241"/>
      <c r="AP276" s="241"/>
      <c r="AQ276" s="241"/>
      <c r="AR276" s="233" t="e">
        <f>_xlfn.XLOOKUP($D276,'Modelling New'!$D:$D,'Modelling New'!$N:$N)</f>
        <v>#N/A</v>
      </c>
      <c r="AS276" s="233" t="str">
        <f t="shared" si="28"/>
        <v/>
      </c>
    </row>
    <row r="277" spans="1:45">
      <c r="A277" s="232">
        <f t="shared" si="29"/>
        <v>46114</v>
      </c>
      <c r="B277" s="233">
        <f>YEAR(Daily_KPI[[#This Row],[Date]])+IF(MONTH(Daily_KPI[[#This Row],[Date]])&gt;=4,1,0)</f>
        <v>2027</v>
      </c>
      <c r="C277" s="234">
        <f>YEAR(Daily_KPI[[#This Row],[Date]])</f>
        <v>2026</v>
      </c>
      <c r="D277" s="235">
        <f>Daily_KPI[[#This Row],[Date]]-DAY(Daily_KPI[[#This Row],[Date]])+1</f>
        <v>46113</v>
      </c>
      <c r="E277" s="234">
        <f t="shared" si="25"/>
        <v>30</v>
      </c>
      <c r="F277" s="236">
        <f>IFERROR(_xlfn.XLOOKUP($A277,Input_Raw!$A:$A,Input_Raw!$BM:$BM),"")</f>
        <v>0</v>
      </c>
      <c r="G277" s="237">
        <f>IFERROR(_xlfn.XLOOKUP($A277,Input_Raw!$A:$A,Input_Raw!$AN:$AN),"")</f>
        <v>0</v>
      </c>
      <c r="H277" s="237"/>
      <c r="I277" s="237">
        <f>IFERROR(_xlfn.XLOOKUP($A277,Input_Raw!$A:$A,Input_Raw!$AM:$AM),"")</f>
        <v>0</v>
      </c>
      <c r="J277" s="237"/>
      <c r="K277" s="237">
        <f>IFERROR(_xlfn.XLOOKUP($A277,Input_Raw!$A:$A,Input_Raw!AO:AO),"")</f>
        <v>0</v>
      </c>
      <c r="L277" s="237">
        <f>IFERROR(_xlfn.XLOOKUP($A277,Input_Raw!$A:$A,Input_Raw!AP:AP),"")</f>
        <v>0</v>
      </c>
      <c r="M277" s="237">
        <f>IFERROR(_xlfn.XLOOKUP($A277,Input_Raw!$A:$A,Input_Raw!AS:AS),"")</f>
        <v>0</v>
      </c>
      <c r="N277" s="237">
        <f>IFERROR(_xlfn.XLOOKUP($A277,Input_Raw!$A:$A,Input_Raw!AT:AT),"")</f>
        <v>0</v>
      </c>
      <c r="O277" s="238" t="str">
        <f>IFERROR(1-(SUMIF(Plant_BD!$B:$B,$A277,Plant_BD!$AL:$AL)/($AA277+SUMIF(Plant_BD!$B:$B,$A277,Plant_BD!$AL:$AL))),"")</f>
        <v/>
      </c>
      <c r="P277" s="238"/>
      <c r="Q277" s="239"/>
      <c r="R277" s="238" t="str">
        <f>IFERROR(1-(SUMIF(Grid_BD!$B:$B,$A277,Grid_BD!$V:$V)/($AA277+SUMIF(Grid_BD!$B:$B,$A277,Grid_BD!$V:$V))),"")</f>
        <v/>
      </c>
      <c r="S277" s="234"/>
      <c r="T277" s="239"/>
      <c r="U277" s="240" t="str">
        <f t="shared" si="26"/>
        <v/>
      </c>
      <c r="V277" s="240" t="str">
        <f>IFERROR(_xlfn.XLOOKUP($A277,Input_Raw!$A:$A,Input_Raw!$BS:$BS),"")</f>
        <v/>
      </c>
      <c r="W277" s="241" t="str">
        <f t="shared" si="27"/>
        <v/>
      </c>
      <c r="X277" s="233">
        <f>IFERROR(_xlfn.XLOOKUP($A277,Input_Raw!$A:$A,Input_Raw!$AW:$AW),"")</f>
        <v>0</v>
      </c>
      <c r="Y277" s="233">
        <f>IFERROR(_xlfn.XLOOKUP($A277,Input_Raw!$A:$A,Input_Raw!$BN:$BN),"")</f>
        <v>0</v>
      </c>
      <c r="Z277" s="233"/>
      <c r="AA277" s="233">
        <f>IFERROR(_xlfn.XLOOKUP($A277,Input_Raw!$A:$A,Input_Raw!$BO:$BO),"")</f>
        <v>0</v>
      </c>
      <c r="AB277" s="233">
        <f>IFERROR(_xlfn.XLOOKUP($A277,Input_Raw!$A:$A,Input_Raw!$BP:$BP),"")</f>
        <v>0</v>
      </c>
      <c r="AC277" s="242" t="str">
        <f>IFERROR(_xlfn.XLOOKUP($D277,'Modelling New'!$D:$D,'Modelling New'!P:P),"")</f>
        <v/>
      </c>
      <c r="AD277" s="233" t="str">
        <f>IFERROR(_xlfn.XLOOKUP($D277,'Modelling New'!$D:$D,'Modelling New'!T:T)*1000,"")</f>
        <v/>
      </c>
      <c r="AE277" s="243" t="str">
        <f>IFERROR(_xlfn.XLOOKUP($D277,'Modelling New'!$D:$D,'Modelling New'!$O:$O),"")</f>
        <v/>
      </c>
      <c r="AF277" s="243" t="str">
        <f>IFERROR(_xlfn.XLOOKUP($D277,'Modelling New'!$D:$D,'Modelling New'!$W:$W),"")</f>
        <v/>
      </c>
      <c r="AG277" s="243" t="str">
        <f>IFERROR(_xlfn.XLOOKUP($D277,'Modelling New'!$D:$D,'Modelling New'!$AE:$AE),"")</f>
        <v/>
      </c>
      <c r="AH277" s="243" t="str">
        <f>IFERROR(_xlfn.XLOOKUP($D277,'Modelling New'!$D:$D,'Modelling New'!$AF:$AF),"")</f>
        <v/>
      </c>
      <c r="AI277" s="234"/>
      <c r="AJ277" s="234"/>
      <c r="AK277" s="234"/>
      <c r="AL277" s="234"/>
      <c r="AM277" s="234"/>
      <c r="AN277" s="244"/>
      <c r="AO277" s="241"/>
      <c r="AP277" s="241"/>
      <c r="AQ277" s="241"/>
      <c r="AR277" s="233" t="e">
        <f>_xlfn.XLOOKUP($D277,'Modelling New'!$D:$D,'Modelling New'!$N:$N)</f>
        <v>#N/A</v>
      </c>
      <c r="AS277" s="233" t="str">
        <f t="shared" si="28"/>
        <v/>
      </c>
    </row>
    <row r="278" spans="1:45">
      <c r="A278" s="232">
        <f t="shared" si="29"/>
        <v>46115</v>
      </c>
      <c r="B278" s="233">
        <f>YEAR(Daily_KPI[[#This Row],[Date]])+IF(MONTH(Daily_KPI[[#This Row],[Date]])&gt;=4,1,0)</f>
        <v>2027</v>
      </c>
      <c r="C278" s="234">
        <f>YEAR(Daily_KPI[[#This Row],[Date]])</f>
        <v>2026</v>
      </c>
      <c r="D278" s="235">
        <f>Daily_KPI[[#This Row],[Date]]-DAY(Daily_KPI[[#This Row],[Date]])+1</f>
        <v>46113</v>
      </c>
      <c r="E278" s="234">
        <f t="shared" si="25"/>
        <v>30</v>
      </c>
      <c r="F278" s="236">
        <f>IFERROR(_xlfn.XLOOKUP($A278,Input_Raw!$A:$A,Input_Raw!$BM:$BM),"")</f>
        <v>0</v>
      </c>
      <c r="G278" s="237">
        <f>IFERROR(_xlfn.XLOOKUP($A278,Input_Raw!$A:$A,Input_Raw!$AN:$AN),"")</f>
        <v>0</v>
      </c>
      <c r="H278" s="237"/>
      <c r="I278" s="237">
        <f>IFERROR(_xlfn.XLOOKUP($A278,Input_Raw!$A:$A,Input_Raw!$AM:$AM),"")</f>
        <v>0</v>
      </c>
      <c r="J278" s="237"/>
      <c r="K278" s="237">
        <f>IFERROR(_xlfn.XLOOKUP($A278,Input_Raw!$A:$A,Input_Raw!AO:AO),"")</f>
        <v>0</v>
      </c>
      <c r="L278" s="237">
        <f>IFERROR(_xlfn.XLOOKUP($A278,Input_Raw!$A:$A,Input_Raw!AP:AP),"")</f>
        <v>0</v>
      </c>
      <c r="M278" s="237">
        <f>IFERROR(_xlfn.XLOOKUP($A278,Input_Raw!$A:$A,Input_Raw!AS:AS),"")</f>
        <v>0</v>
      </c>
      <c r="N278" s="237">
        <f>IFERROR(_xlfn.XLOOKUP($A278,Input_Raw!$A:$A,Input_Raw!AT:AT),"")</f>
        <v>0</v>
      </c>
      <c r="O278" s="238" t="str">
        <f>IFERROR(1-(SUMIF(Plant_BD!$B:$B,$A278,Plant_BD!$AL:$AL)/($AA278+SUMIF(Plant_BD!$B:$B,$A278,Plant_BD!$AL:$AL))),"")</f>
        <v/>
      </c>
      <c r="P278" s="238"/>
      <c r="Q278" s="239"/>
      <c r="R278" s="238" t="str">
        <f>IFERROR(1-(SUMIF(Grid_BD!$B:$B,$A278,Grid_BD!$V:$V)/($AA278+SUMIF(Grid_BD!$B:$B,$A278,Grid_BD!$V:$V))),"")</f>
        <v/>
      </c>
      <c r="S278" s="234"/>
      <c r="T278" s="239"/>
      <c r="U278" s="240" t="str">
        <f t="shared" si="26"/>
        <v/>
      </c>
      <c r="V278" s="240" t="str">
        <f>IFERROR(_xlfn.XLOOKUP($A278,Input_Raw!$A:$A,Input_Raw!$BS:$BS),"")</f>
        <v/>
      </c>
      <c r="W278" s="241" t="str">
        <f t="shared" si="27"/>
        <v/>
      </c>
      <c r="X278" s="233">
        <f>IFERROR(_xlfn.XLOOKUP($A278,Input_Raw!$A:$A,Input_Raw!$AW:$AW),"")</f>
        <v>0</v>
      </c>
      <c r="Y278" s="233">
        <f>IFERROR(_xlfn.XLOOKUP($A278,Input_Raw!$A:$A,Input_Raw!$BN:$BN),"")</f>
        <v>0</v>
      </c>
      <c r="Z278" s="233"/>
      <c r="AA278" s="233">
        <f>IFERROR(_xlfn.XLOOKUP($A278,Input_Raw!$A:$A,Input_Raw!$BO:$BO),"")</f>
        <v>0</v>
      </c>
      <c r="AB278" s="233">
        <f>IFERROR(_xlfn.XLOOKUP($A278,Input_Raw!$A:$A,Input_Raw!$BP:$BP),"")</f>
        <v>0</v>
      </c>
      <c r="AC278" s="242" t="str">
        <f>IFERROR(_xlfn.XLOOKUP($D278,'Modelling New'!$D:$D,'Modelling New'!P:P),"")</f>
        <v/>
      </c>
      <c r="AD278" s="233" t="str">
        <f>IFERROR(_xlfn.XLOOKUP($D278,'Modelling New'!$D:$D,'Modelling New'!T:T)*1000,"")</f>
        <v/>
      </c>
      <c r="AE278" s="243" t="str">
        <f>IFERROR(_xlfn.XLOOKUP($D278,'Modelling New'!$D:$D,'Modelling New'!$O:$O),"")</f>
        <v/>
      </c>
      <c r="AF278" s="243" t="str">
        <f>IFERROR(_xlfn.XLOOKUP($D278,'Modelling New'!$D:$D,'Modelling New'!$W:$W),"")</f>
        <v/>
      </c>
      <c r="AG278" s="243" t="str">
        <f>IFERROR(_xlfn.XLOOKUP($D278,'Modelling New'!$D:$D,'Modelling New'!$AE:$AE),"")</f>
        <v/>
      </c>
      <c r="AH278" s="243" t="str">
        <f>IFERROR(_xlfn.XLOOKUP($D278,'Modelling New'!$D:$D,'Modelling New'!$AF:$AF),"")</f>
        <v/>
      </c>
      <c r="AI278" s="234"/>
      <c r="AJ278" s="234"/>
      <c r="AK278" s="234"/>
      <c r="AL278" s="234"/>
      <c r="AM278" s="234"/>
      <c r="AN278" s="244"/>
      <c r="AO278" s="241"/>
      <c r="AP278" s="241"/>
      <c r="AQ278" s="241"/>
      <c r="AR278" s="233" t="e">
        <f>_xlfn.XLOOKUP($D278,'Modelling New'!$D:$D,'Modelling New'!$N:$N)</f>
        <v>#N/A</v>
      </c>
      <c r="AS278" s="233" t="str">
        <f t="shared" si="28"/>
        <v/>
      </c>
    </row>
    <row r="279" spans="1:45">
      <c r="A279" s="232">
        <f t="shared" si="29"/>
        <v>46116</v>
      </c>
      <c r="B279" s="233">
        <f>YEAR(Daily_KPI[[#This Row],[Date]])+IF(MONTH(Daily_KPI[[#This Row],[Date]])&gt;=4,1,0)</f>
        <v>2027</v>
      </c>
      <c r="C279" s="234">
        <f>YEAR(Daily_KPI[[#This Row],[Date]])</f>
        <v>2026</v>
      </c>
      <c r="D279" s="235">
        <f>Daily_KPI[[#This Row],[Date]]-DAY(Daily_KPI[[#This Row],[Date]])+1</f>
        <v>46113</v>
      </c>
      <c r="E279" s="234">
        <f t="shared" si="25"/>
        <v>30</v>
      </c>
      <c r="F279" s="236">
        <f>IFERROR(_xlfn.XLOOKUP($A279,Input_Raw!$A:$A,Input_Raw!$BM:$BM),"")</f>
        <v>0</v>
      </c>
      <c r="G279" s="237">
        <f>IFERROR(_xlfn.XLOOKUP($A279,Input_Raw!$A:$A,Input_Raw!$AN:$AN),"")</f>
        <v>0</v>
      </c>
      <c r="H279" s="237"/>
      <c r="I279" s="237">
        <f>IFERROR(_xlfn.XLOOKUP($A279,Input_Raw!$A:$A,Input_Raw!$AM:$AM),"")</f>
        <v>0</v>
      </c>
      <c r="J279" s="237"/>
      <c r="K279" s="237">
        <f>IFERROR(_xlfn.XLOOKUP($A279,Input_Raw!$A:$A,Input_Raw!AO:AO),"")</f>
        <v>0</v>
      </c>
      <c r="L279" s="237">
        <f>IFERROR(_xlfn.XLOOKUP($A279,Input_Raw!$A:$A,Input_Raw!AP:AP),"")</f>
        <v>0</v>
      </c>
      <c r="M279" s="237">
        <f>IFERROR(_xlfn.XLOOKUP($A279,Input_Raw!$A:$A,Input_Raw!AS:AS),"")</f>
        <v>0</v>
      </c>
      <c r="N279" s="237">
        <f>IFERROR(_xlfn.XLOOKUP($A279,Input_Raw!$A:$A,Input_Raw!AT:AT),"")</f>
        <v>0</v>
      </c>
      <c r="O279" s="238" t="str">
        <f>IFERROR(1-(SUMIF(Plant_BD!$B:$B,$A279,Plant_BD!$AL:$AL)/($AA279+SUMIF(Plant_BD!$B:$B,$A279,Plant_BD!$AL:$AL))),"")</f>
        <v/>
      </c>
      <c r="P279" s="238"/>
      <c r="Q279" s="239"/>
      <c r="R279" s="238" t="str">
        <f>IFERROR(1-(SUMIF(Grid_BD!$B:$B,$A279,Grid_BD!$V:$V)/($AA279+SUMIF(Grid_BD!$B:$B,$A279,Grid_BD!$V:$V))),"")</f>
        <v/>
      </c>
      <c r="S279" s="234"/>
      <c r="T279" s="239"/>
      <c r="U279" s="240" t="str">
        <f t="shared" si="26"/>
        <v/>
      </c>
      <c r="V279" s="240" t="str">
        <f>IFERROR(_xlfn.XLOOKUP($A279,Input_Raw!$A:$A,Input_Raw!$BS:$BS),"")</f>
        <v/>
      </c>
      <c r="W279" s="241" t="str">
        <f t="shared" si="27"/>
        <v/>
      </c>
      <c r="X279" s="233">
        <f>IFERROR(_xlfn.XLOOKUP($A279,Input_Raw!$A:$A,Input_Raw!$AW:$AW),"")</f>
        <v>0</v>
      </c>
      <c r="Y279" s="233">
        <f>IFERROR(_xlfn.XLOOKUP($A279,Input_Raw!$A:$A,Input_Raw!$BN:$BN),"")</f>
        <v>0</v>
      </c>
      <c r="Z279" s="233"/>
      <c r="AA279" s="233">
        <f>IFERROR(_xlfn.XLOOKUP($A279,Input_Raw!$A:$A,Input_Raw!$BO:$BO),"")</f>
        <v>0</v>
      </c>
      <c r="AB279" s="233">
        <f>IFERROR(_xlfn.XLOOKUP($A279,Input_Raw!$A:$A,Input_Raw!$BP:$BP),"")</f>
        <v>0</v>
      </c>
      <c r="AC279" s="242" t="str">
        <f>IFERROR(_xlfn.XLOOKUP($D279,'Modelling New'!$D:$D,'Modelling New'!P:P),"")</f>
        <v/>
      </c>
      <c r="AD279" s="233" t="str">
        <f>IFERROR(_xlfn.XLOOKUP($D279,'Modelling New'!$D:$D,'Modelling New'!T:T)*1000,"")</f>
        <v/>
      </c>
      <c r="AE279" s="243" t="str">
        <f>IFERROR(_xlfn.XLOOKUP($D279,'Modelling New'!$D:$D,'Modelling New'!$O:$O),"")</f>
        <v/>
      </c>
      <c r="AF279" s="243" t="str">
        <f>IFERROR(_xlfn.XLOOKUP($D279,'Modelling New'!$D:$D,'Modelling New'!$W:$W),"")</f>
        <v/>
      </c>
      <c r="AG279" s="243" t="str">
        <f>IFERROR(_xlfn.XLOOKUP($D279,'Modelling New'!$D:$D,'Modelling New'!$AE:$AE),"")</f>
        <v/>
      </c>
      <c r="AH279" s="243" t="str">
        <f>IFERROR(_xlfn.XLOOKUP($D279,'Modelling New'!$D:$D,'Modelling New'!$AF:$AF),"")</f>
        <v/>
      </c>
      <c r="AI279" s="234"/>
      <c r="AJ279" s="234"/>
      <c r="AK279" s="234"/>
      <c r="AL279" s="234"/>
      <c r="AM279" s="234"/>
      <c r="AN279" s="244"/>
      <c r="AO279" s="241"/>
      <c r="AP279" s="241"/>
      <c r="AQ279" s="241"/>
      <c r="AR279" s="233" t="e">
        <f>_xlfn.XLOOKUP($D279,'Modelling New'!$D:$D,'Modelling New'!$N:$N)</f>
        <v>#N/A</v>
      </c>
      <c r="AS279" s="233" t="str">
        <f t="shared" si="28"/>
        <v/>
      </c>
    </row>
    <row r="280" spans="1:45">
      <c r="A280" s="232">
        <f t="shared" si="29"/>
        <v>46117</v>
      </c>
      <c r="B280" s="233">
        <f>YEAR(Daily_KPI[[#This Row],[Date]])+IF(MONTH(Daily_KPI[[#This Row],[Date]])&gt;=4,1,0)</f>
        <v>2027</v>
      </c>
      <c r="C280" s="234">
        <f>YEAR(Daily_KPI[[#This Row],[Date]])</f>
        <v>2026</v>
      </c>
      <c r="D280" s="235">
        <f>Daily_KPI[[#This Row],[Date]]-DAY(Daily_KPI[[#This Row],[Date]])+1</f>
        <v>46113</v>
      </c>
      <c r="E280" s="234">
        <f t="shared" si="25"/>
        <v>30</v>
      </c>
      <c r="F280" s="236" t="str">
        <f>IFERROR(_xlfn.XLOOKUP($A280,Input_Raw!$A:$A,Input_Raw!$BM:$BM),"")</f>
        <v/>
      </c>
      <c r="G280" s="237" t="str">
        <f>IFERROR(_xlfn.XLOOKUP($A280,Input_Raw!$A:$A,Input_Raw!$AN:$AN),"")</f>
        <v/>
      </c>
      <c r="H280" s="237"/>
      <c r="I280" s="237" t="str">
        <f>IFERROR(_xlfn.XLOOKUP($A280,Input_Raw!$A:$A,Input_Raw!$AM:$AM),"")</f>
        <v/>
      </c>
      <c r="J280" s="237"/>
      <c r="K280" s="237" t="str">
        <f>IFERROR(_xlfn.XLOOKUP($A280,Input_Raw!$A:$A,Input_Raw!AO:AO),"")</f>
        <v/>
      </c>
      <c r="L280" s="237" t="str">
        <f>IFERROR(_xlfn.XLOOKUP($A280,Input_Raw!$A:$A,Input_Raw!AP:AP),"")</f>
        <v/>
      </c>
      <c r="M280" s="237" t="str">
        <f>IFERROR(_xlfn.XLOOKUP($A280,Input_Raw!$A:$A,Input_Raw!AS:AS),"")</f>
        <v/>
      </c>
      <c r="N280" s="237" t="str">
        <f>IFERROR(_xlfn.XLOOKUP($A280,Input_Raw!$A:$A,Input_Raw!AT:AT),"")</f>
        <v/>
      </c>
      <c r="O280" s="238" t="str">
        <f>IFERROR(1-(SUMIF(Plant_BD!$B:$B,$A280,Plant_BD!$AL:$AL)/($AA280+SUMIF(Plant_BD!$B:$B,$A280,Plant_BD!$AL:$AL))),"")</f>
        <v/>
      </c>
      <c r="P280" s="238"/>
      <c r="Q280" s="239"/>
      <c r="R280" s="238" t="str">
        <f>IFERROR(1-(SUMIF(Grid_BD!$B:$B,$A280,Grid_BD!$V:$V)/($AA280+SUMIF(Grid_BD!$B:$B,$A280,Grid_BD!$V:$V))),"")</f>
        <v/>
      </c>
      <c r="S280" s="234"/>
      <c r="T280" s="239"/>
      <c r="U280" s="240" t="str">
        <f t="shared" si="26"/>
        <v/>
      </c>
      <c r="V280" s="240" t="str">
        <f>IFERROR(_xlfn.XLOOKUP($A280,Input_Raw!$A:$A,Input_Raw!$BS:$BS),"")</f>
        <v/>
      </c>
      <c r="W280" s="241" t="str">
        <f t="shared" si="27"/>
        <v/>
      </c>
      <c r="X280" s="233" t="str">
        <f>IFERROR(_xlfn.XLOOKUP($A280,Input_Raw!$A:$A,Input_Raw!$AW:$AW),"")</f>
        <v/>
      </c>
      <c r="Y280" s="233" t="str">
        <f>IFERROR(_xlfn.XLOOKUP($A280,Input_Raw!$A:$A,Input_Raw!$BN:$BN),"")</f>
        <v/>
      </c>
      <c r="Z280" s="233"/>
      <c r="AA280" s="233" t="str">
        <f>IFERROR(_xlfn.XLOOKUP($A280,Input_Raw!$A:$A,Input_Raw!$BO:$BO),"")</f>
        <v/>
      </c>
      <c r="AB280" s="233" t="str">
        <f>IFERROR(_xlfn.XLOOKUP($A280,Input_Raw!$A:$A,Input_Raw!$BP:$BP),"")</f>
        <v/>
      </c>
      <c r="AC280" s="242" t="str">
        <f>IFERROR(_xlfn.XLOOKUP($D280,'Modelling New'!$D:$D,'Modelling New'!P:P),"")</f>
        <v/>
      </c>
      <c r="AD280" s="233" t="str">
        <f>IFERROR(_xlfn.XLOOKUP($D280,'Modelling New'!$D:$D,'Modelling New'!T:T)*1000,"")</f>
        <v/>
      </c>
      <c r="AE280" s="243" t="str">
        <f>IFERROR(_xlfn.XLOOKUP($D280,'Modelling New'!$D:$D,'Modelling New'!$O:$O),"")</f>
        <v/>
      </c>
      <c r="AF280" s="243" t="str">
        <f>IFERROR(_xlfn.XLOOKUP($D280,'Modelling New'!$D:$D,'Modelling New'!$W:$W),"")</f>
        <v/>
      </c>
      <c r="AG280" s="243" t="str">
        <f>IFERROR(_xlfn.XLOOKUP($D280,'Modelling New'!$D:$D,'Modelling New'!$AE:$AE),"")</f>
        <v/>
      </c>
      <c r="AH280" s="243" t="str">
        <f>IFERROR(_xlfn.XLOOKUP($D280,'Modelling New'!$D:$D,'Modelling New'!$AF:$AF),"")</f>
        <v/>
      </c>
      <c r="AI280" s="234"/>
      <c r="AJ280" s="234"/>
      <c r="AK280" s="234"/>
      <c r="AL280" s="234"/>
      <c r="AM280" s="234"/>
      <c r="AN280" s="244"/>
      <c r="AO280" s="241"/>
      <c r="AP280" s="241"/>
      <c r="AQ280" s="241"/>
      <c r="AR280" s="233" t="e">
        <f>_xlfn.XLOOKUP($D280,'Modelling New'!$D:$D,'Modelling New'!$N:$N)</f>
        <v>#N/A</v>
      </c>
      <c r="AS280" s="233" t="str">
        <f t="shared" si="28"/>
        <v/>
      </c>
    </row>
    <row r="281" spans="1:45">
      <c r="A281" s="232">
        <f t="shared" si="29"/>
        <v>46118</v>
      </c>
      <c r="B281" s="233">
        <f>YEAR(Daily_KPI[[#This Row],[Date]])+IF(MONTH(Daily_KPI[[#This Row],[Date]])&gt;=4,1,0)</f>
        <v>2027</v>
      </c>
      <c r="C281" s="234">
        <f>YEAR(Daily_KPI[[#This Row],[Date]])</f>
        <v>2026</v>
      </c>
      <c r="D281" s="235">
        <f>Daily_KPI[[#This Row],[Date]]-DAY(Daily_KPI[[#This Row],[Date]])+1</f>
        <v>46113</v>
      </c>
      <c r="E281" s="234">
        <f t="shared" si="25"/>
        <v>30</v>
      </c>
      <c r="F281" s="236" t="str">
        <f>IFERROR(_xlfn.XLOOKUP($A281,Input_Raw!$A:$A,Input_Raw!$BM:$BM),"")</f>
        <v/>
      </c>
      <c r="G281" s="237" t="str">
        <f>IFERROR(_xlfn.XLOOKUP($A281,Input_Raw!$A:$A,Input_Raw!$AN:$AN),"")</f>
        <v/>
      </c>
      <c r="H281" s="237"/>
      <c r="I281" s="237" t="str">
        <f>IFERROR(_xlfn.XLOOKUP($A281,Input_Raw!$A:$A,Input_Raw!$AM:$AM),"")</f>
        <v/>
      </c>
      <c r="J281" s="237"/>
      <c r="K281" s="237" t="str">
        <f>IFERROR(_xlfn.XLOOKUP($A281,Input_Raw!$A:$A,Input_Raw!AO:AO),"")</f>
        <v/>
      </c>
      <c r="L281" s="237" t="str">
        <f>IFERROR(_xlfn.XLOOKUP($A281,Input_Raw!$A:$A,Input_Raw!AP:AP),"")</f>
        <v/>
      </c>
      <c r="M281" s="237" t="str">
        <f>IFERROR(_xlfn.XLOOKUP($A281,Input_Raw!$A:$A,Input_Raw!AS:AS),"")</f>
        <v/>
      </c>
      <c r="N281" s="237" t="str">
        <f>IFERROR(_xlfn.XLOOKUP($A281,Input_Raw!$A:$A,Input_Raw!AT:AT),"")</f>
        <v/>
      </c>
      <c r="O281" s="238" t="str">
        <f>IFERROR(1-(SUMIF(Plant_BD!$B:$B,$A281,Plant_BD!$AL:$AL)/($AA281+SUMIF(Plant_BD!$B:$B,$A281,Plant_BD!$AL:$AL))),"")</f>
        <v/>
      </c>
      <c r="P281" s="238"/>
      <c r="Q281" s="239"/>
      <c r="R281" s="238" t="str">
        <f>IFERROR(1-(SUMIF(Grid_BD!$B:$B,$A281,Grid_BD!$V:$V)/($AA281+SUMIF(Grid_BD!$B:$B,$A281,Grid_BD!$V:$V))),"")</f>
        <v/>
      </c>
      <c r="S281" s="234"/>
      <c r="T281" s="239"/>
      <c r="U281" s="240" t="str">
        <f t="shared" si="26"/>
        <v/>
      </c>
      <c r="V281" s="240" t="str">
        <f>IFERROR(_xlfn.XLOOKUP($A281,Input_Raw!$A:$A,Input_Raw!$BS:$BS),"")</f>
        <v/>
      </c>
      <c r="W281" s="241" t="str">
        <f t="shared" si="27"/>
        <v/>
      </c>
      <c r="X281" s="233" t="str">
        <f>IFERROR(_xlfn.XLOOKUP($A281,Input_Raw!$A:$A,Input_Raw!$AW:$AW),"")</f>
        <v/>
      </c>
      <c r="Y281" s="233" t="str">
        <f>IFERROR(_xlfn.XLOOKUP($A281,Input_Raw!$A:$A,Input_Raw!$BN:$BN),"")</f>
        <v/>
      </c>
      <c r="Z281" s="233"/>
      <c r="AA281" s="233" t="str">
        <f>IFERROR(_xlfn.XLOOKUP($A281,Input_Raw!$A:$A,Input_Raw!$BO:$BO),"")</f>
        <v/>
      </c>
      <c r="AB281" s="233" t="str">
        <f>IFERROR(_xlfn.XLOOKUP($A281,Input_Raw!$A:$A,Input_Raw!$BP:$BP),"")</f>
        <v/>
      </c>
      <c r="AC281" s="242" t="str">
        <f>IFERROR(_xlfn.XLOOKUP($D281,'Modelling New'!$D:$D,'Modelling New'!P:P),"")</f>
        <v/>
      </c>
      <c r="AD281" s="233" t="str">
        <f>IFERROR(_xlfn.XLOOKUP($D281,'Modelling New'!$D:$D,'Modelling New'!T:T)*1000,"")</f>
        <v/>
      </c>
      <c r="AE281" s="243" t="str">
        <f>IFERROR(_xlfn.XLOOKUP($D281,'Modelling New'!$D:$D,'Modelling New'!$O:$O),"")</f>
        <v/>
      </c>
      <c r="AF281" s="243" t="str">
        <f>IFERROR(_xlfn.XLOOKUP($D281,'Modelling New'!$D:$D,'Modelling New'!$W:$W),"")</f>
        <v/>
      </c>
      <c r="AG281" s="243" t="str">
        <f>IFERROR(_xlfn.XLOOKUP($D281,'Modelling New'!$D:$D,'Modelling New'!$AE:$AE),"")</f>
        <v/>
      </c>
      <c r="AH281" s="243" t="str">
        <f>IFERROR(_xlfn.XLOOKUP($D281,'Modelling New'!$D:$D,'Modelling New'!$AF:$AF),"")</f>
        <v/>
      </c>
      <c r="AI281" s="234"/>
      <c r="AJ281" s="234"/>
      <c r="AK281" s="234"/>
      <c r="AL281" s="234"/>
      <c r="AM281" s="234"/>
      <c r="AN281" s="244"/>
      <c r="AO281" s="241"/>
      <c r="AP281" s="241"/>
      <c r="AQ281" s="241"/>
      <c r="AR281" s="233" t="e">
        <f>_xlfn.XLOOKUP($D281,'Modelling New'!$D:$D,'Modelling New'!$N:$N)</f>
        <v>#N/A</v>
      </c>
      <c r="AS281" s="233" t="str">
        <f t="shared" si="28"/>
        <v/>
      </c>
    </row>
    <row r="282" spans="1:45">
      <c r="A282" s="232">
        <f t="shared" si="29"/>
        <v>46119</v>
      </c>
      <c r="B282" s="233">
        <f>YEAR(Daily_KPI[[#This Row],[Date]])+IF(MONTH(Daily_KPI[[#This Row],[Date]])&gt;=4,1,0)</f>
        <v>2027</v>
      </c>
      <c r="C282" s="234">
        <f>YEAR(Daily_KPI[[#This Row],[Date]])</f>
        <v>2026</v>
      </c>
      <c r="D282" s="235">
        <f>Daily_KPI[[#This Row],[Date]]-DAY(Daily_KPI[[#This Row],[Date]])+1</f>
        <v>46113</v>
      </c>
      <c r="E282" s="234">
        <f t="shared" si="25"/>
        <v>30</v>
      </c>
      <c r="F282" s="236" t="str">
        <f>IFERROR(_xlfn.XLOOKUP($A282,Input_Raw!$A:$A,Input_Raw!$BM:$BM),"")</f>
        <v/>
      </c>
      <c r="G282" s="237" t="str">
        <f>IFERROR(_xlfn.XLOOKUP($A282,Input_Raw!$A:$A,Input_Raw!$AN:$AN),"")</f>
        <v/>
      </c>
      <c r="H282" s="237"/>
      <c r="I282" s="237" t="str">
        <f>IFERROR(_xlfn.XLOOKUP($A282,Input_Raw!$A:$A,Input_Raw!$AM:$AM),"")</f>
        <v/>
      </c>
      <c r="J282" s="237"/>
      <c r="K282" s="237" t="str">
        <f>IFERROR(_xlfn.XLOOKUP($A282,Input_Raw!$A:$A,Input_Raw!AO:AO),"")</f>
        <v/>
      </c>
      <c r="L282" s="237" t="str">
        <f>IFERROR(_xlfn.XLOOKUP($A282,Input_Raw!$A:$A,Input_Raw!AP:AP),"")</f>
        <v/>
      </c>
      <c r="M282" s="237" t="str">
        <f>IFERROR(_xlfn.XLOOKUP($A282,Input_Raw!$A:$A,Input_Raw!AS:AS),"")</f>
        <v/>
      </c>
      <c r="N282" s="237" t="str">
        <f>IFERROR(_xlfn.XLOOKUP($A282,Input_Raw!$A:$A,Input_Raw!AT:AT),"")</f>
        <v/>
      </c>
      <c r="O282" s="238" t="str">
        <f>IFERROR(1-(SUMIF(Plant_BD!$B:$B,$A282,Plant_BD!$AL:$AL)/($AA282+SUMIF(Plant_BD!$B:$B,$A282,Plant_BD!$AL:$AL))),"")</f>
        <v/>
      </c>
      <c r="P282" s="238"/>
      <c r="Q282" s="239"/>
      <c r="R282" s="238" t="str">
        <f>IFERROR(1-(SUMIF(Grid_BD!$B:$B,$A282,Grid_BD!$V:$V)/($AA282+SUMIF(Grid_BD!$B:$B,$A282,Grid_BD!$V:$V))),"")</f>
        <v/>
      </c>
      <c r="S282" s="234"/>
      <c r="T282" s="239"/>
      <c r="U282" s="240" t="str">
        <f t="shared" si="26"/>
        <v/>
      </c>
      <c r="V282" s="240" t="str">
        <f>IFERROR(_xlfn.XLOOKUP($A282,Input_Raw!$A:$A,Input_Raw!$BS:$BS),"")</f>
        <v/>
      </c>
      <c r="W282" s="241" t="str">
        <f t="shared" si="27"/>
        <v/>
      </c>
      <c r="X282" s="233" t="str">
        <f>IFERROR(_xlfn.XLOOKUP($A282,Input_Raw!$A:$A,Input_Raw!$AW:$AW),"")</f>
        <v/>
      </c>
      <c r="Y282" s="233" t="str">
        <f>IFERROR(_xlfn.XLOOKUP($A282,Input_Raw!$A:$A,Input_Raw!$BN:$BN),"")</f>
        <v/>
      </c>
      <c r="Z282" s="233"/>
      <c r="AA282" s="233" t="str">
        <f>IFERROR(_xlfn.XLOOKUP($A282,Input_Raw!$A:$A,Input_Raw!$BO:$BO),"")</f>
        <v/>
      </c>
      <c r="AB282" s="233" t="str">
        <f>IFERROR(_xlfn.XLOOKUP($A282,Input_Raw!$A:$A,Input_Raw!$BP:$BP),"")</f>
        <v/>
      </c>
      <c r="AC282" s="242" t="str">
        <f>IFERROR(_xlfn.XLOOKUP($D282,'Modelling New'!$D:$D,'Modelling New'!P:P),"")</f>
        <v/>
      </c>
      <c r="AD282" s="233" t="str">
        <f>IFERROR(_xlfn.XLOOKUP($D282,'Modelling New'!$D:$D,'Modelling New'!T:T)*1000,"")</f>
        <v/>
      </c>
      <c r="AE282" s="243" t="str">
        <f>IFERROR(_xlfn.XLOOKUP($D282,'Modelling New'!$D:$D,'Modelling New'!$O:$O),"")</f>
        <v/>
      </c>
      <c r="AF282" s="243" t="str">
        <f>IFERROR(_xlfn.XLOOKUP($D282,'Modelling New'!$D:$D,'Modelling New'!$W:$W),"")</f>
        <v/>
      </c>
      <c r="AG282" s="243" t="str">
        <f>IFERROR(_xlfn.XLOOKUP($D282,'Modelling New'!$D:$D,'Modelling New'!$AE:$AE),"")</f>
        <v/>
      </c>
      <c r="AH282" s="243" t="str">
        <f>IFERROR(_xlfn.XLOOKUP($D282,'Modelling New'!$D:$D,'Modelling New'!$AF:$AF),"")</f>
        <v/>
      </c>
      <c r="AI282" s="234"/>
      <c r="AJ282" s="234"/>
      <c r="AK282" s="234"/>
      <c r="AL282" s="234"/>
      <c r="AM282" s="234"/>
      <c r="AN282" s="244"/>
      <c r="AO282" s="241"/>
      <c r="AP282" s="241"/>
      <c r="AQ282" s="241"/>
      <c r="AR282" s="233" t="e">
        <f>_xlfn.XLOOKUP($D282,'Modelling New'!$D:$D,'Modelling New'!$N:$N)</f>
        <v>#N/A</v>
      </c>
      <c r="AS282" s="233" t="str">
        <f t="shared" si="28"/>
        <v/>
      </c>
    </row>
    <row r="283" spans="1:45">
      <c r="A283" s="232">
        <f t="shared" si="29"/>
        <v>46120</v>
      </c>
      <c r="B283" s="233">
        <f>YEAR(Daily_KPI[[#This Row],[Date]])+IF(MONTH(Daily_KPI[[#This Row],[Date]])&gt;=4,1,0)</f>
        <v>2027</v>
      </c>
      <c r="C283" s="234">
        <f>YEAR(Daily_KPI[[#This Row],[Date]])</f>
        <v>2026</v>
      </c>
      <c r="D283" s="235">
        <f>Daily_KPI[[#This Row],[Date]]-DAY(Daily_KPI[[#This Row],[Date]])+1</f>
        <v>46113</v>
      </c>
      <c r="E283" s="234">
        <f t="shared" si="25"/>
        <v>30</v>
      </c>
      <c r="F283" s="236" t="str">
        <f>IFERROR(_xlfn.XLOOKUP($A283,Input_Raw!$A:$A,Input_Raw!$BM:$BM),"")</f>
        <v/>
      </c>
      <c r="G283" s="237" t="str">
        <f>IFERROR(_xlfn.XLOOKUP($A283,Input_Raw!$A:$A,Input_Raw!$AN:$AN),"")</f>
        <v/>
      </c>
      <c r="H283" s="237"/>
      <c r="I283" s="237" t="str">
        <f>IFERROR(_xlfn.XLOOKUP($A283,Input_Raw!$A:$A,Input_Raw!$AM:$AM),"")</f>
        <v/>
      </c>
      <c r="J283" s="237"/>
      <c r="K283" s="237" t="str">
        <f>IFERROR(_xlfn.XLOOKUP($A283,Input_Raw!$A:$A,Input_Raw!AO:AO),"")</f>
        <v/>
      </c>
      <c r="L283" s="237" t="str">
        <f>IFERROR(_xlfn.XLOOKUP($A283,Input_Raw!$A:$A,Input_Raw!AP:AP),"")</f>
        <v/>
      </c>
      <c r="M283" s="237" t="str">
        <f>IFERROR(_xlfn.XLOOKUP($A283,Input_Raw!$A:$A,Input_Raw!AS:AS),"")</f>
        <v/>
      </c>
      <c r="N283" s="237" t="str">
        <f>IFERROR(_xlfn.XLOOKUP($A283,Input_Raw!$A:$A,Input_Raw!AT:AT),"")</f>
        <v/>
      </c>
      <c r="O283" s="238" t="str">
        <f>IFERROR(1-(SUMIF(Plant_BD!$B:$B,$A283,Plant_BD!$AL:$AL)/($AA283+SUMIF(Plant_BD!$B:$B,$A283,Plant_BD!$AL:$AL))),"")</f>
        <v/>
      </c>
      <c r="P283" s="238"/>
      <c r="Q283" s="239"/>
      <c r="R283" s="238" t="str">
        <f>IFERROR(1-(SUMIF(Grid_BD!$B:$B,$A283,Grid_BD!$V:$V)/($AA283+SUMIF(Grid_BD!$B:$B,$A283,Grid_BD!$V:$V))),"")</f>
        <v/>
      </c>
      <c r="S283" s="234"/>
      <c r="T283" s="239"/>
      <c r="U283" s="240" t="str">
        <f t="shared" si="26"/>
        <v/>
      </c>
      <c r="V283" s="240" t="str">
        <f>IFERROR(_xlfn.XLOOKUP($A283,Input_Raw!$A:$A,Input_Raw!$BS:$BS),"")</f>
        <v/>
      </c>
      <c r="W283" s="241" t="str">
        <f t="shared" si="27"/>
        <v/>
      </c>
      <c r="X283" s="233" t="str">
        <f>IFERROR(_xlfn.XLOOKUP($A283,Input_Raw!$A:$A,Input_Raw!$AW:$AW),"")</f>
        <v/>
      </c>
      <c r="Y283" s="233" t="str">
        <f>IFERROR(_xlfn.XLOOKUP($A283,Input_Raw!$A:$A,Input_Raw!$BN:$BN),"")</f>
        <v/>
      </c>
      <c r="Z283" s="233"/>
      <c r="AA283" s="233" t="str">
        <f>IFERROR(_xlfn.XLOOKUP($A283,Input_Raw!$A:$A,Input_Raw!$BO:$BO),"")</f>
        <v/>
      </c>
      <c r="AB283" s="233" t="str">
        <f>IFERROR(_xlfn.XLOOKUP($A283,Input_Raw!$A:$A,Input_Raw!$BP:$BP),"")</f>
        <v/>
      </c>
      <c r="AC283" s="242" t="str">
        <f>IFERROR(_xlfn.XLOOKUP($D283,'Modelling New'!$D:$D,'Modelling New'!P:P),"")</f>
        <v/>
      </c>
      <c r="AD283" s="233" t="str">
        <f>IFERROR(_xlfn.XLOOKUP($D283,'Modelling New'!$D:$D,'Modelling New'!T:T)*1000,"")</f>
        <v/>
      </c>
      <c r="AE283" s="243" t="str">
        <f>IFERROR(_xlfn.XLOOKUP($D283,'Modelling New'!$D:$D,'Modelling New'!$O:$O),"")</f>
        <v/>
      </c>
      <c r="AF283" s="243" t="str">
        <f>IFERROR(_xlfn.XLOOKUP($D283,'Modelling New'!$D:$D,'Modelling New'!$W:$W),"")</f>
        <v/>
      </c>
      <c r="AG283" s="243" t="str">
        <f>IFERROR(_xlfn.XLOOKUP($D283,'Modelling New'!$D:$D,'Modelling New'!$AE:$AE),"")</f>
        <v/>
      </c>
      <c r="AH283" s="243" t="str">
        <f>IFERROR(_xlfn.XLOOKUP($D283,'Modelling New'!$D:$D,'Modelling New'!$AF:$AF),"")</f>
        <v/>
      </c>
      <c r="AI283" s="234"/>
      <c r="AJ283" s="234"/>
      <c r="AK283" s="234"/>
      <c r="AL283" s="234"/>
      <c r="AM283" s="234"/>
      <c r="AN283" s="244"/>
      <c r="AO283" s="241"/>
      <c r="AP283" s="241"/>
      <c r="AQ283" s="241"/>
      <c r="AR283" s="233" t="e">
        <f>_xlfn.XLOOKUP($D283,'Modelling New'!$D:$D,'Modelling New'!$N:$N)</f>
        <v>#N/A</v>
      </c>
      <c r="AS283" s="233" t="str">
        <f t="shared" si="28"/>
        <v/>
      </c>
    </row>
    <row r="284" spans="1:45">
      <c r="A284" s="232">
        <f t="shared" si="29"/>
        <v>46121</v>
      </c>
      <c r="B284" s="233">
        <f>YEAR(Daily_KPI[[#This Row],[Date]])+IF(MONTH(Daily_KPI[[#This Row],[Date]])&gt;=4,1,0)</f>
        <v>2027</v>
      </c>
      <c r="C284" s="234">
        <f>YEAR(Daily_KPI[[#This Row],[Date]])</f>
        <v>2026</v>
      </c>
      <c r="D284" s="235">
        <f>Daily_KPI[[#This Row],[Date]]-DAY(Daily_KPI[[#This Row],[Date]])+1</f>
        <v>46113</v>
      </c>
      <c r="E284" s="234">
        <f t="shared" si="25"/>
        <v>30</v>
      </c>
      <c r="F284" s="236" t="str">
        <f>IFERROR(_xlfn.XLOOKUP($A284,Input_Raw!$A:$A,Input_Raw!$BM:$BM),"")</f>
        <v/>
      </c>
      <c r="G284" s="237" t="str">
        <f>IFERROR(_xlfn.XLOOKUP($A284,Input_Raw!$A:$A,Input_Raw!$AN:$AN),"")</f>
        <v/>
      </c>
      <c r="H284" s="237"/>
      <c r="I284" s="237" t="str">
        <f>IFERROR(_xlfn.XLOOKUP($A284,Input_Raw!$A:$A,Input_Raw!$AM:$AM),"")</f>
        <v/>
      </c>
      <c r="J284" s="237"/>
      <c r="K284" s="237" t="str">
        <f>IFERROR(_xlfn.XLOOKUP($A284,Input_Raw!$A:$A,Input_Raw!AO:AO),"")</f>
        <v/>
      </c>
      <c r="L284" s="237" t="str">
        <f>IFERROR(_xlfn.XLOOKUP($A284,Input_Raw!$A:$A,Input_Raw!AP:AP),"")</f>
        <v/>
      </c>
      <c r="M284" s="237" t="str">
        <f>IFERROR(_xlfn.XLOOKUP($A284,Input_Raw!$A:$A,Input_Raw!AS:AS),"")</f>
        <v/>
      </c>
      <c r="N284" s="237" t="str">
        <f>IFERROR(_xlfn.XLOOKUP($A284,Input_Raw!$A:$A,Input_Raw!AT:AT),"")</f>
        <v/>
      </c>
      <c r="O284" s="238" t="str">
        <f>IFERROR(1-(SUMIF(Plant_BD!$B:$B,$A284,Plant_BD!$AL:$AL)/($AA284+SUMIF(Plant_BD!$B:$B,$A284,Plant_BD!$AL:$AL))),"")</f>
        <v/>
      </c>
      <c r="P284" s="238"/>
      <c r="Q284" s="239"/>
      <c r="R284" s="238" t="str">
        <f>IFERROR(1-(SUMIF(Grid_BD!$B:$B,$A284,Grid_BD!$V:$V)/($AA284+SUMIF(Grid_BD!$B:$B,$A284,Grid_BD!$V:$V))),"")</f>
        <v/>
      </c>
      <c r="S284" s="234"/>
      <c r="T284" s="239"/>
      <c r="U284" s="240" t="str">
        <f t="shared" si="26"/>
        <v/>
      </c>
      <c r="V284" s="240" t="str">
        <f>IFERROR(_xlfn.XLOOKUP($A284,Input_Raw!$A:$A,Input_Raw!$BS:$BS),"")</f>
        <v/>
      </c>
      <c r="W284" s="241" t="str">
        <f t="shared" si="27"/>
        <v/>
      </c>
      <c r="X284" s="233" t="str">
        <f>IFERROR(_xlfn.XLOOKUP($A284,Input_Raw!$A:$A,Input_Raw!$AW:$AW),"")</f>
        <v/>
      </c>
      <c r="Y284" s="233" t="str">
        <f>IFERROR(_xlfn.XLOOKUP($A284,Input_Raw!$A:$A,Input_Raw!$BN:$BN),"")</f>
        <v/>
      </c>
      <c r="Z284" s="233"/>
      <c r="AA284" s="233" t="str">
        <f>IFERROR(_xlfn.XLOOKUP($A284,Input_Raw!$A:$A,Input_Raw!$BO:$BO),"")</f>
        <v/>
      </c>
      <c r="AB284" s="233" t="str">
        <f>IFERROR(_xlfn.XLOOKUP($A284,Input_Raw!$A:$A,Input_Raw!$BP:$BP),"")</f>
        <v/>
      </c>
      <c r="AC284" s="242" t="str">
        <f>IFERROR(_xlfn.XLOOKUP($D284,'Modelling New'!$D:$D,'Modelling New'!P:P),"")</f>
        <v/>
      </c>
      <c r="AD284" s="233" t="str">
        <f>IFERROR(_xlfn.XLOOKUP($D284,'Modelling New'!$D:$D,'Modelling New'!T:T)*1000,"")</f>
        <v/>
      </c>
      <c r="AE284" s="243" t="str">
        <f>IFERROR(_xlfn.XLOOKUP($D284,'Modelling New'!$D:$D,'Modelling New'!$O:$O),"")</f>
        <v/>
      </c>
      <c r="AF284" s="243" t="str">
        <f>IFERROR(_xlfn.XLOOKUP($D284,'Modelling New'!$D:$D,'Modelling New'!$W:$W),"")</f>
        <v/>
      </c>
      <c r="AG284" s="243" t="str">
        <f>IFERROR(_xlfn.XLOOKUP($D284,'Modelling New'!$D:$D,'Modelling New'!$AE:$AE),"")</f>
        <v/>
      </c>
      <c r="AH284" s="243" t="str">
        <f>IFERROR(_xlfn.XLOOKUP($D284,'Modelling New'!$D:$D,'Modelling New'!$AF:$AF),"")</f>
        <v/>
      </c>
      <c r="AI284" s="234"/>
      <c r="AJ284" s="234"/>
      <c r="AK284" s="234"/>
      <c r="AL284" s="234"/>
      <c r="AM284" s="234"/>
      <c r="AN284" s="244"/>
      <c r="AO284" s="241"/>
      <c r="AP284" s="241"/>
      <c r="AQ284" s="241"/>
      <c r="AR284" s="233" t="e">
        <f>_xlfn.XLOOKUP($D284,'Modelling New'!$D:$D,'Modelling New'!$N:$N)</f>
        <v>#N/A</v>
      </c>
      <c r="AS284" s="233" t="str">
        <f t="shared" si="28"/>
        <v/>
      </c>
    </row>
    <row r="285" spans="1:45">
      <c r="A285" s="232">
        <f t="shared" si="29"/>
        <v>46122</v>
      </c>
      <c r="B285" s="233">
        <f>YEAR(Daily_KPI[[#This Row],[Date]])+IF(MONTH(Daily_KPI[[#This Row],[Date]])&gt;=4,1,0)</f>
        <v>2027</v>
      </c>
      <c r="C285" s="234">
        <f>YEAR(Daily_KPI[[#This Row],[Date]])</f>
        <v>2026</v>
      </c>
      <c r="D285" s="235">
        <f>Daily_KPI[[#This Row],[Date]]-DAY(Daily_KPI[[#This Row],[Date]])+1</f>
        <v>46113</v>
      </c>
      <c r="E285" s="234">
        <f t="shared" si="25"/>
        <v>30</v>
      </c>
      <c r="F285" s="236" t="str">
        <f>IFERROR(_xlfn.XLOOKUP($A285,Input_Raw!$A:$A,Input_Raw!$BM:$BM),"")</f>
        <v/>
      </c>
      <c r="G285" s="237" t="str">
        <f>IFERROR(_xlfn.XLOOKUP($A285,Input_Raw!$A:$A,Input_Raw!$AN:$AN),"")</f>
        <v/>
      </c>
      <c r="H285" s="237"/>
      <c r="I285" s="237" t="str">
        <f>IFERROR(_xlfn.XLOOKUP($A285,Input_Raw!$A:$A,Input_Raw!$AM:$AM),"")</f>
        <v/>
      </c>
      <c r="J285" s="237"/>
      <c r="K285" s="237" t="str">
        <f>IFERROR(_xlfn.XLOOKUP($A285,Input_Raw!$A:$A,Input_Raw!AO:AO),"")</f>
        <v/>
      </c>
      <c r="L285" s="237" t="str">
        <f>IFERROR(_xlfn.XLOOKUP($A285,Input_Raw!$A:$A,Input_Raw!AP:AP),"")</f>
        <v/>
      </c>
      <c r="M285" s="237" t="str">
        <f>IFERROR(_xlfn.XLOOKUP($A285,Input_Raw!$A:$A,Input_Raw!AS:AS),"")</f>
        <v/>
      </c>
      <c r="N285" s="237" t="str">
        <f>IFERROR(_xlfn.XLOOKUP($A285,Input_Raw!$A:$A,Input_Raw!AT:AT),"")</f>
        <v/>
      </c>
      <c r="O285" s="238" t="str">
        <f>IFERROR(1-(SUMIF(Plant_BD!$B:$B,$A285,Plant_BD!$AL:$AL)/($AA285+SUMIF(Plant_BD!$B:$B,$A285,Plant_BD!$AL:$AL))),"")</f>
        <v/>
      </c>
      <c r="P285" s="238"/>
      <c r="Q285" s="239"/>
      <c r="R285" s="238" t="str">
        <f>IFERROR(1-(SUMIF(Grid_BD!$B:$B,$A285,Grid_BD!$V:$V)/($AA285+SUMIF(Grid_BD!$B:$B,$A285,Grid_BD!$V:$V))),"")</f>
        <v/>
      </c>
      <c r="S285" s="234"/>
      <c r="T285" s="239"/>
      <c r="U285" s="240" t="str">
        <f t="shared" si="26"/>
        <v/>
      </c>
      <c r="V285" s="240" t="str">
        <f>IFERROR(_xlfn.XLOOKUP($A285,Input_Raw!$A:$A,Input_Raw!$BS:$BS),"")</f>
        <v/>
      </c>
      <c r="W285" s="241" t="str">
        <f t="shared" si="27"/>
        <v/>
      </c>
      <c r="X285" s="233" t="str">
        <f>IFERROR(_xlfn.XLOOKUP($A285,Input_Raw!$A:$A,Input_Raw!$AW:$AW),"")</f>
        <v/>
      </c>
      <c r="Y285" s="233" t="str">
        <f>IFERROR(_xlfn.XLOOKUP($A285,Input_Raw!$A:$A,Input_Raw!$BN:$BN),"")</f>
        <v/>
      </c>
      <c r="Z285" s="233"/>
      <c r="AA285" s="233" t="str">
        <f>IFERROR(_xlfn.XLOOKUP($A285,Input_Raw!$A:$A,Input_Raw!$BO:$BO),"")</f>
        <v/>
      </c>
      <c r="AB285" s="233" t="str">
        <f>IFERROR(_xlfn.XLOOKUP($A285,Input_Raw!$A:$A,Input_Raw!$BP:$BP),"")</f>
        <v/>
      </c>
      <c r="AC285" s="242" t="str">
        <f>IFERROR(_xlfn.XLOOKUP($D285,'Modelling New'!$D:$D,'Modelling New'!P:P),"")</f>
        <v/>
      </c>
      <c r="AD285" s="233" t="str">
        <f>IFERROR(_xlfn.XLOOKUP($D285,'Modelling New'!$D:$D,'Modelling New'!T:T)*1000,"")</f>
        <v/>
      </c>
      <c r="AE285" s="243" t="str">
        <f>IFERROR(_xlfn.XLOOKUP($D285,'Modelling New'!$D:$D,'Modelling New'!$O:$O),"")</f>
        <v/>
      </c>
      <c r="AF285" s="243" t="str">
        <f>IFERROR(_xlfn.XLOOKUP($D285,'Modelling New'!$D:$D,'Modelling New'!$W:$W),"")</f>
        <v/>
      </c>
      <c r="AG285" s="243" t="str">
        <f>IFERROR(_xlfn.XLOOKUP($D285,'Modelling New'!$D:$D,'Modelling New'!$AE:$AE),"")</f>
        <v/>
      </c>
      <c r="AH285" s="243" t="str">
        <f>IFERROR(_xlfn.XLOOKUP($D285,'Modelling New'!$D:$D,'Modelling New'!$AF:$AF),"")</f>
        <v/>
      </c>
      <c r="AI285" s="234"/>
      <c r="AJ285" s="234"/>
      <c r="AK285" s="234"/>
      <c r="AL285" s="234"/>
      <c r="AM285" s="234"/>
      <c r="AN285" s="244"/>
      <c r="AO285" s="241"/>
      <c r="AP285" s="241"/>
      <c r="AQ285" s="241"/>
      <c r="AR285" s="233" t="e">
        <f>_xlfn.XLOOKUP($D285,'Modelling New'!$D:$D,'Modelling New'!$N:$N)</f>
        <v>#N/A</v>
      </c>
      <c r="AS285" s="233" t="str">
        <f t="shared" si="28"/>
        <v/>
      </c>
    </row>
    <row r="286" spans="1:45">
      <c r="A286" s="232">
        <f t="shared" si="29"/>
        <v>46123</v>
      </c>
      <c r="B286" s="233">
        <f>YEAR(Daily_KPI[[#This Row],[Date]])+IF(MONTH(Daily_KPI[[#This Row],[Date]])&gt;=4,1,0)</f>
        <v>2027</v>
      </c>
      <c r="C286" s="234">
        <f>YEAR(Daily_KPI[[#This Row],[Date]])</f>
        <v>2026</v>
      </c>
      <c r="D286" s="235">
        <f>Daily_KPI[[#This Row],[Date]]-DAY(Daily_KPI[[#This Row],[Date]])+1</f>
        <v>46113</v>
      </c>
      <c r="E286" s="234">
        <f t="shared" si="25"/>
        <v>30</v>
      </c>
      <c r="F286" s="236" t="str">
        <f>IFERROR(_xlfn.XLOOKUP($A286,Input_Raw!$A:$A,Input_Raw!$BM:$BM),"")</f>
        <v/>
      </c>
      <c r="G286" s="237" t="str">
        <f>IFERROR(_xlfn.XLOOKUP($A286,Input_Raw!$A:$A,Input_Raw!$AN:$AN),"")</f>
        <v/>
      </c>
      <c r="H286" s="237"/>
      <c r="I286" s="237" t="str">
        <f>IFERROR(_xlfn.XLOOKUP($A286,Input_Raw!$A:$A,Input_Raw!$AM:$AM),"")</f>
        <v/>
      </c>
      <c r="J286" s="237"/>
      <c r="K286" s="237" t="str">
        <f>IFERROR(_xlfn.XLOOKUP($A286,Input_Raw!$A:$A,Input_Raw!AO:AO),"")</f>
        <v/>
      </c>
      <c r="L286" s="237" t="str">
        <f>IFERROR(_xlfn.XLOOKUP($A286,Input_Raw!$A:$A,Input_Raw!AP:AP),"")</f>
        <v/>
      </c>
      <c r="M286" s="237" t="str">
        <f>IFERROR(_xlfn.XLOOKUP($A286,Input_Raw!$A:$A,Input_Raw!AS:AS),"")</f>
        <v/>
      </c>
      <c r="N286" s="237" t="str">
        <f>IFERROR(_xlfn.XLOOKUP($A286,Input_Raw!$A:$A,Input_Raw!AT:AT),"")</f>
        <v/>
      </c>
      <c r="O286" s="238" t="str">
        <f>IFERROR(1-(SUMIF(Plant_BD!$B:$B,$A286,Plant_BD!$AL:$AL)/($AA286+SUMIF(Plant_BD!$B:$B,$A286,Plant_BD!$AL:$AL))),"")</f>
        <v/>
      </c>
      <c r="P286" s="238"/>
      <c r="Q286" s="239"/>
      <c r="R286" s="238" t="str">
        <f>IFERROR(1-(SUMIF(Grid_BD!$B:$B,$A286,Grid_BD!$V:$V)/($AA286+SUMIF(Grid_BD!$B:$B,$A286,Grid_BD!$V:$V))),"")</f>
        <v/>
      </c>
      <c r="S286" s="234"/>
      <c r="T286" s="239"/>
      <c r="U286" s="240" t="str">
        <f t="shared" si="26"/>
        <v/>
      </c>
      <c r="V286" s="240" t="str">
        <f>IFERROR(_xlfn.XLOOKUP($A286,Input_Raw!$A:$A,Input_Raw!$BS:$BS),"")</f>
        <v/>
      </c>
      <c r="W286" s="241" t="str">
        <f t="shared" si="27"/>
        <v/>
      </c>
      <c r="X286" s="233" t="str">
        <f>IFERROR(_xlfn.XLOOKUP($A286,Input_Raw!$A:$A,Input_Raw!$AW:$AW),"")</f>
        <v/>
      </c>
      <c r="Y286" s="233" t="str">
        <f>IFERROR(_xlfn.XLOOKUP($A286,Input_Raw!$A:$A,Input_Raw!$BN:$BN),"")</f>
        <v/>
      </c>
      <c r="Z286" s="233"/>
      <c r="AA286" s="233" t="str">
        <f>IFERROR(_xlfn.XLOOKUP($A286,Input_Raw!$A:$A,Input_Raw!$BO:$BO),"")</f>
        <v/>
      </c>
      <c r="AB286" s="233" t="str">
        <f>IFERROR(_xlfn.XLOOKUP($A286,Input_Raw!$A:$A,Input_Raw!$BP:$BP),"")</f>
        <v/>
      </c>
      <c r="AC286" s="242" t="str">
        <f>IFERROR(_xlfn.XLOOKUP($D286,'Modelling New'!$D:$D,'Modelling New'!P:P),"")</f>
        <v/>
      </c>
      <c r="AD286" s="233" t="str">
        <f>IFERROR(_xlfn.XLOOKUP($D286,'Modelling New'!$D:$D,'Modelling New'!T:T)*1000,"")</f>
        <v/>
      </c>
      <c r="AE286" s="243" t="str">
        <f>IFERROR(_xlfn.XLOOKUP($D286,'Modelling New'!$D:$D,'Modelling New'!$O:$O),"")</f>
        <v/>
      </c>
      <c r="AF286" s="243" t="str">
        <f>IFERROR(_xlfn.XLOOKUP($D286,'Modelling New'!$D:$D,'Modelling New'!$W:$W),"")</f>
        <v/>
      </c>
      <c r="AG286" s="243" t="str">
        <f>IFERROR(_xlfn.XLOOKUP($D286,'Modelling New'!$D:$D,'Modelling New'!$AE:$AE),"")</f>
        <v/>
      </c>
      <c r="AH286" s="243" t="str">
        <f>IFERROR(_xlfn.XLOOKUP($D286,'Modelling New'!$D:$D,'Modelling New'!$AF:$AF),"")</f>
        <v/>
      </c>
      <c r="AI286" s="234"/>
      <c r="AJ286" s="234"/>
      <c r="AK286" s="234"/>
      <c r="AL286" s="234"/>
      <c r="AM286" s="234"/>
      <c r="AN286" s="244"/>
      <c r="AO286" s="241"/>
      <c r="AP286" s="241"/>
      <c r="AQ286" s="241"/>
      <c r="AR286" s="233" t="e">
        <f>_xlfn.XLOOKUP($D286,'Modelling New'!$D:$D,'Modelling New'!$N:$N)</f>
        <v>#N/A</v>
      </c>
      <c r="AS286" s="233" t="str">
        <f t="shared" si="28"/>
        <v/>
      </c>
    </row>
    <row r="287" spans="1:45">
      <c r="A287" s="232">
        <f t="shared" si="29"/>
        <v>46124</v>
      </c>
      <c r="B287" s="233">
        <f>YEAR(Daily_KPI[[#This Row],[Date]])+IF(MONTH(Daily_KPI[[#This Row],[Date]])&gt;=4,1,0)</f>
        <v>2027</v>
      </c>
      <c r="C287" s="234">
        <f>YEAR(Daily_KPI[[#This Row],[Date]])</f>
        <v>2026</v>
      </c>
      <c r="D287" s="235">
        <f>Daily_KPI[[#This Row],[Date]]-DAY(Daily_KPI[[#This Row],[Date]])+1</f>
        <v>46113</v>
      </c>
      <c r="E287" s="234">
        <f t="shared" si="25"/>
        <v>30</v>
      </c>
      <c r="F287" s="236" t="str">
        <f>IFERROR(_xlfn.XLOOKUP($A287,Input_Raw!$A:$A,Input_Raw!$BM:$BM),"")</f>
        <v/>
      </c>
      <c r="G287" s="237" t="str">
        <f>IFERROR(_xlfn.XLOOKUP($A287,Input_Raw!$A:$A,Input_Raw!$AN:$AN),"")</f>
        <v/>
      </c>
      <c r="H287" s="237"/>
      <c r="I287" s="237" t="str">
        <f>IFERROR(_xlfn.XLOOKUP($A287,Input_Raw!$A:$A,Input_Raw!$AM:$AM),"")</f>
        <v/>
      </c>
      <c r="J287" s="237"/>
      <c r="K287" s="237" t="str">
        <f>IFERROR(_xlfn.XLOOKUP($A287,Input_Raw!$A:$A,Input_Raw!AO:AO),"")</f>
        <v/>
      </c>
      <c r="L287" s="237" t="str">
        <f>IFERROR(_xlfn.XLOOKUP($A287,Input_Raw!$A:$A,Input_Raw!AP:AP),"")</f>
        <v/>
      </c>
      <c r="M287" s="237" t="str">
        <f>IFERROR(_xlfn.XLOOKUP($A287,Input_Raw!$A:$A,Input_Raw!AS:AS),"")</f>
        <v/>
      </c>
      <c r="N287" s="237" t="str">
        <f>IFERROR(_xlfn.XLOOKUP($A287,Input_Raw!$A:$A,Input_Raw!AT:AT),"")</f>
        <v/>
      </c>
      <c r="O287" s="238" t="str">
        <f>IFERROR(1-(SUMIF(Plant_BD!$B:$B,$A287,Plant_BD!$AL:$AL)/($AA287+SUMIF(Plant_BD!$B:$B,$A287,Plant_BD!$AL:$AL))),"")</f>
        <v/>
      </c>
      <c r="P287" s="238"/>
      <c r="Q287" s="239"/>
      <c r="R287" s="238" t="str">
        <f>IFERROR(1-(SUMIF(Grid_BD!$B:$B,$A287,Grid_BD!$V:$V)/($AA287+SUMIF(Grid_BD!$B:$B,$A287,Grid_BD!$V:$V))),"")</f>
        <v/>
      </c>
      <c r="S287" s="234"/>
      <c r="T287" s="239"/>
      <c r="U287" s="240" t="str">
        <f t="shared" si="26"/>
        <v/>
      </c>
      <c r="V287" s="240" t="str">
        <f>IFERROR(_xlfn.XLOOKUP($A287,Input_Raw!$A:$A,Input_Raw!$BS:$BS),"")</f>
        <v/>
      </c>
      <c r="W287" s="241" t="str">
        <f t="shared" si="27"/>
        <v/>
      </c>
      <c r="X287" s="233" t="str">
        <f>IFERROR(_xlfn.XLOOKUP($A287,Input_Raw!$A:$A,Input_Raw!$AW:$AW),"")</f>
        <v/>
      </c>
      <c r="Y287" s="233" t="str">
        <f>IFERROR(_xlfn.XLOOKUP($A287,Input_Raw!$A:$A,Input_Raw!$BN:$BN),"")</f>
        <v/>
      </c>
      <c r="Z287" s="233"/>
      <c r="AA287" s="233" t="str">
        <f>IFERROR(_xlfn.XLOOKUP($A287,Input_Raw!$A:$A,Input_Raw!$BO:$BO),"")</f>
        <v/>
      </c>
      <c r="AB287" s="233" t="str">
        <f>IFERROR(_xlfn.XLOOKUP($A287,Input_Raw!$A:$A,Input_Raw!$BP:$BP),"")</f>
        <v/>
      </c>
      <c r="AC287" s="242" t="str">
        <f>IFERROR(_xlfn.XLOOKUP($D287,'Modelling New'!$D:$D,'Modelling New'!P:P),"")</f>
        <v/>
      </c>
      <c r="AD287" s="233" t="str">
        <f>IFERROR(_xlfn.XLOOKUP($D287,'Modelling New'!$D:$D,'Modelling New'!T:T)*1000,"")</f>
        <v/>
      </c>
      <c r="AE287" s="243" t="str">
        <f>IFERROR(_xlfn.XLOOKUP($D287,'Modelling New'!$D:$D,'Modelling New'!$O:$O),"")</f>
        <v/>
      </c>
      <c r="AF287" s="243" t="str">
        <f>IFERROR(_xlfn.XLOOKUP($D287,'Modelling New'!$D:$D,'Modelling New'!$W:$W),"")</f>
        <v/>
      </c>
      <c r="AG287" s="243" t="str">
        <f>IFERROR(_xlfn.XLOOKUP($D287,'Modelling New'!$D:$D,'Modelling New'!$AE:$AE),"")</f>
        <v/>
      </c>
      <c r="AH287" s="243" t="str">
        <f>IFERROR(_xlfn.XLOOKUP($D287,'Modelling New'!$D:$D,'Modelling New'!$AF:$AF),"")</f>
        <v/>
      </c>
      <c r="AI287" s="234"/>
      <c r="AJ287" s="234"/>
      <c r="AK287" s="234"/>
      <c r="AL287" s="234"/>
      <c r="AM287" s="234"/>
      <c r="AN287" s="244"/>
      <c r="AO287" s="241"/>
      <c r="AP287" s="241"/>
      <c r="AQ287" s="241"/>
      <c r="AR287" s="233" t="e">
        <f>_xlfn.XLOOKUP($D287,'Modelling New'!$D:$D,'Modelling New'!$N:$N)</f>
        <v>#N/A</v>
      </c>
      <c r="AS287" s="233" t="str">
        <f t="shared" si="28"/>
        <v/>
      </c>
    </row>
    <row r="288" spans="1:45">
      <c r="A288" s="232">
        <f t="shared" si="29"/>
        <v>46125</v>
      </c>
      <c r="B288" s="233">
        <f>YEAR(Daily_KPI[[#This Row],[Date]])+IF(MONTH(Daily_KPI[[#This Row],[Date]])&gt;=4,1,0)</f>
        <v>2027</v>
      </c>
      <c r="C288" s="234">
        <f>YEAR(Daily_KPI[[#This Row],[Date]])</f>
        <v>2026</v>
      </c>
      <c r="D288" s="235">
        <f>Daily_KPI[[#This Row],[Date]]-DAY(Daily_KPI[[#This Row],[Date]])+1</f>
        <v>46113</v>
      </c>
      <c r="E288" s="234">
        <f t="shared" si="25"/>
        <v>30</v>
      </c>
      <c r="F288" s="236" t="str">
        <f>IFERROR(_xlfn.XLOOKUP($A288,Input_Raw!$A:$A,Input_Raw!$BM:$BM),"")</f>
        <v/>
      </c>
      <c r="G288" s="237" t="str">
        <f>IFERROR(_xlfn.XLOOKUP($A288,Input_Raw!$A:$A,Input_Raw!$AN:$AN),"")</f>
        <v/>
      </c>
      <c r="H288" s="237"/>
      <c r="I288" s="237" t="str">
        <f>IFERROR(_xlfn.XLOOKUP($A288,Input_Raw!$A:$A,Input_Raw!$AM:$AM),"")</f>
        <v/>
      </c>
      <c r="J288" s="237"/>
      <c r="K288" s="237" t="str">
        <f>IFERROR(_xlfn.XLOOKUP($A288,Input_Raw!$A:$A,Input_Raw!AO:AO),"")</f>
        <v/>
      </c>
      <c r="L288" s="237" t="str">
        <f>IFERROR(_xlfn.XLOOKUP($A288,Input_Raw!$A:$A,Input_Raw!AP:AP),"")</f>
        <v/>
      </c>
      <c r="M288" s="237" t="str">
        <f>IFERROR(_xlfn.XLOOKUP($A288,Input_Raw!$A:$A,Input_Raw!AS:AS),"")</f>
        <v/>
      </c>
      <c r="N288" s="237" t="str">
        <f>IFERROR(_xlfn.XLOOKUP($A288,Input_Raw!$A:$A,Input_Raw!AT:AT),"")</f>
        <v/>
      </c>
      <c r="O288" s="238" t="str">
        <f>IFERROR(1-(SUMIF(Plant_BD!$B:$B,$A288,Plant_BD!$AL:$AL)/($AA288+SUMIF(Plant_BD!$B:$B,$A288,Plant_BD!$AL:$AL))),"")</f>
        <v/>
      </c>
      <c r="P288" s="238"/>
      <c r="Q288" s="239"/>
      <c r="R288" s="238" t="str">
        <f>IFERROR(1-(SUMIF(Grid_BD!$B:$B,$A288,Grid_BD!$V:$V)/($AA288+SUMIF(Grid_BD!$B:$B,$A288,Grid_BD!$V:$V))),"")</f>
        <v/>
      </c>
      <c r="S288" s="234"/>
      <c r="T288" s="239"/>
      <c r="U288" s="240" t="str">
        <f t="shared" si="26"/>
        <v/>
      </c>
      <c r="V288" s="240" t="str">
        <f>IFERROR(_xlfn.XLOOKUP($A288,Input_Raw!$A:$A,Input_Raw!$BS:$BS),"")</f>
        <v/>
      </c>
      <c r="W288" s="241" t="str">
        <f t="shared" si="27"/>
        <v/>
      </c>
      <c r="X288" s="233" t="str">
        <f>IFERROR(_xlfn.XLOOKUP($A288,Input_Raw!$A:$A,Input_Raw!$AW:$AW),"")</f>
        <v/>
      </c>
      <c r="Y288" s="233" t="str">
        <f>IFERROR(_xlfn.XLOOKUP($A288,Input_Raw!$A:$A,Input_Raw!$BN:$BN),"")</f>
        <v/>
      </c>
      <c r="Z288" s="233"/>
      <c r="AA288" s="233" t="str">
        <f>IFERROR(_xlfn.XLOOKUP($A288,Input_Raw!$A:$A,Input_Raw!$BO:$BO),"")</f>
        <v/>
      </c>
      <c r="AB288" s="233" t="str">
        <f>IFERROR(_xlfn.XLOOKUP($A288,Input_Raw!$A:$A,Input_Raw!$BP:$BP),"")</f>
        <v/>
      </c>
      <c r="AC288" s="242" t="str">
        <f>IFERROR(_xlfn.XLOOKUP($D288,'Modelling New'!$D:$D,'Modelling New'!P:P),"")</f>
        <v/>
      </c>
      <c r="AD288" s="233" t="str">
        <f>IFERROR(_xlfn.XLOOKUP($D288,'Modelling New'!$D:$D,'Modelling New'!T:T)*1000,"")</f>
        <v/>
      </c>
      <c r="AE288" s="243" t="str">
        <f>IFERROR(_xlfn.XLOOKUP($D288,'Modelling New'!$D:$D,'Modelling New'!$O:$O),"")</f>
        <v/>
      </c>
      <c r="AF288" s="243" t="str">
        <f>IFERROR(_xlfn.XLOOKUP($D288,'Modelling New'!$D:$D,'Modelling New'!$W:$W),"")</f>
        <v/>
      </c>
      <c r="AG288" s="243" t="str">
        <f>IFERROR(_xlfn.XLOOKUP($D288,'Modelling New'!$D:$D,'Modelling New'!$AE:$AE),"")</f>
        <v/>
      </c>
      <c r="AH288" s="243" t="str">
        <f>IFERROR(_xlfn.XLOOKUP($D288,'Modelling New'!$D:$D,'Modelling New'!$AF:$AF),"")</f>
        <v/>
      </c>
      <c r="AI288" s="234"/>
      <c r="AJ288" s="234"/>
      <c r="AK288" s="234"/>
      <c r="AL288" s="234"/>
      <c r="AM288" s="234"/>
      <c r="AN288" s="244"/>
      <c r="AO288" s="241"/>
      <c r="AP288" s="241"/>
      <c r="AQ288" s="241"/>
      <c r="AR288" s="233" t="e">
        <f>_xlfn.XLOOKUP($D288,'Modelling New'!$D:$D,'Modelling New'!$N:$N)</f>
        <v>#N/A</v>
      </c>
      <c r="AS288" s="233" t="str">
        <f t="shared" si="28"/>
        <v/>
      </c>
    </row>
    <row r="289" spans="1:45">
      <c r="A289" s="232">
        <f t="shared" si="29"/>
        <v>46126</v>
      </c>
      <c r="B289" s="233">
        <f>YEAR(Daily_KPI[[#This Row],[Date]])+IF(MONTH(Daily_KPI[[#This Row],[Date]])&gt;=4,1,0)</f>
        <v>2027</v>
      </c>
      <c r="C289" s="234">
        <f>YEAR(Daily_KPI[[#This Row],[Date]])</f>
        <v>2026</v>
      </c>
      <c r="D289" s="235">
        <f>Daily_KPI[[#This Row],[Date]]-DAY(Daily_KPI[[#This Row],[Date]])+1</f>
        <v>46113</v>
      </c>
      <c r="E289" s="234">
        <f t="shared" si="25"/>
        <v>30</v>
      </c>
      <c r="F289" s="236" t="str">
        <f>IFERROR(_xlfn.XLOOKUP($A289,Input_Raw!$A:$A,Input_Raw!$BM:$BM),"")</f>
        <v/>
      </c>
      <c r="G289" s="237" t="str">
        <f>IFERROR(_xlfn.XLOOKUP($A289,Input_Raw!$A:$A,Input_Raw!$AN:$AN),"")</f>
        <v/>
      </c>
      <c r="H289" s="237"/>
      <c r="I289" s="237" t="str">
        <f>IFERROR(_xlfn.XLOOKUP($A289,Input_Raw!$A:$A,Input_Raw!$AM:$AM),"")</f>
        <v/>
      </c>
      <c r="J289" s="237"/>
      <c r="K289" s="237" t="str">
        <f>IFERROR(_xlfn.XLOOKUP($A289,Input_Raw!$A:$A,Input_Raw!AO:AO),"")</f>
        <v/>
      </c>
      <c r="L289" s="237" t="str">
        <f>IFERROR(_xlfn.XLOOKUP($A289,Input_Raw!$A:$A,Input_Raw!AP:AP),"")</f>
        <v/>
      </c>
      <c r="M289" s="237" t="str">
        <f>IFERROR(_xlfn.XLOOKUP($A289,Input_Raw!$A:$A,Input_Raw!AS:AS),"")</f>
        <v/>
      </c>
      <c r="N289" s="237" t="str">
        <f>IFERROR(_xlfn.XLOOKUP($A289,Input_Raw!$A:$A,Input_Raw!AT:AT),"")</f>
        <v/>
      </c>
      <c r="O289" s="238" t="str">
        <f>IFERROR(1-(SUMIF(Plant_BD!$B:$B,$A289,Plant_BD!$AL:$AL)/($AA289+SUMIF(Plant_BD!$B:$B,$A289,Plant_BD!$AL:$AL))),"")</f>
        <v/>
      </c>
      <c r="P289" s="238"/>
      <c r="Q289" s="239"/>
      <c r="R289" s="238" t="str">
        <f>IFERROR(1-(SUMIF(Grid_BD!$B:$B,$A289,Grid_BD!$V:$V)/($AA289+SUMIF(Grid_BD!$B:$B,$A289,Grid_BD!$V:$V))),"")</f>
        <v/>
      </c>
      <c r="S289" s="234"/>
      <c r="T289" s="239"/>
      <c r="U289" s="240" t="str">
        <f t="shared" si="26"/>
        <v/>
      </c>
      <c r="V289" s="240" t="str">
        <f>IFERROR(_xlfn.XLOOKUP($A289,Input_Raw!$A:$A,Input_Raw!$BS:$BS),"")</f>
        <v/>
      </c>
      <c r="W289" s="241" t="str">
        <f t="shared" si="27"/>
        <v/>
      </c>
      <c r="X289" s="233" t="str">
        <f>IFERROR(_xlfn.XLOOKUP($A289,Input_Raw!$A:$A,Input_Raw!$AW:$AW),"")</f>
        <v/>
      </c>
      <c r="Y289" s="233" t="str">
        <f>IFERROR(_xlfn.XLOOKUP($A289,Input_Raw!$A:$A,Input_Raw!$BN:$BN),"")</f>
        <v/>
      </c>
      <c r="Z289" s="233"/>
      <c r="AA289" s="233" t="str">
        <f>IFERROR(_xlfn.XLOOKUP($A289,Input_Raw!$A:$A,Input_Raw!$BO:$BO),"")</f>
        <v/>
      </c>
      <c r="AB289" s="233" t="str">
        <f>IFERROR(_xlfn.XLOOKUP($A289,Input_Raw!$A:$A,Input_Raw!$BP:$BP),"")</f>
        <v/>
      </c>
      <c r="AC289" s="242" t="str">
        <f>IFERROR(_xlfn.XLOOKUP($D289,'Modelling New'!$D:$D,'Modelling New'!P:P),"")</f>
        <v/>
      </c>
      <c r="AD289" s="233" t="str">
        <f>IFERROR(_xlfn.XLOOKUP($D289,'Modelling New'!$D:$D,'Modelling New'!T:T)*1000,"")</f>
        <v/>
      </c>
      <c r="AE289" s="243" t="str">
        <f>IFERROR(_xlfn.XLOOKUP($D289,'Modelling New'!$D:$D,'Modelling New'!$O:$O),"")</f>
        <v/>
      </c>
      <c r="AF289" s="243" t="str">
        <f>IFERROR(_xlfn.XLOOKUP($D289,'Modelling New'!$D:$D,'Modelling New'!$W:$W),"")</f>
        <v/>
      </c>
      <c r="AG289" s="243" t="str">
        <f>IFERROR(_xlfn.XLOOKUP($D289,'Modelling New'!$D:$D,'Modelling New'!$AE:$AE),"")</f>
        <v/>
      </c>
      <c r="AH289" s="243" t="str">
        <f>IFERROR(_xlfn.XLOOKUP($D289,'Modelling New'!$D:$D,'Modelling New'!$AF:$AF),"")</f>
        <v/>
      </c>
      <c r="AI289" s="234"/>
      <c r="AJ289" s="234"/>
      <c r="AK289" s="234"/>
      <c r="AL289" s="234"/>
      <c r="AM289" s="234"/>
      <c r="AN289" s="244"/>
      <c r="AO289" s="241"/>
      <c r="AP289" s="241"/>
      <c r="AQ289" s="241"/>
      <c r="AR289" s="233" t="e">
        <f>_xlfn.XLOOKUP($D289,'Modelling New'!$D:$D,'Modelling New'!$N:$N)</f>
        <v>#N/A</v>
      </c>
      <c r="AS289" s="233" t="str">
        <f t="shared" si="28"/>
        <v/>
      </c>
    </row>
    <row r="290" spans="1:45">
      <c r="A290" s="232">
        <f t="shared" si="29"/>
        <v>46127</v>
      </c>
      <c r="B290" s="233">
        <f>YEAR(Daily_KPI[[#This Row],[Date]])+IF(MONTH(Daily_KPI[[#This Row],[Date]])&gt;=4,1,0)</f>
        <v>2027</v>
      </c>
      <c r="C290" s="234">
        <f>YEAR(Daily_KPI[[#This Row],[Date]])</f>
        <v>2026</v>
      </c>
      <c r="D290" s="235">
        <f>Daily_KPI[[#This Row],[Date]]-DAY(Daily_KPI[[#This Row],[Date]])+1</f>
        <v>46113</v>
      </c>
      <c r="E290" s="234">
        <f t="shared" si="25"/>
        <v>30</v>
      </c>
      <c r="F290" s="236" t="str">
        <f>IFERROR(_xlfn.XLOOKUP($A290,Input_Raw!$A:$A,Input_Raw!$BM:$BM),"")</f>
        <v/>
      </c>
      <c r="G290" s="237" t="str">
        <f>IFERROR(_xlfn.XLOOKUP($A290,Input_Raw!$A:$A,Input_Raw!$AN:$AN),"")</f>
        <v/>
      </c>
      <c r="H290" s="237"/>
      <c r="I290" s="237" t="str">
        <f>IFERROR(_xlfn.XLOOKUP($A290,Input_Raw!$A:$A,Input_Raw!$AM:$AM),"")</f>
        <v/>
      </c>
      <c r="J290" s="237"/>
      <c r="K290" s="237" t="str">
        <f>IFERROR(_xlfn.XLOOKUP($A290,Input_Raw!$A:$A,Input_Raw!AO:AO),"")</f>
        <v/>
      </c>
      <c r="L290" s="237" t="str">
        <f>IFERROR(_xlfn.XLOOKUP($A290,Input_Raw!$A:$A,Input_Raw!AP:AP),"")</f>
        <v/>
      </c>
      <c r="M290" s="237" t="str">
        <f>IFERROR(_xlfn.XLOOKUP($A290,Input_Raw!$A:$A,Input_Raw!AS:AS),"")</f>
        <v/>
      </c>
      <c r="N290" s="237" t="str">
        <f>IFERROR(_xlfn.XLOOKUP($A290,Input_Raw!$A:$A,Input_Raw!AT:AT),"")</f>
        <v/>
      </c>
      <c r="O290" s="238" t="str">
        <f>IFERROR(1-(SUMIF(Plant_BD!$B:$B,$A290,Plant_BD!$AL:$AL)/($AA290+SUMIF(Plant_BD!$B:$B,$A290,Plant_BD!$AL:$AL))),"")</f>
        <v/>
      </c>
      <c r="P290" s="238"/>
      <c r="Q290" s="239"/>
      <c r="R290" s="238" t="str">
        <f>IFERROR(1-(SUMIF(Grid_BD!$B:$B,$A290,Grid_BD!$V:$V)/($AA290+SUMIF(Grid_BD!$B:$B,$A290,Grid_BD!$V:$V))),"")</f>
        <v/>
      </c>
      <c r="S290" s="234"/>
      <c r="T290" s="239"/>
      <c r="U290" s="240" t="str">
        <f t="shared" si="26"/>
        <v/>
      </c>
      <c r="V290" s="240" t="str">
        <f>IFERROR(_xlfn.XLOOKUP($A290,Input_Raw!$A:$A,Input_Raw!$BS:$BS),"")</f>
        <v/>
      </c>
      <c r="W290" s="241" t="str">
        <f t="shared" si="27"/>
        <v/>
      </c>
      <c r="X290" s="233" t="str">
        <f>IFERROR(_xlfn.XLOOKUP($A290,Input_Raw!$A:$A,Input_Raw!$AW:$AW),"")</f>
        <v/>
      </c>
      <c r="Y290" s="233" t="str">
        <f>IFERROR(_xlfn.XLOOKUP($A290,Input_Raw!$A:$A,Input_Raw!$BN:$BN),"")</f>
        <v/>
      </c>
      <c r="Z290" s="233"/>
      <c r="AA290" s="233" t="str">
        <f>IFERROR(_xlfn.XLOOKUP($A290,Input_Raw!$A:$A,Input_Raw!$BO:$BO),"")</f>
        <v/>
      </c>
      <c r="AB290" s="233" t="str">
        <f>IFERROR(_xlfn.XLOOKUP($A290,Input_Raw!$A:$A,Input_Raw!$BP:$BP),"")</f>
        <v/>
      </c>
      <c r="AC290" s="242" t="str">
        <f>IFERROR(_xlfn.XLOOKUP($D290,'Modelling New'!$D:$D,'Modelling New'!P:P),"")</f>
        <v/>
      </c>
      <c r="AD290" s="233" t="str">
        <f>IFERROR(_xlfn.XLOOKUP($D290,'Modelling New'!$D:$D,'Modelling New'!T:T)*1000,"")</f>
        <v/>
      </c>
      <c r="AE290" s="243" t="str">
        <f>IFERROR(_xlfn.XLOOKUP($D290,'Modelling New'!$D:$D,'Modelling New'!$O:$O),"")</f>
        <v/>
      </c>
      <c r="AF290" s="243" t="str">
        <f>IFERROR(_xlfn.XLOOKUP($D290,'Modelling New'!$D:$D,'Modelling New'!$W:$W),"")</f>
        <v/>
      </c>
      <c r="AG290" s="243" t="str">
        <f>IFERROR(_xlfn.XLOOKUP($D290,'Modelling New'!$D:$D,'Modelling New'!$AE:$AE),"")</f>
        <v/>
      </c>
      <c r="AH290" s="243" t="str">
        <f>IFERROR(_xlfn.XLOOKUP($D290,'Modelling New'!$D:$D,'Modelling New'!$AF:$AF),"")</f>
        <v/>
      </c>
      <c r="AI290" s="234"/>
      <c r="AJ290" s="234"/>
      <c r="AK290" s="234"/>
      <c r="AL290" s="234"/>
      <c r="AM290" s="234"/>
      <c r="AN290" s="244"/>
      <c r="AO290" s="241"/>
      <c r="AP290" s="241"/>
      <c r="AQ290" s="241"/>
      <c r="AR290" s="233" t="e">
        <f>_xlfn.XLOOKUP($D290,'Modelling New'!$D:$D,'Modelling New'!$N:$N)</f>
        <v>#N/A</v>
      </c>
      <c r="AS290" s="233" t="str">
        <f t="shared" si="28"/>
        <v/>
      </c>
    </row>
    <row r="291" spans="1:45">
      <c r="A291" s="232">
        <f t="shared" si="29"/>
        <v>46128</v>
      </c>
      <c r="B291" s="233">
        <f>YEAR(Daily_KPI[[#This Row],[Date]])+IF(MONTH(Daily_KPI[[#This Row],[Date]])&gt;=4,1,0)</f>
        <v>2027</v>
      </c>
      <c r="C291" s="234">
        <f>YEAR(Daily_KPI[[#This Row],[Date]])</f>
        <v>2026</v>
      </c>
      <c r="D291" s="235">
        <f>Daily_KPI[[#This Row],[Date]]-DAY(Daily_KPI[[#This Row],[Date]])+1</f>
        <v>46113</v>
      </c>
      <c r="E291" s="234">
        <f t="shared" si="25"/>
        <v>30</v>
      </c>
      <c r="F291" s="236" t="str">
        <f>IFERROR(_xlfn.XLOOKUP($A291,Input_Raw!$A:$A,Input_Raw!$BM:$BM),"")</f>
        <v/>
      </c>
      <c r="G291" s="237" t="str">
        <f>IFERROR(_xlfn.XLOOKUP($A291,Input_Raw!$A:$A,Input_Raw!$AN:$AN),"")</f>
        <v/>
      </c>
      <c r="H291" s="237"/>
      <c r="I291" s="237" t="str">
        <f>IFERROR(_xlfn.XLOOKUP($A291,Input_Raw!$A:$A,Input_Raw!$AM:$AM),"")</f>
        <v/>
      </c>
      <c r="J291" s="237"/>
      <c r="K291" s="237" t="str">
        <f>IFERROR(_xlfn.XLOOKUP($A291,Input_Raw!$A:$A,Input_Raw!AO:AO),"")</f>
        <v/>
      </c>
      <c r="L291" s="237" t="str">
        <f>IFERROR(_xlfn.XLOOKUP($A291,Input_Raw!$A:$A,Input_Raw!AP:AP),"")</f>
        <v/>
      </c>
      <c r="M291" s="237" t="str">
        <f>IFERROR(_xlfn.XLOOKUP($A291,Input_Raw!$A:$A,Input_Raw!AS:AS),"")</f>
        <v/>
      </c>
      <c r="N291" s="237" t="str">
        <f>IFERROR(_xlfn.XLOOKUP($A291,Input_Raw!$A:$A,Input_Raw!AT:AT),"")</f>
        <v/>
      </c>
      <c r="O291" s="238" t="str">
        <f>IFERROR(1-(SUMIF(Plant_BD!$B:$B,$A291,Plant_BD!$AL:$AL)/($AA291+SUMIF(Plant_BD!$B:$B,$A291,Plant_BD!$AL:$AL))),"")</f>
        <v/>
      </c>
      <c r="P291" s="238"/>
      <c r="Q291" s="239"/>
      <c r="R291" s="238" t="str">
        <f>IFERROR(1-(SUMIF(Grid_BD!$B:$B,$A291,Grid_BD!$V:$V)/($AA291+SUMIF(Grid_BD!$B:$B,$A291,Grid_BD!$V:$V))),"")</f>
        <v/>
      </c>
      <c r="S291" s="234"/>
      <c r="T291" s="239"/>
      <c r="U291" s="240" t="str">
        <f t="shared" si="26"/>
        <v/>
      </c>
      <c r="V291" s="240" t="str">
        <f>IFERROR(_xlfn.XLOOKUP($A291,Input_Raw!$A:$A,Input_Raw!$BS:$BS),"")</f>
        <v/>
      </c>
      <c r="W291" s="241" t="str">
        <f t="shared" si="27"/>
        <v/>
      </c>
      <c r="X291" s="233" t="str">
        <f>IFERROR(_xlfn.XLOOKUP($A291,Input_Raw!$A:$A,Input_Raw!$AW:$AW),"")</f>
        <v/>
      </c>
      <c r="Y291" s="233" t="str">
        <f>IFERROR(_xlfn.XLOOKUP($A291,Input_Raw!$A:$A,Input_Raw!$BN:$BN),"")</f>
        <v/>
      </c>
      <c r="Z291" s="233"/>
      <c r="AA291" s="233" t="str">
        <f>IFERROR(_xlfn.XLOOKUP($A291,Input_Raw!$A:$A,Input_Raw!$BO:$BO),"")</f>
        <v/>
      </c>
      <c r="AB291" s="233" t="str">
        <f>IFERROR(_xlfn.XLOOKUP($A291,Input_Raw!$A:$A,Input_Raw!$BP:$BP),"")</f>
        <v/>
      </c>
      <c r="AC291" s="242" t="str">
        <f>IFERROR(_xlfn.XLOOKUP($D291,'Modelling New'!$D:$D,'Modelling New'!P:P),"")</f>
        <v/>
      </c>
      <c r="AD291" s="233" t="str">
        <f>IFERROR(_xlfn.XLOOKUP($D291,'Modelling New'!$D:$D,'Modelling New'!T:T)*1000,"")</f>
        <v/>
      </c>
      <c r="AE291" s="243" t="str">
        <f>IFERROR(_xlfn.XLOOKUP($D291,'Modelling New'!$D:$D,'Modelling New'!$O:$O),"")</f>
        <v/>
      </c>
      <c r="AF291" s="243" t="str">
        <f>IFERROR(_xlfn.XLOOKUP($D291,'Modelling New'!$D:$D,'Modelling New'!$W:$W),"")</f>
        <v/>
      </c>
      <c r="AG291" s="243" t="str">
        <f>IFERROR(_xlfn.XLOOKUP($D291,'Modelling New'!$D:$D,'Modelling New'!$AE:$AE),"")</f>
        <v/>
      </c>
      <c r="AH291" s="243" t="str">
        <f>IFERROR(_xlfn.XLOOKUP($D291,'Modelling New'!$D:$D,'Modelling New'!$AF:$AF),"")</f>
        <v/>
      </c>
      <c r="AI291" s="234"/>
      <c r="AJ291" s="234"/>
      <c r="AK291" s="234"/>
      <c r="AL291" s="234"/>
      <c r="AM291" s="234"/>
      <c r="AN291" s="244"/>
      <c r="AO291" s="241"/>
      <c r="AP291" s="241"/>
      <c r="AQ291" s="241"/>
      <c r="AR291" s="233" t="e">
        <f>_xlfn.XLOOKUP($D291,'Modelling New'!$D:$D,'Modelling New'!$N:$N)</f>
        <v>#N/A</v>
      </c>
      <c r="AS291" s="233" t="str">
        <f t="shared" si="28"/>
        <v/>
      </c>
    </row>
    <row r="292" spans="1:45">
      <c r="A292" s="232">
        <f t="shared" si="29"/>
        <v>46129</v>
      </c>
      <c r="B292" s="233">
        <f>YEAR(Daily_KPI[[#This Row],[Date]])+IF(MONTH(Daily_KPI[[#This Row],[Date]])&gt;=4,1,0)</f>
        <v>2027</v>
      </c>
      <c r="C292" s="234">
        <f>YEAR(Daily_KPI[[#This Row],[Date]])</f>
        <v>2026</v>
      </c>
      <c r="D292" s="235">
        <f>Daily_KPI[[#This Row],[Date]]-DAY(Daily_KPI[[#This Row],[Date]])+1</f>
        <v>46113</v>
      </c>
      <c r="E292" s="234">
        <f t="shared" si="25"/>
        <v>30</v>
      </c>
      <c r="F292" s="236" t="str">
        <f>IFERROR(_xlfn.XLOOKUP($A292,Input_Raw!$A:$A,Input_Raw!$BM:$BM),"")</f>
        <v/>
      </c>
      <c r="G292" s="237" t="str">
        <f>IFERROR(_xlfn.XLOOKUP($A292,Input_Raw!$A:$A,Input_Raw!$AN:$AN),"")</f>
        <v/>
      </c>
      <c r="H292" s="237"/>
      <c r="I292" s="237" t="str">
        <f>IFERROR(_xlfn.XLOOKUP($A292,Input_Raw!$A:$A,Input_Raw!$AM:$AM),"")</f>
        <v/>
      </c>
      <c r="J292" s="237"/>
      <c r="K292" s="237" t="str">
        <f>IFERROR(_xlfn.XLOOKUP($A292,Input_Raw!$A:$A,Input_Raw!AO:AO),"")</f>
        <v/>
      </c>
      <c r="L292" s="237" t="str">
        <f>IFERROR(_xlfn.XLOOKUP($A292,Input_Raw!$A:$A,Input_Raw!AP:AP),"")</f>
        <v/>
      </c>
      <c r="M292" s="237" t="str">
        <f>IFERROR(_xlfn.XLOOKUP($A292,Input_Raw!$A:$A,Input_Raw!AS:AS),"")</f>
        <v/>
      </c>
      <c r="N292" s="237" t="str">
        <f>IFERROR(_xlfn.XLOOKUP($A292,Input_Raw!$A:$A,Input_Raw!AT:AT),"")</f>
        <v/>
      </c>
      <c r="O292" s="238" t="str">
        <f>IFERROR(1-(SUMIF(Plant_BD!$B:$B,$A292,Plant_BD!$AL:$AL)/($AA292+SUMIF(Plant_BD!$B:$B,$A292,Plant_BD!$AL:$AL))),"")</f>
        <v/>
      </c>
      <c r="P292" s="238"/>
      <c r="Q292" s="239"/>
      <c r="R292" s="238" t="str">
        <f>IFERROR(1-(SUMIF(Grid_BD!$B:$B,$A292,Grid_BD!$V:$V)/($AA292+SUMIF(Grid_BD!$B:$B,$A292,Grid_BD!$V:$V))),"")</f>
        <v/>
      </c>
      <c r="S292" s="234"/>
      <c r="T292" s="239"/>
      <c r="U292" s="240" t="str">
        <f t="shared" si="26"/>
        <v/>
      </c>
      <c r="V292" s="240" t="str">
        <f>IFERROR(_xlfn.XLOOKUP($A292,Input_Raw!$A:$A,Input_Raw!$BS:$BS),"")</f>
        <v/>
      </c>
      <c r="W292" s="241" t="str">
        <f t="shared" si="27"/>
        <v/>
      </c>
      <c r="X292" s="233" t="str">
        <f>IFERROR(_xlfn.XLOOKUP($A292,Input_Raw!$A:$A,Input_Raw!$AW:$AW),"")</f>
        <v/>
      </c>
      <c r="Y292" s="233" t="str">
        <f>IFERROR(_xlfn.XLOOKUP($A292,Input_Raw!$A:$A,Input_Raw!$BN:$BN),"")</f>
        <v/>
      </c>
      <c r="Z292" s="233"/>
      <c r="AA292" s="233" t="str">
        <f>IFERROR(_xlfn.XLOOKUP($A292,Input_Raw!$A:$A,Input_Raw!$BO:$BO),"")</f>
        <v/>
      </c>
      <c r="AB292" s="233" t="str">
        <f>IFERROR(_xlfn.XLOOKUP($A292,Input_Raw!$A:$A,Input_Raw!$BP:$BP),"")</f>
        <v/>
      </c>
      <c r="AC292" s="242" t="str">
        <f>IFERROR(_xlfn.XLOOKUP($D292,'Modelling New'!$D:$D,'Modelling New'!P:P),"")</f>
        <v/>
      </c>
      <c r="AD292" s="233" t="str">
        <f>IFERROR(_xlfn.XLOOKUP($D292,'Modelling New'!$D:$D,'Modelling New'!T:T)*1000,"")</f>
        <v/>
      </c>
      <c r="AE292" s="243" t="str">
        <f>IFERROR(_xlfn.XLOOKUP($D292,'Modelling New'!$D:$D,'Modelling New'!$O:$O),"")</f>
        <v/>
      </c>
      <c r="AF292" s="243" t="str">
        <f>IFERROR(_xlfn.XLOOKUP($D292,'Modelling New'!$D:$D,'Modelling New'!$W:$W),"")</f>
        <v/>
      </c>
      <c r="AG292" s="243" t="str">
        <f>IFERROR(_xlfn.XLOOKUP($D292,'Modelling New'!$D:$D,'Modelling New'!$AE:$AE),"")</f>
        <v/>
      </c>
      <c r="AH292" s="243" t="str">
        <f>IFERROR(_xlfn.XLOOKUP($D292,'Modelling New'!$D:$D,'Modelling New'!$AF:$AF),"")</f>
        <v/>
      </c>
      <c r="AI292" s="234"/>
      <c r="AJ292" s="234"/>
      <c r="AK292" s="234"/>
      <c r="AL292" s="234"/>
      <c r="AM292" s="234"/>
      <c r="AN292" s="244"/>
      <c r="AO292" s="241"/>
      <c r="AP292" s="241"/>
      <c r="AQ292" s="241"/>
      <c r="AR292" s="233" t="e">
        <f>_xlfn.XLOOKUP($D292,'Modelling New'!$D:$D,'Modelling New'!$N:$N)</f>
        <v>#N/A</v>
      </c>
      <c r="AS292" s="233" t="str">
        <f t="shared" si="28"/>
        <v/>
      </c>
    </row>
    <row r="293" spans="1:45">
      <c r="A293" s="232">
        <f t="shared" si="29"/>
        <v>46130</v>
      </c>
      <c r="B293" s="233">
        <f>YEAR(Daily_KPI[[#This Row],[Date]])+IF(MONTH(Daily_KPI[[#This Row],[Date]])&gt;=4,1,0)</f>
        <v>2027</v>
      </c>
      <c r="C293" s="234">
        <f>YEAR(Daily_KPI[[#This Row],[Date]])</f>
        <v>2026</v>
      </c>
      <c r="D293" s="235">
        <f>Daily_KPI[[#This Row],[Date]]-DAY(Daily_KPI[[#This Row],[Date]])+1</f>
        <v>46113</v>
      </c>
      <c r="E293" s="234">
        <f t="shared" si="25"/>
        <v>30</v>
      </c>
      <c r="F293" s="236" t="str">
        <f>IFERROR(_xlfn.XLOOKUP($A293,Input_Raw!$A:$A,Input_Raw!$BM:$BM),"")</f>
        <v/>
      </c>
      <c r="G293" s="237" t="str">
        <f>IFERROR(_xlfn.XLOOKUP($A293,Input_Raw!$A:$A,Input_Raw!$AN:$AN),"")</f>
        <v/>
      </c>
      <c r="H293" s="237"/>
      <c r="I293" s="237" t="str">
        <f>IFERROR(_xlfn.XLOOKUP($A293,Input_Raw!$A:$A,Input_Raw!$AM:$AM),"")</f>
        <v/>
      </c>
      <c r="J293" s="237"/>
      <c r="K293" s="237" t="str">
        <f>IFERROR(_xlfn.XLOOKUP($A293,Input_Raw!$A:$A,Input_Raw!AO:AO),"")</f>
        <v/>
      </c>
      <c r="L293" s="237" t="str">
        <f>IFERROR(_xlfn.XLOOKUP($A293,Input_Raw!$A:$A,Input_Raw!AP:AP),"")</f>
        <v/>
      </c>
      <c r="M293" s="237" t="str">
        <f>IFERROR(_xlfn.XLOOKUP($A293,Input_Raw!$A:$A,Input_Raw!AS:AS),"")</f>
        <v/>
      </c>
      <c r="N293" s="237" t="str">
        <f>IFERROR(_xlfn.XLOOKUP($A293,Input_Raw!$A:$A,Input_Raw!AT:AT),"")</f>
        <v/>
      </c>
      <c r="O293" s="238" t="str">
        <f>IFERROR(1-(SUMIF(Plant_BD!$B:$B,$A293,Plant_BD!$AL:$AL)/($AA293+SUMIF(Plant_BD!$B:$B,$A293,Plant_BD!$AL:$AL))),"")</f>
        <v/>
      </c>
      <c r="P293" s="238"/>
      <c r="Q293" s="239"/>
      <c r="R293" s="238" t="str">
        <f>IFERROR(1-(SUMIF(Grid_BD!$B:$B,$A293,Grid_BD!$V:$V)/($AA293+SUMIF(Grid_BD!$B:$B,$A293,Grid_BD!$V:$V))),"")</f>
        <v/>
      </c>
      <c r="S293" s="234"/>
      <c r="T293" s="239"/>
      <c r="U293" s="240" t="str">
        <f t="shared" si="26"/>
        <v/>
      </c>
      <c r="V293" s="240" t="str">
        <f>IFERROR(_xlfn.XLOOKUP($A293,Input_Raw!$A:$A,Input_Raw!$BS:$BS),"")</f>
        <v/>
      </c>
      <c r="W293" s="241" t="str">
        <f t="shared" si="27"/>
        <v/>
      </c>
      <c r="X293" s="233" t="str">
        <f>IFERROR(_xlfn.XLOOKUP($A293,Input_Raw!$A:$A,Input_Raw!$AW:$AW),"")</f>
        <v/>
      </c>
      <c r="Y293" s="233" t="str">
        <f>IFERROR(_xlfn.XLOOKUP($A293,Input_Raw!$A:$A,Input_Raw!$BN:$BN),"")</f>
        <v/>
      </c>
      <c r="Z293" s="233"/>
      <c r="AA293" s="233" t="str">
        <f>IFERROR(_xlfn.XLOOKUP($A293,Input_Raw!$A:$A,Input_Raw!$BO:$BO),"")</f>
        <v/>
      </c>
      <c r="AB293" s="233" t="str">
        <f>IFERROR(_xlfn.XLOOKUP($A293,Input_Raw!$A:$A,Input_Raw!$BP:$BP),"")</f>
        <v/>
      </c>
      <c r="AC293" s="242" t="str">
        <f>IFERROR(_xlfn.XLOOKUP($D293,'Modelling New'!$D:$D,'Modelling New'!P:P),"")</f>
        <v/>
      </c>
      <c r="AD293" s="233" t="str">
        <f>IFERROR(_xlfn.XLOOKUP($D293,'Modelling New'!$D:$D,'Modelling New'!T:T)*1000,"")</f>
        <v/>
      </c>
      <c r="AE293" s="243" t="str">
        <f>IFERROR(_xlfn.XLOOKUP($D293,'Modelling New'!$D:$D,'Modelling New'!$O:$O),"")</f>
        <v/>
      </c>
      <c r="AF293" s="243" t="str">
        <f>IFERROR(_xlfn.XLOOKUP($D293,'Modelling New'!$D:$D,'Modelling New'!$W:$W),"")</f>
        <v/>
      </c>
      <c r="AG293" s="243" t="str">
        <f>IFERROR(_xlfn.XLOOKUP($D293,'Modelling New'!$D:$D,'Modelling New'!$AE:$AE),"")</f>
        <v/>
      </c>
      <c r="AH293" s="243" t="str">
        <f>IFERROR(_xlfn.XLOOKUP($D293,'Modelling New'!$D:$D,'Modelling New'!$AF:$AF),"")</f>
        <v/>
      </c>
      <c r="AI293" s="234"/>
      <c r="AJ293" s="234"/>
      <c r="AK293" s="234"/>
      <c r="AL293" s="234"/>
      <c r="AM293" s="234"/>
      <c r="AN293" s="244"/>
      <c r="AO293" s="241"/>
      <c r="AP293" s="241"/>
      <c r="AQ293" s="241"/>
      <c r="AR293" s="233" t="e">
        <f>_xlfn.XLOOKUP($D293,'Modelling New'!$D:$D,'Modelling New'!$N:$N)</f>
        <v>#N/A</v>
      </c>
      <c r="AS293" s="233" t="str">
        <f t="shared" si="28"/>
        <v/>
      </c>
    </row>
    <row r="294" spans="1:45">
      <c r="A294" s="232">
        <f t="shared" si="29"/>
        <v>46131</v>
      </c>
      <c r="B294" s="233">
        <f>YEAR(Daily_KPI[[#This Row],[Date]])+IF(MONTH(Daily_KPI[[#This Row],[Date]])&gt;=4,1,0)</f>
        <v>2027</v>
      </c>
      <c r="C294" s="234">
        <f>YEAR(Daily_KPI[[#This Row],[Date]])</f>
        <v>2026</v>
      </c>
      <c r="D294" s="235">
        <f>Daily_KPI[[#This Row],[Date]]-DAY(Daily_KPI[[#This Row],[Date]])+1</f>
        <v>46113</v>
      </c>
      <c r="E294" s="234">
        <f t="shared" si="25"/>
        <v>30</v>
      </c>
      <c r="F294" s="236" t="str">
        <f>IFERROR(_xlfn.XLOOKUP($A294,Input_Raw!$A:$A,Input_Raw!$BM:$BM),"")</f>
        <v/>
      </c>
      <c r="G294" s="237" t="str">
        <f>IFERROR(_xlfn.XLOOKUP($A294,Input_Raw!$A:$A,Input_Raw!$AN:$AN),"")</f>
        <v/>
      </c>
      <c r="H294" s="237"/>
      <c r="I294" s="237" t="str">
        <f>IFERROR(_xlfn.XLOOKUP($A294,Input_Raw!$A:$A,Input_Raw!$AM:$AM),"")</f>
        <v/>
      </c>
      <c r="J294" s="237"/>
      <c r="K294" s="237" t="str">
        <f>IFERROR(_xlfn.XLOOKUP($A294,Input_Raw!$A:$A,Input_Raw!AO:AO),"")</f>
        <v/>
      </c>
      <c r="L294" s="237" t="str">
        <f>IFERROR(_xlfn.XLOOKUP($A294,Input_Raw!$A:$A,Input_Raw!AP:AP),"")</f>
        <v/>
      </c>
      <c r="M294" s="237" t="str">
        <f>IFERROR(_xlfn.XLOOKUP($A294,Input_Raw!$A:$A,Input_Raw!AS:AS),"")</f>
        <v/>
      </c>
      <c r="N294" s="237" t="str">
        <f>IFERROR(_xlfn.XLOOKUP($A294,Input_Raw!$A:$A,Input_Raw!AT:AT),"")</f>
        <v/>
      </c>
      <c r="O294" s="238" t="str">
        <f>IFERROR(1-(SUMIF(Plant_BD!$B:$B,$A294,Plant_BD!$AL:$AL)/($AA294+SUMIF(Plant_BD!$B:$B,$A294,Plant_BD!$AL:$AL))),"")</f>
        <v/>
      </c>
      <c r="P294" s="238"/>
      <c r="Q294" s="239"/>
      <c r="R294" s="238" t="str">
        <f>IFERROR(1-(SUMIF(Grid_BD!$B:$B,$A294,Grid_BD!$V:$V)/($AA294+SUMIF(Grid_BD!$B:$B,$A294,Grid_BD!$V:$V))),"")</f>
        <v/>
      </c>
      <c r="S294" s="234"/>
      <c r="T294" s="239"/>
      <c r="U294" s="240" t="str">
        <f t="shared" si="26"/>
        <v/>
      </c>
      <c r="V294" s="240" t="str">
        <f>IFERROR(_xlfn.XLOOKUP($A294,Input_Raw!$A:$A,Input_Raw!$BS:$BS),"")</f>
        <v/>
      </c>
      <c r="W294" s="241" t="str">
        <f t="shared" si="27"/>
        <v/>
      </c>
      <c r="X294" s="233" t="str">
        <f>IFERROR(_xlfn.XLOOKUP($A294,Input_Raw!$A:$A,Input_Raw!$AW:$AW),"")</f>
        <v/>
      </c>
      <c r="Y294" s="233" t="str">
        <f>IFERROR(_xlfn.XLOOKUP($A294,Input_Raw!$A:$A,Input_Raw!$BN:$BN),"")</f>
        <v/>
      </c>
      <c r="Z294" s="233"/>
      <c r="AA294" s="233" t="str">
        <f>IFERROR(_xlfn.XLOOKUP($A294,Input_Raw!$A:$A,Input_Raw!$BO:$BO),"")</f>
        <v/>
      </c>
      <c r="AB294" s="233" t="str">
        <f>IFERROR(_xlfn.XLOOKUP($A294,Input_Raw!$A:$A,Input_Raw!$BP:$BP),"")</f>
        <v/>
      </c>
      <c r="AC294" s="242" t="str">
        <f>IFERROR(_xlfn.XLOOKUP($D294,'Modelling New'!$D:$D,'Modelling New'!P:P),"")</f>
        <v/>
      </c>
      <c r="AD294" s="233" t="str">
        <f>IFERROR(_xlfn.XLOOKUP($D294,'Modelling New'!$D:$D,'Modelling New'!T:T)*1000,"")</f>
        <v/>
      </c>
      <c r="AE294" s="243" t="str">
        <f>IFERROR(_xlfn.XLOOKUP($D294,'Modelling New'!$D:$D,'Modelling New'!$O:$O),"")</f>
        <v/>
      </c>
      <c r="AF294" s="243" t="str">
        <f>IFERROR(_xlfn.XLOOKUP($D294,'Modelling New'!$D:$D,'Modelling New'!$W:$W),"")</f>
        <v/>
      </c>
      <c r="AG294" s="243" t="str">
        <f>IFERROR(_xlfn.XLOOKUP($D294,'Modelling New'!$D:$D,'Modelling New'!$AE:$AE),"")</f>
        <v/>
      </c>
      <c r="AH294" s="243" t="str">
        <f>IFERROR(_xlfn.XLOOKUP($D294,'Modelling New'!$D:$D,'Modelling New'!$AF:$AF),"")</f>
        <v/>
      </c>
      <c r="AI294" s="234"/>
      <c r="AJ294" s="234"/>
      <c r="AK294" s="234"/>
      <c r="AL294" s="234"/>
      <c r="AM294" s="234"/>
      <c r="AN294" s="244"/>
      <c r="AO294" s="241"/>
      <c r="AP294" s="241"/>
      <c r="AQ294" s="241"/>
      <c r="AR294" s="233" t="e">
        <f>_xlfn.XLOOKUP($D294,'Modelling New'!$D:$D,'Modelling New'!$N:$N)</f>
        <v>#N/A</v>
      </c>
      <c r="AS294" s="233" t="str">
        <f t="shared" si="28"/>
        <v/>
      </c>
    </row>
    <row r="295" spans="1:45">
      <c r="A295" s="232">
        <f t="shared" si="29"/>
        <v>46132</v>
      </c>
      <c r="B295" s="233">
        <f>YEAR(Daily_KPI[[#This Row],[Date]])+IF(MONTH(Daily_KPI[[#This Row],[Date]])&gt;=4,1,0)</f>
        <v>2027</v>
      </c>
      <c r="C295" s="234">
        <f>YEAR(Daily_KPI[[#This Row],[Date]])</f>
        <v>2026</v>
      </c>
      <c r="D295" s="235">
        <f>Daily_KPI[[#This Row],[Date]]-DAY(Daily_KPI[[#This Row],[Date]])+1</f>
        <v>46113</v>
      </c>
      <c r="E295" s="234">
        <f t="shared" si="25"/>
        <v>30</v>
      </c>
      <c r="F295" s="236" t="str">
        <f>IFERROR(_xlfn.XLOOKUP($A295,Input_Raw!$A:$A,Input_Raw!$BM:$BM),"")</f>
        <v/>
      </c>
      <c r="G295" s="237" t="str">
        <f>IFERROR(_xlfn.XLOOKUP($A295,Input_Raw!$A:$A,Input_Raw!$AN:$AN),"")</f>
        <v/>
      </c>
      <c r="H295" s="237"/>
      <c r="I295" s="237" t="str">
        <f>IFERROR(_xlfn.XLOOKUP($A295,Input_Raw!$A:$A,Input_Raw!$AM:$AM),"")</f>
        <v/>
      </c>
      <c r="J295" s="237"/>
      <c r="K295" s="237" t="str">
        <f>IFERROR(_xlfn.XLOOKUP($A295,Input_Raw!$A:$A,Input_Raw!AO:AO),"")</f>
        <v/>
      </c>
      <c r="L295" s="237" t="str">
        <f>IFERROR(_xlfn.XLOOKUP($A295,Input_Raw!$A:$A,Input_Raw!AP:AP),"")</f>
        <v/>
      </c>
      <c r="M295" s="237" t="str">
        <f>IFERROR(_xlfn.XLOOKUP($A295,Input_Raw!$A:$A,Input_Raw!AS:AS),"")</f>
        <v/>
      </c>
      <c r="N295" s="237" t="str">
        <f>IFERROR(_xlfn.XLOOKUP($A295,Input_Raw!$A:$A,Input_Raw!AT:AT),"")</f>
        <v/>
      </c>
      <c r="O295" s="238" t="str">
        <f>IFERROR(1-(SUMIF(Plant_BD!$B:$B,$A295,Plant_BD!$AL:$AL)/($AA295+SUMIF(Plant_BD!$B:$B,$A295,Plant_BD!$AL:$AL))),"")</f>
        <v/>
      </c>
      <c r="P295" s="238"/>
      <c r="Q295" s="239"/>
      <c r="R295" s="238" t="str">
        <f>IFERROR(1-(SUMIF(Grid_BD!$B:$B,$A295,Grid_BD!$V:$V)/($AA295+SUMIF(Grid_BD!$B:$B,$A295,Grid_BD!$V:$V))),"")</f>
        <v/>
      </c>
      <c r="S295" s="234"/>
      <c r="T295" s="239"/>
      <c r="U295" s="240" t="str">
        <f t="shared" si="26"/>
        <v/>
      </c>
      <c r="V295" s="240" t="str">
        <f>IFERROR(_xlfn.XLOOKUP($A295,Input_Raw!$A:$A,Input_Raw!$BS:$BS),"")</f>
        <v/>
      </c>
      <c r="W295" s="241" t="str">
        <f t="shared" si="27"/>
        <v/>
      </c>
      <c r="X295" s="233" t="str">
        <f>IFERROR(_xlfn.XLOOKUP($A295,Input_Raw!$A:$A,Input_Raw!$AW:$AW),"")</f>
        <v/>
      </c>
      <c r="Y295" s="233" t="str">
        <f>IFERROR(_xlfn.XLOOKUP($A295,Input_Raw!$A:$A,Input_Raw!$BN:$BN),"")</f>
        <v/>
      </c>
      <c r="Z295" s="233"/>
      <c r="AA295" s="233" t="str">
        <f>IFERROR(_xlfn.XLOOKUP($A295,Input_Raw!$A:$A,Input_Raw!$BO:$BO),"")</f>
        <v/>
      </c>
      <c r="AB295" s="233" t="str">
        <f>IFERROR(_xlfn.XLOOKUP($A295,Input_Raw!$A:$A,Input_Raw!$BP:$BP),"")</f>
        <v/>
      </c>
      <c r="AC295" s="242" t="str">
        <f>IFERROR(_xlfn.XLOOKUP($D295,'Modelling New'!$D:$D,'Modelling New'!P:P),"")</f>
        <v/>
      </c>
      <c r="AD295" s="233" t="str">
        <f>IFERROR(_xlfn.XLOOKUP($D295,'Modelling New'!$D:$D,'Modelling New'!T:T)*1000,"")</f>
        <v/>
      </c>
      <c r="AE295" s="243" t="str">
        <f>IFERROR(_xlfn.XLOOKUP($D295,'Modelling New'!$D:$D,'Modelling New'!$O:$O),"")</f>
        <v/>
      </c>
      <c r="AF295" s="243" t="str">
        <f>IFERROR(_xlfn.XLOOKUP($D295,'Modelling New'!$D:$D,'Modelling New'!$W:$W),"")</f>
        <v/>
      </c>
      <c r="AG295" s="243" t="str">
        <f>IFERROR(_xlfn.XLOOKUP($D295,'Modelling New'!$D:$D,'Modelling New'!$AE:$AE),"")</f>
        <v/>
      </c>
      <c r="AH295" s="243" t="str">
        <f>IFERROR(_xlfn.XLOOKUP($D295,'Modelling New'!$D:$D,'Modelling New'!$AF:$AF),"")</f>
        <v/>
      </c>
      <c r="AI295" s="234"/>
      <c r="AJ295" s="234"/>
      <c r="AK295" s="234"/>
      <c r="AL295" s="234"/>
      <c r="AM295" s="234"/>
      <c r="AN295" s="244"/>
      <c r="AO295" s="241"/>
      <c r="AP295" s="241"/>
      <c r="AQ295" s="241"/>
      <c r="AR295" s="233" t="e">
        <f>_xlfn.XLOOKUP($D295,'Modelling New'!$D:$D,'Modelling New'!$N:$N)</f>
        <v>#N/A</v>
      </c>
      <c r="AS295" s="233" t="str">
        <f t="shared" si="28"/>
        <v/>
      </c>
    </row>
    <row r="296" spans="1:45">
      <c r="A296" s="232">
        <f t="shared" si="29"/>
        <v>46133</v>
      </c>
      <c r="B296" s="233">
        <f>YEAR(Daily_KPI[[#This Row],[Date]])+IF(MONTH(Daily_KPI[[#This Row],[Date]])&gt;=4,1,0)</f>
        <v>2027</v>
      </c>
      <c r="C296" s="234">
        <f>YEAR(Daily_KPI[[#This Row],[Date]])</f>
        <v>2026</v>
      </c>
      <c r="D296" s="235">
        <f>Daily_KPI[[#This Row],[Date]]-DAY(Daily_KPI[[#This Row],[Date]])+1</f>
        <v>46113</v>
      </c>
      <c r="E296" s="234">
        <f t="shared" si="25"/>
        <v>30</v>
      </c>
      <c r="F296" s="236" t="str">
        <f>IFERROR(_xlfn.XLOOKUP($A296,Input_Raw!$A:$A,Input_Raw!$BM:$BM),"")</f>
        <v/>
      </c>
      <c r="G296" s="237" t="str">
        <f>IFERROR(_xlfn.XLOOKUP($A296,Input_Raw!$A:$A,Input_Raw!$AN:$AN),"")</f>
        <v/>
      </c>
      <c r="H296" s="237"/>
      <c r="I296" s="237" t="str">
        <f>IFERROR(_xlfn.XLOOKUP($A296,Input_Raw!$A:$A,Input_Raw!$AM:$AM),"")</f>
        <v/>
      </c>
      <c r="J296" s="237"/>
      <c r="K296" s="237" t="str">
        <f>IFERROR(_xlfn.XLOOKUP($A296,Input_Raw!$A:$A,Input_Raw!AO:AO),"")</f>
        <v/>
      </c>
      <c r="L296" s="237" t="str">
        <f>IFERROR(_xlfn.XLOOKUP($A296,Input_Raw!$A:$A,Input_Raw!AP:AP),"")</f>
        <v/>
      </c>
      <c r="M296" s="237" t="str">
        <f>IFERROR(_xlfn.XLOOKUP($A296,Input_Raw!$A:$A,Input_Raw!AS:AS),"")</f>
        <v/>
      </c>
      <c r="N296" s="237" t="str">
        <f>IFERROR(_xlfn.XLOOKUP($A296,Input_Raw!$A:$A,Input_Raw!AT:AT),"")</f>
        <v/>
      </c>
      <c r="O296" s="238" t="str">
        <f>IFERROR(1-(SUMIF(Plant_BD!$B:$B,$A296,Plant_BD!$AL:$AL)/($AA296+SUMIF(Plant_BD!$B:$B,$A296,Plant_BD!$AL:$AL))),"")</f>
        <v/>
      </c>
      <c r="P296" s="238"/>
      <c r="Q296" s="239"/>
      <c r="R296" s="238" t="str">
        <f>IFERROR(1-(SUMIF(Grid_BD!$B:$B,$A296,Grid_BD!$V:$V)/($AA296+SUMIF(Grid_BD!$B:$B,$A296,Grid_BD!$V:$V))),"")</f>
        <v/>
      </c>
      <c r="S296" s="234"/>
      <c r="T296" s="239"/>
      <c r="U296" s="240" t="str">
        <f t="shared" si="26"/>
        <v/>
      </c>
      <c r="V296" s="240" t="str">
        <f>IFERROR(_xlfn.XLOOKUP($A296,Input_Raw!$A:$A,Input_Raw!$BS:$BS),"")</f>
        <v/>
      </c>
      <c r="W296" s="241" t="str">
        <f t="shared" si="27"/>
        <v/>
      </c>
      <c r="X296" s="233" t="str">
        <f>IFERROR(_xlfn.XLOOKUP($A296,Input_Raw!$A:$A,Input_Raw!$AW:$AW),"")</f>
        <v/>
      </c>
      <c r="Y296" s="233" t="str">
        <f>IFERROR(_xlfn.XLOOKUP($A296,Input_Raw!$A:$A,Input_Raw!$BN:$BN),"")</f>
        <v/>
      </c>
      <c r="Z296" s="233"/>
      <c r="AA296" s="233" t="str">
        <f>IFERROR(_xlfn.XLOOKUP($A296,Input_Raw!$A:$A,Input_Raw!$BO:$BO),"")</f>
        <v/>
      </c>
      <c r="AB296" s="233" t="str">
        <f>IFERROR(_xlfn.XLOOKUP($A296,Input_Raw!$A:$A,Input_Raw!$BP:$BP),"")</f>
        <v/>
      </c>
      <c r="AC296" s="242" t="str">
        <f>IFERROR(_xlfn.XLOOKUP($D296,'Modelling New'!$D:$D,'Modelling New'!P:P),"")</f>
        <v/>
      </c>
      <c r="AD296" s="233" t="str">
        <f>IFERROR(_xlfn.XLOOKUP($D296,'Modelling New'!$D:$D,'Modelling New'!T:T)*1000,"")</f>
        <v/>
      </c>
      <c r="AE296" s="243" t="str">
        <f>IFERROR(_xlfn.XLOOKUP($D296,'Modelling New'!$D:$D,'Modelling New'!$O:$O),"")</f>
        <v/>
      </c>
      <c r="AF296" s="243" t="str">
        <f>IFERROR(_xlfn.XLOOKUP($D296,'Modelling New'!$D:$D,'Modelling New'!$W:$W),"")</f>
        <v/>
      </c>
      <c r="AG296" s="243" t="str">
        <f>IFERROR(_xlfn.XLOOKUP($D296,'Modelling New'!$D:$D,'Modelling New'!$AE:$AE),"")</f>
        <v/>
      </c>
      <c r="AH296" s="243" t="str">
        <f>IFERROR(_xlfn.XLOOKUP($D296,'Modelling New'!$D:$D,'Modelling New'!$AF:$AF),"")</f>
        <v/>
      </c>
      <c r="AI296" s="234"/>
      <c r="AJ296" s="234"/>
      <c r="AK296" s="234"/>
      <c r="AL296" s="234"/>
      <c r="AM296" s="234"/>
      <c r="AN296" s="244"/>
      <c r="AO296" s="241"/>
      <c r="AP296" s="241"/>
      <c r="AQ296" s="241"/>
      <c r="AR296" s="233" t="e">
        <f>_xlfn.XLOOKUP($D296,'Modelling New'!$D:$D,'Modelling New'!$N:$N)</f>
        <v>#N/A</v>
      </c>
      <c r="AS296" s="233" t="str">
        <f t="shared" si="28"/>
        <v/>
      </c>
    </row>
    <row r="297" spans="1:45">
      <c r="A297" s="232">
        <f t="shared" si="29"/>
        <v>46134</v>
      </c>
      <c r="B297" s="233">
        <f>YEAR(Daily_KPI[[#This Row],[Date]])+IF(MONTH(Daily_KPI[[#This Row],[Date]])&gt;=4,1,0)</f>
        <v>2027</v>
      </c>
      <c r="C297" s="234">
        <f>YEAR(Daily_KPI[[#This Row],[Date]])</f>
        <v>2026</v>
      </c>
      <c r="D297" s="235">
        <f>Daily_KPI[[#This Row],[Date]]-DAY(Daily_KPI[[#This Row],[Date]])+1</f>
        <v>46113</v>
      </c>
      <c r="E297" s="234">
        <f t="shared" si="25"/>
        <v>30</v>
      </c>
      <c r="F297" s="236" t="str">
        <f>IFERROR(_xlfn.XLOOKUP($A297,Input_Raw!$A:$A,Input_Raw!$BM:$BM),"")</f>
        <v/>
      </c>
      <c r="G297" s="237" t="str">
        <f>IFERROR(_xlfn.XLOOKUP($A297,Input_Raw!$A:$A,Input_Raw!$AN:$AN),"")</f>
        <v/>
      </c>
      <c r="H297" s="237"/>
      <c r="I297" s="237" t="str">
        <f>IFERROR(_xlfn.XLOOKUP($A297,Input_Raw!$A:$A,Input_Raw!$AM:$AM),"")</f>
        <v/>
      </c>
      <c r="J297" s="237"/>
      <c r="K297" s="237" t="str">
        <f>IFERROR(_xlfn.XLOOKUP($A297,Input_Raw!$A:$A,Input_Raw!AO:AO),"")</f>
        <v/>
      </c>
      <c r="L297" s="237" t="str">
        <f>IFERROR(_xlfn.XLOOKUP($A297,Input_Raw!$A:$A,Input_Raw!AP:AP),"")</f>
        <v/>
      </c>
      <c r="M297" s="237" t="str">
        <f>IFERROR(_xlfn.XLOOKUP($A297,Input_Raw!$A:$A,Input_Raw!AS:AS),"")</f>
        <v/>
      </c>
      <c r="N297" s="237" t="str">
        <f>IFERROR(_xlfn.XLOOKUP($A297,Input_Raw!$A:$A,Input_Raw!AT:AT),"")</f>
        <v/>
      </c>
      <c r="O297" s="238" t="str">
        <f>IFERROR(1-(SUMIF(Plant_BD!$B:$B,$A297,Plant_BD!$AL:$AL)/($AA297+SUMIF(Plant_BD!$B:$B,$A297,Plant_BD!$AL:$AL))),"")</f>
        <v/>
      </c>
      <c r="P297" s="238"/>
      <c r="Q297" s="239"/>
      <c r="R297" s="238" t="str">
        <f>IFERROR(1-(SUMIF(Grid_BD!$B:$B,$A297,Grid_BD!$V:$V)/($AA297+SUMIF(Grid_BD!$B:$B,$A297,Grid_BD!$V:$V))),"")</f>
        <v/>
      </c>
      <c r="S297" s="234"/>
      <c r="T297" s="239"/>
      <c r="U297" s="240" t="str">
        <f t="shared" si="26"/>
        <v/>
      </c>
      <c r="V297" s="240" t="str">
        <f>IFERROR(_xlfn.XLOOKUP($A297,Input_Raw!$A:$A,Input_Raw!$BS:$BS),"")</f>
        <v/>
      </c>
      <c r="W297" s="241" t="str">
        <f t="shared" si="27"/>
        <v/>
      </c>
      <c r="X297" s="233" t="str">
        <f>IFERROR(_xlfn.XLOOKUP($A297,Input_Raw!$A:$A,Input_Raw!$AW:$AW),"")</f>
        <v/>
      </c>
      <c r="Y297" s="233" t="str">
        <f>IFERROR(_xlfn.XLOOKUP($A297,Input_Raw!$A:$A,Input_Raw!$BN:$BN),"")</f>
        <v/>
      </c>
      <c r="Z297" s="233"/>
      <c r="AA297" s="233" t="str">
        <f>IFERROR(_xlfn.XLOOKUP($A297,Input_Raw!$A:$A,Input_Raw!$BO:$BO),"")</f>
        <v/>
      </c>
      <c r="AB297" s="233" t="str">
        <f>IFERROR(_xlfn.XLOOKUP($A297,Input_Raw!$A:$A,Input_Raw!$BP:$BP),"")</f>
        <v/>
      </c>
      <c r="AC297" s="242" t="str">
        <f>IFERROR(_xlfn.XLOOKUP($D297,'Modelling New'!$D:$D,'Modelling New'!P:P),"")</f>
        <v/>
      </c>
      <c r="AD297" s="233" t="str">
        <f>IFERROR(_xlfn.XLOOKUP($D297,'Modelling New'!$D:$D,'Modelling New'!T:T)*1000,"")</f>
        <v/>
      </c>
      <c r="AE297" s="243" t="str">
        <f>IFERROR(_xlfn.XLOOKUP($D297,'Modelling New'!$D:$D,'Modelling New'!$O:$O),"")</f>
        <v/>
      </c>
      <c r="AF297" s="243" t="str">
        <f>IFERROR(_xlfn.XLOOKUP($D297,'Modelling New'!$D:$D,'Modelling New'!$W:$W),"")</f>
        <v/>
      </c>
      <c r="AG297" s="243" t="str">
        <f>IFERROR(_xlfn.XLOOKUP($D297,'Modelling New'!$D:$D,'Modelling New'!$AE:$AE),"")</f>
        <v/>
      </c>
      <c r="AH297" s="243" t="str">
        <f>IFERROR(_xlfn.XLOOKUP($D297,'Modelling New'!$D:$D,'Modelling New'!$AF:$AF),"")</f>
        <v/>
      </c>
      <c r="AI297" s="234"/>
      <c r="AJ297" s="234"/>
      <c r="AK297" s="234"/>
      <c r="AL297" s="234"/>
      <c r="AM297" s="234"/>
      <c r="AN297" s="244"/>
      <c r="AO297" s="241"/>
      <c r="AP297" s="241"/>
      <c r="AQ297" s="241"/>
      <c r="AR297" s="233" t="e">
        <f>_xlfn.XLOOKUP($D297,'Modelling New'!$D:$D,'Modelling New'!$N:$N)</f>
        <v>#N/A</v>
      </c>
      <c r="AS297" s="233" t="str">
        <f t="shared" si="28"/>
        <v/>
      </c>
    </row>
    <row r="298" spans="1:45">
      <c r="A298" s="232">
        <f t="shared" si="29"/>
        <v>46135</v>
      </c>
      <c r="B298" s="233">
        <f>YEAR(Daily_KPI[[#This Row],[Date]])+IF(MONTH(Daily_KPI[[#This Row],[Date]])&gt;=4,1,0)</f>
        <v>2027</v>
      </c>
      <c r="C298" s="234">
        <f>YEAR(Daily_KPI[[#This Row],[Date]])</f>
        <v>2026</v>
      </c>
      <c r="D298" s="235">
        <f>Daily_KPI[[#This Row],[Date]]-DAY(Daily_KPI[[#This Row],[Date]])+1</f>
        <v>46113</v>
      </c>
      <c r="E298" s="234">
        <f t="shared" si="25"/>
        <v>30</v>
      </c>
      <c r="F298" s="236" t="str">
        <f>IFERROR(_xlfn.XLOOKUP($A298,Input_Raw!$A:$A,Input_Raw!$BM:$BM),"")</f>
        <v/>
      </c>
      <c r="G298" s="237" t="str">
        <f>IFERROR(_xlfn.XLOOKUP($A298,Input_Raw!$A:$A,Input_Raw!$AN:$AN),"")</f>
        <v/>
      </c>
      <c r="H298" s="237"/>
      <c r="I298" s="237" t="str">
        <f>IFERROR(_xlfn.XLOOKUP($A298,Input_Raw!$A:$A,Input_Raw!$AM:$AM),"")</f>
        <v/>
      </c>
      <c r="J298" s="237"/>
      <c r="K298" s="237" t="str">
        <f>IFERROR(_xlfn.XLOOKUP($A298,Input_Raw!$A:$A,Input_Raw!AO:AO),"")</f>
        <v/>
      </c>
      <c r="L298" s="237" t="str">
        <f>IFERROR(_xlfn.XLOOKUP($A298,Input_Raw!$A:$A,Input_Raw!AP:AP),"")</f>
        <v/>
      </c>
      <c r="M298" s="237" t="str">
        <f>IFERROR(_xlfn.XLOOKUP($A298,Input_Raw!$A:$A,Input_Raw!AS:AS),"")</f>
        <v/>
      </c>
      <c r="N298" s="237" t="str">
        <f>IFERROR(_xlfn.XLOOKUP($A298,Input_Raw!$A:$A,Input_Raw!AT:AT),"")</f>
        <v/>
      </c>
      <c r="O298" s="238" t="str">
        <f>IFERROR(1-(SUMIF(Plant_BD!$B:$B,$A298,Plant_BD!$AL:$AL)/($AA298+SUMIF(Plant_BD!$B:$B,$A298,Plant_BD!$AL:$AL))),"")</f>
        <v/>
      </c>
      <c r="P298" s="238"/>
      <c r="Q298" s="239"/>
      <c r="R298" s="238" t="str">
        <f>IFERROR(1-(SUMIF(Grid_BD!$B:$B,$A298,Grid_BD!$V:$V)/($AA298+SUMIF(Grid_BD!$B:$B,$A298,Grid_BD!$V:$V))),"")</f>
        <v/>
      </c>
      <c r="S298" s="234"/>
      <c r="T298" s="239"/>
      <c r="U298" s="240" t="str">
        <f t="shared" si="26"/>
        <v/>
      </c>
      <c r="V298" s="240" t="str">
        <f>IFERROR(_xlfn.XLOOKUP($A298,Input_Raw!$A:$A,Input_Raw!$BS:$BS),"")</f>
        <v/>
      </c>
      <c r="W298" s="241" t="str">
        <f t="shared" si="27"/>
        <v/>
      </c>
      <c r="X298" s="233" t="str">
        <f>IFERROR(_xlfn.XLOOKUP($A298,Input_Raw!$A:$A,Input_Raw!$AW:$AW),"")</f>
        <v/>
      </c>
      <c r="Y298" s="233" t="str">
        <f>IFERROR(_xlfn.XLOOKUP($A298,Input_Raw!$A:$A,Input_Raw!$BN:$BN),"")</f>
        <v/>
      </c>
      <c r="Z298" s="233"/>
      <c r="AA298" s="233" t="str">
        <f>IFERROR(_xlfn.XLOOKUP($A298,Input_Raw!$A:$A,Input_Raw!$BO:$BO),"")</f>
        <v/>
      </c>
      <c r="AB298" s="233" t="str">
        <f>IFERROR(_xlfn.XLOOKUP($A298,Input_Raw!$A:$A,Input_Raw!$BP:$BP),"")</f>
        <v/>
      </c>
      <c r="AC298" s="242" t="str">
        <f>IFERROR(_xlfn.XLOOKUP($D298,'Modelling New'!$D:$D,'Modelling New'!P:P),"")</f>
        <v/>
      </c>
      <c r="AD298" s="233" t="str">
        <f>IFERROR(_xlfn.XLOOKUP($D298,'Modelling New'!$D:$D,'Modelling New'!T:T)*1000,"")</f>
        <v/>
      </c>
      <c r="AE298" s="243" t="str">
        <f>IFERROR(_xlfn.XLOOKUP($D298,'Modelling New'!$D:$D,'Modelling New'!$O:$O),"")</f>
        <v/>
      </c>
      <c r="AF298" s="243" t="str">
        <f>IFERROR(_xlfn.XLOOKUP($D298,'Modelling New'!$D:$D,'Modelling New'!$W:$W),"")</f>
        <v/>
      </c>
      <c r="AG298" s="243" t="str">
        <f>IFERROR(_xlfn.XLOOKUP($D298,'Modelling New'!$D:$D,'Modelling New'!$AE:$AE),"")</f>
        <v/>
      </c>
      <c r="AH298" s="243" t="str">
        <f>IFERROR(_xlfn.XLOOKUP($D298,'Modelling New'!$D:$D,'Modelling New'!$AF:$AF),"")</f>
        <v/>
      </c>
      <c r="AI298" s="234"/>
      <c r="AJ298" s="234"/>
      <c r="AK298" s="234"/>
      <c r="AL298" s="234"/>
      <c r="AM298" s="234"/>
      <c r="AN298" s="244"/>
      <c r="AO298" s="241"/>
      <c r="AP298" s="241"/>
      <c r="AQ298" s="241"/>
      <c r="AR298" s="233" t="e">
        <f>_xlfn.XLOOKUP($D298,'Modelling New'!$D:$D,'Modelling New'!$N:$N)</f>
        <v>#N/A</v>
      </c>
      <c r="AS298" s="233" t="str">
        <f t="shared" si="28"/>
        <v/>
      </c>
    </row>
    <row r="299" spans="1:45">
      <c r="A299" s="232">
        <f t="shared" si="29"/>
        <v>46136</v>
      </c>
      <c r="B299" s="233">
        <f>YEAR(Daily_KPI[[#This Row],[Date]])+IF(MONTH(Daily_KPI[[#This Row],[Date]])&gt;=4,1,0)</f>
        <v>2027</v>
      </c>
      <c r="C299" s="234">
        <f>YEAR(Daily_KPI[[#This Row],[Date]])</f>
        <v>2026</v>
      </c>
      <c r="D299" s="235">
        <f>Daily_KPI[[#This Row],[Date]]-DAY(Daily_KPI[[#This Row],[Date]])+1</f>
        <v>46113</v>
      </c>
      <c r="E299" s="234">
        <f t="shared" si="25"/>
        <v>30</v>
      </c>
      <c r="F299" s="236" t="str">
        <f>IFERROR(_xlfn.XLOOKUP($A299,Input_Raw!$A:$A,Input_Raw!$BM:$BM),"")</f>
        <v/>
      </c>
      <c r="G299" s="237" t="str">
        <f>IFERROR(_xlfn.XLOOKUP($A299,Input_Raw!$A:$A,Input_Raw!$AN:$AN),"")</f>
        <v/>
      </c>
      <c r="H299" s="237"/>
      <c r="I299" s="237" t="str">
        <f>IFERROR(_xlfn.XLOOKUP($A299,Input_Raw!$A:$A,Input_Raw!$AM:$AM),"")</f>
        <v/>
      </c>
      <c r="J299" s="237"/>
      <c r="K299" s="237" t="str">
        <f>IFERROR(_xlfn.XLOOKUP($A299,Input_Raw!$A:$A,Input_Raw!AO:AO),"")</f>
        <v/>
      </c>
      <c r="L299" s="237" t="str">
        <f>IFERROR(_xlfn.XLOOKUP($A299,Input_Raw!$A:$A,Input_Raw!AP:AP),"")</f>
        <v/>
      </c>
      <c r="M299" s="237" t="str">
        <f>IFERROR(_xlfn.XLOOKUP($A299,Input_Raw!$A:$A,Input_Raw!AS:AS),"")</f>
        <v/>
      </c>
      <c r="N299" s="237" t="str">
        <f>IFERROR(_xlfn.XLOOKUP($A299,Input_Raw!$A:$A,Input_Raw!AT:AT),"")</f>
        <v/>
      </c>
      <c r="O299" s="238" t="str">
        <f>IFERROR(1-(SUMIF(Plant_BD!$B:$B,$A299,Plant_BD!$AL:$AL)/($AA299+SUMIF(Plant_BD!$B:$B,$A299,Plant_BD!$AL:$AL))),"")</f>
        <v/>
      </c>
      <c r="P299" s="238"/>
      <c r="Q299" s="239"/>
      <c r="R299" s="238" t="str">
        <f>IFERROR(1-(SUMIF(Grid_BD!$B:$B,$A299,Grid_BD!$V:$V)/($AA299+SUMIF(Grid_BD!$B:$B,$A299,Grid_BD!$V:$V))),"")</f>
        <v/>
      </c>
      <c r="S299" s="234"/>
      <c r="T299" s="239"/>
      <c r="U299" s="240" t="str">
        <f t="shared" si="26"/>
        <v/>
      </c>
      <c r="V299" s="240" t="str">
        <f>IFERROR(_xlfn.XLOOKUP($A299,Input_Raw!$A:$A,Input_Raw!$BS:$BS),"")</f>
        <v/>
      </c>
      <c r="W299" s="241" t="str">
        <f t="shared" si="27"/>
        <v/>
      </c>
      <c r="X299" s="233" t="str">
        <f>IFERROR(_xlfn.XLOOKUP($A299,Input_Raw!$A:$A,Input_Raw!$AW:$AW),"")</f>
        <v/>
      </c>
      <c r="Y299" s="233" t="str">
        <f>IFERROR(_xlfn.XLOOKUP($A299,Input_Raw!$A:$A,Input_Raw!$BN:$BN),"")</f>
        <v/>
      </c>
      <c r="Z299" s="233"/>
      <c r="AA299" s="233" t="str">
        <f>IFERROR(_xlfn.XLOOKUP($A299,Input_Raw!$A:$A,Input_Raw!$BO:$BO),"")</f>
        <v/>
      </c>
      <c r="AB299" s="233" t="str">
        <f>IFERROR(_xlfn.XLOOKUP($A299,Input_Raw!$A:$A,Input_Raw!$BP:$BP),"")</f>
        <v/>
      </c>
      <c r="AC299" s="242" t="str">
        <f>IFERROR(_xlfn.XLOOKUP($D299,'Modelling New'!$D:$D,'Modelling New'!P:P),"")</f>
        <v/>
      </c>
      <c r="AD299" s="233" t="str">
        <f>IFERROR(_xlfn.XLOOKUP($D299,'Modelling New'!$D:$D,'Modelling New'!T:T)*1000,"")</f>
        <v/>
      </c>
      <c r="AE299" s="243" t="str">
        <f>IFERROR(_xlfn.XLOOKUP($D299,'Modelling New'!$D:$D,'Modelling New'!$O:$O),"")</f>
        <v/>
      </c>
      <c r="AF299" s="243" t="str">
        <f>IFERROR(_xlfn.XLOOKUP($D299,'Modelling New'!$D:$D,'Modelling New'!$W:$W),"")</f>
        <v/>
      </c>
      <c r="AG299" s="243" t="str">
        <f>IFERROR(_xlfn.XLOOKUP($D299,'Modelling New'!$D:$D,'Modelling New'!$AE:$AE),"")</f>
        <v/>
      </c>
      <c r="AH299" s="243" t="str">
        <f>IFERROR(_xlfn.XLOOKUP($D299,'Modelling New'!$D:$D,'Modelling New'!$AF:$AF),"")</f>
        <v/>
      </c>
      <c r="AI299" s="234"/>
      <c r="AJ299" s="234"/>
      <c r="AK299" s="234"/>
      <c r="AL299" s="234"/>
      <c r="AM299" s="234"/>
      <c r="AN299" s="244"/>
      <c r="AO299" s="241"/>
      <c r="AP299" s="241"/>
      <c r="AQ299" s="241"/>
      <c r="AR299" s="233" t="e">
        <f>_xlfn.XLOOKUP($D299,'Modelling New'!$D:$D,'Modelling New'!$N:$N)</f>
        <v>#N/A</v>
      </c>
      <c r="AS299" s="233" t="str">
        <f t="shared" si="28"/>
        <v/>
      </c>
    </row>
    <row r="300" spans="1:45">
      <c r="A300" s="232">
        <f t="shared" si="29"/>
        <v>46137</v>
      </c>
      <c r="B300" s="233">
        <f>YEAR(Daily_KPI[[#This Row],[Date]])+IF(MONTH(Daily_KPI[[#This Row],[Date]])&gt;=4,1,0)</f>
        <v>2027</v>
      </c>
      <c r="C300" s="234">
        <f>YEAR(Daily_KPI[[#This Row],[Date]])</f>
        <v>2026</v>
      </c>
      <c r="D300" s="235">
        <f>Daily_KPI[[#This Row],[Date]]-DAY(Daily_KPI[[#This Row],[Date]])+1</f>
        <v>46113</v>
      </c>
      <c r="E300" s="234">
        <f t="shared" si="25"/>
        <v>30</v>
      </c>
      <c r="F300" s="236" t="str">
        <f>IFERROR(_xlfn.XLOOKUP($A300,Input_Raw!$A:$A,Input_Raw!$BM:$BM),"")</f>
        <v/>
      </c>
      <c r="G300" s="237" t="str">
        <f>IFERROR(_xlfn.XLOOKUP($A300,Input_Raw!$A:$A,Input_Raw!$AN:$AN),"")</f>
        <v/>
      </c>
      <c r="H300" s="237"/>
      <c r="I300" s="237" t="str">
        <f>IFERROR(_xlfn.XLOOKUP($A300,Input_Raw!$A:$A,Input_Raw!$AM:$AM),"")</f>
        <v/>
      </c>
      <c r="J300" s="237"/>
      <c r="K300" s="237" t="str">
        <f>IFERROR(_xlfn.XLOOKUP($A300,Input_Raw!$A:$A,Input_Raw!AO:AO),"")</f>
        <v/>
      </c>
      <c r="L300" s="237" t="str">
        <f>IFERROR(_xlfn.XLOOKUP($A300,Input_Raw!$A:$A,Input_Raw!AP:AP),"")</f>
        <v/>
      </c>
      <c r="M300" s="237" t="str">
        <f>IFERROR(_xlfn.XLOOKUP($A300,Input_Raw!$A:$A,Input_Raw!AS:AS),"")</f>
        <v/>
      </c>
      <c r="N300" s="237" t="str">
        <f>IFERROR(_xlfn.XLOOKUP($A300,Input_Raw!$A:$A,Input_Raw!AT:AT),"")</f>
        <v/>
      </c>
      <c r="O300" s="238" t="str">
        <f>IFERROR(1-(SUMIF(Plant_BD!$B:$B,$A300,Plant_BD!$AL:$AL)/($AA300+SUMIF(Plant_BD!$B:$B,$A300,Plant_BD!$AL:$AL))),"")</f>
        <v/>
      </c>
      <c r="P300" s="238"/>
      <c r="Q300" s="239"/>
      <c r="R300" s="238" t="str">
        <f>IFERROR(1-(SUMIF(Grid_BD!$B:$B,$A300,Grid_BD!$V:$V)/($AA300+SUMIF(Grid_BD!$B:$B,$A300,Grid_BD!$V:$V))),"")</f>
        <v/>
      </c>
      <c r="S300" s="234"/>
      <c r="T300" s="239"/>
      <c r="U300" s="240" t="str">
        <f t="shared" si="26"/>
        <v/>
      </c>
      <c r="V300" s="240" t="str">
        <f>IFERROR(_xlfn.XLOOKUP($A300,Input_Raw!$A:$A,Input_Raw!$BS:$BS),"")</f>
        <v/>
      </c>
      <c r="W300" s="241" t="str">
        <f t="shared" si="27"/>
        <v/>
      </c>
      <c r="X300" s="233" t="str">
        <f>IFERROR(_xlfn.XLOOKUP($A300,Input_Raw!$A:$A,Input_Raw!$AW:$AW),"")</f>
        <v/>
      </c>
      <c r="Y300" s="233" t="str">
        <f>IFERROR(_xlfn.XLOOKUP($A300,Input_Raw!$A:$A,Input_Raw!$BN:$BN),"")</f>
        <v/>
      </c>
      <c r="Z300" s="233"/>
      <c r="AA300" s="233" t="str">
        <f>IFERROR(_xlfn.XLOOKUP($A300,Input_Raw!$A:$A,Input_Raw!$BO:$BO),"")</f>
        <v/>
      </c>
      <c r="AB300" s="233" t="str">
        <f>IFERROR(_xlfn.XLOOKUP($A300,Input_Raw!$A:$A,Input_Raw!$BP:$BP),"")</f>
        <v/>
      </c>
      <c r="AC300" s="242" t="str">
        <f>IFERROR(_xlfn.XLOOKUP($D300,'Modelling New'!$D:$D,'Modelling New'!P:P),"")</f>
        <v/>
      </c>
      <c r="AD300" s="233" t="str">
        <f>IFERROR(_xlfn.XLOOKUP($D300,'Modelling New'!$D:$D,'Modelling New'!T:T)*1000,"")</f>
        <v/>
      </c>
      <c r="AE300" s="243" t="str">
        <f>IFERROR(_xlfn.XLOOKUP($D300,'Modelling New'!$D:$D,'Modelling New'!$O:$O),"")</f>
        <v/>
      </c>
      <c r="AF300" s="243" t="str">
        <f>IFERROR(_xlfn.XLOOKUP($D300,'Modelling New'!$D:$D,'Modelling New'!$W:$W),"")</f>
        <v/>
      </c>
      <c r="AG300" s="243" t="str">
        <f>IFERROR(_xlfn.XLOOKUP($D300,'Modelling New'!$D:$D,'Modelling New'!$AE:$AE),"")</f>
        <v/>
      </c>
      <c r="AH300" s="243" t="str">
        <f>IFERROR(_xlfn.XLOOKUP($D300,'Modelling New'!$D:$D,'Modelling New'!$AF:$AF),"")</f>
        <v/>
      </c>
      <c r="AI300" s="234"/>
      <c r="AJ300" s="234"/>
      <c r="AK300" s="234"/>
      <c r="AL300" s="234"/>
      <c r="AM300" s="234"/>
      <c r="AN300" s="244"/>
      <c r="AO300" s="241"/>
      <c r="AP300" s="241"/>
      <c r="AQ300" s="241"/>
      <c r="AR300" s="233" t="e">
        <f>_xlfn.XLOOKUP($D300,'Modelling New'!$D:$D,'Modelling New'!$N:$N)</f>
        <v>#N/A</v>
      </c>
      <c r="AS300" s="233" t="str">
        <f t="shared" si="28"/>
        <v/>
      </c>
    </row>
    <row r="301" spans="1:45">
      <c r="A301" s="232">
        <f t="shared" si="29"/>
        <v>46138</v>
      </c>
      <c r="B301" s="233">
        <f>YEAR(Daily_KPI[[#This Row],[Date]])+IF(MONTH(Daily_KPI[[#This Row],[Date]])&gt;=4,1,0)</f>
        <v>2027</v>
      </c>
      <c r="C301" s="234">
        <f>YEAR(Daily_KPI[[#This Row],[Date]])</f>
        <v>2026</v>
      </c>
      <c r="D301" s="235">
        <f>Daily_KPI[[#This Row],[Date]]-DAY(Daily_KPI[[#This Row],[Date]])+1</f>
        <v>46113</v>
      </c>
      <c r="E301" s="234">
        <f t="shared" si="25"/>
        <v>30</v>
      </c>
      <c r="F301" s="236" t="str">
        <f>IFERROR(_xlfn.XLOOKUP($A301,Input_Raw!$A:$A,Input_Raw!$BM:$BM),"")</f>
        <v/>
      </c>
      <c r="G301" s="237" t="str">
        <f>IFERROR(_xlfn.XLOOKUP($A301,Input_Raw!$A:$A,Input_Raw!$AN:$AN),"")</f>
        <v/>
      </c>
      <c r="H301" s="237"/>
      <c r="I301" s="237" t="str">
        <f>IFERROR(_xlfn.XLOOKUP($A301,Input_Raw!$A:$A,Input_Raw!$AM:$AM),"")</f>
        <v/>
      </c>
      <c r="J301" s="237"/>
      <c r="K301" s="237" t="str">
        <f>IFERROR(_xlfn.XLOOKUP($A301,Input_Raw!$A:$A,Input_Raw!AO:AO),"")</f>
        <v/>
      </c>
      <c r="L301" s="237" t="str">
        <f>IFERROR(_xlfn.XLOOKUP($A301,Input_Raw!$A:$A,Input_Raw!AP:AP),"")</f>
        <v/>
      </c>
      <c r="M301" s="237" t="str">
        <f>IFERROR(_xlfn.XLOOKUP($A301,Input_Raw!$A:$A,Input_Raw!AS:AS),"")</f>
        <v/>
      </c>
      <c r="N301" s="237" t="str">
        <f>IFERROR(_xlfn.XLOOKUP($A301,Input_Raw!$A:$A,Input_Raw!AT:AT),"")</f>
        <v/>
      </c>
      <c r="O301" s="238" t="str">
        <f>IFERROR(1-(SUMIF(Plant_BD!$B:$B,$A301,Plant_BD!$AL:$AL)/($AA301+SUMIF(Plant_BD!$B:$B,$A301,Plant_BD!$AL:$AL))),"")</f>
        <v/>
      </c>
      <c r="P301" s="238"/>
      <c r="Q301" s="239"/>
      <c r="R301" s="238" t="str">
        <f>IFERROR(1-(SUMIF(Grid_BD!$B:$B,$A301,Grid_BD!$V:$V)/($AA301+SUMIF(Grid_BD!$B:$B,$A301,Grid_BD!$V:$V))),"")</f>
        <v/>
      </c>
      <c r="S301" s="234"/>
      <c r="T301" s="239"/>
      <c r="U301" s="240" t="str">
        <f t="shared" si="26"/>
        <v/>
      </c>
      <c r="V301" s="240" t="str">
        <f>IFERROR(_xlfn.XLOOKUP($A301,Input_Raw!$A:$A,Input_Raw!$BS:$BS),"")</f>
        <v/>
      </c>
      <c r="W301" s="241" t="str">
        <f t="shared" si="27"/>
        <v/>
      </c>
      <c r="X301" s="233" t="str">
        <f>IFERROR(_xlfn.XLOOKUP($A301,Input_Raw!$A:$A,Input_Raw!$AW:$AW),"")</f>
        <v/>
      </c>
      <c r="Y301" s="233" t="str">
        <f>IFERROR(_xlfn.XLOOKUP($A301,Input_Raw!$A:$A,Input_Raw!$BN:$BN),"")</f>
        <v/>
      </c>
      <c r="Z301" s="233"/>
      <c r="AA301" s="233" t="str">
        <f>IFERROR(_xlfn.XLOOKUP($A301,Input_Raw!$A:$A,Input_Raw!$BO:$BO),"")</f>
        <v/>
      </c>
      <c r="AB301" s="233" t="str">
        <f>IFERROR(_xlfn.XLOOKUP($A301,Input_Raw!$A:$A,Input_Raw!$BP:$BP),"")</f>
        <v/>
      </c>
      <c r="AC301" s="242" t="str">
        <f>IFERROR(_xlfn.XLOOKUP($D301,'Modelling New'!$D:$D,'Modelling New'!P:P),"")</f>
        <v/>
      </c>
      <c r="AD301" s="233" t="str">
        <f>IFERROR(_xlfn.XLOOKUP($D301,'Modelling New'!$D:$D,'Modelling New'!T:T)*1000,"")</f>
        <v/>
      </c>
      <c r="AE301" s="243" t="str">
        <f>IFERROR(_xlfn.XLOOKUP($D301,'Modelling New'!$D:$D,'Modelling New'!$O:$O),"")</f>
        <v/>
      </c>
      <c r="AF301" s="243" t="str">
        <f>IFERROR(_xlfn.XLOOKUP($D301,'Modelling New'!$D:$D,'Modelling New'!$W:$W),"")</f>
        <v/>
      </c>
      <c r="AG301" s="243" t="str">
        <f>IFERROR(_xlfn.XLOOKUP($D301,'Modelling New'!$D:$D,'Modelling New'!$AE:$AE),"")</f>
        <v/>
      </c>
      <c r="AH301" s="243" t="str">
        <f>IFERROR(_xlfn.XLOOKUP($D301,'Modelling New'!$D:$D,'Modelling New'!$AF:$AF),"")</f>
        <v/>
      </c>
      <c r="AI301" s="234"/>
      <c r="AJ301" s="234"/>
      <c r="AK301" s="234"/>
      <c r="AL301" s="234"/>
      <c r="AM301" s="234"/>
      <c r="AN301" s="244"/>
      <c r="AO301" s="241"/>
      <c r="AP301" s="241"/>
      <c r="AQ301" s="241"/>
      <c r="AR301" s="233" t="e">
        <f>_xlfn.XLOOKUP($D301,'Modelling New'!$D:$D,'Modelling New'!$N:$N)</f>
        <v>#N/A</v>
      </c>
      <c r="AS301" s="233" t="str">
        <f t="shared" si="28"/>
        <v/>
      </c>
    </row>
    <row r="302" spans="1:45">
      <c r="A302" s="232">
        <f t="shared" si="29"/>
        <v>46139</v>
      </c>
      <c r="B302" s="233">
        <f>YEAR(Daily_KPI[[#This Row],[Date]])+IF(MONTH(Daily_KPI[[#This Row],[Date]])&gt;=4,1,0)</f>
        <v>2027</v>
      </c>
      <c r="C302" s="234">
        <f>YEAR(Daily_KPI[[#This Row],[Date]])</f>
        <v>2026</v>
      </c>
      <c r="D302" s="235">
        <f>Daily_KPI[[#This Row],[Date]]-DAY(Daily_KPI[[#This Row],[Date]])+1</f>
        <v>46113</v>
      </c>
      <c r="E302" s="234">
        <f t="shared" si="25"/>
        <v>30</v>
      </c>
      <c r="F302" s="236" t="str">
        <f>IFERROR(_xlfn.XLOOKUP($A302,Input_Raw!$A:$A,Input_Raw!$BM:$BM),"")</f>
        <v/>
      </c>
      <c r="G302" s="237" t="str">
        <f>IFERROR(_xlfn.XLOOKUP($A302,Input_Raw!$A:$A,Input_Raw!$AN:$AN),"")</f>
        <v/>
      </c>
      <c r="H302" s="237"/>
      <c r="I302" s="237" t="str">
        <f>IFERROR(_xlfn.XLOOKUP($A302,Input_Raw!$A:$A,Input_Raw!$AM:$AM),"")</f>
        <v/>
      </c>
      <c r="J302" s="237"/>
      <c r="K302" s="237" t="str">
        <f>IFERROR(_xlfn.XLOOKUP($A302,Input_Raw!$A:$A,Input_Raw!AO:AO),"")</f>
        <v/>
      </c>
      <c r="L302" s="237" t="str">
        <f>IFERROR(_xlfn.XLOOKUP($A302,Input_Raw!$A:$A,Input_Raw!AP:AP),"")</f>
        <v/>
      </c>
      <c r="M302" s="237" t="str">
        <f>IFERROR(_xlfn.XLOOKUP($A302,Input_Raw!$A:$A,Input_Raw!AS:AS),"")</f>
        <v/>
      </c>
      <c r="N302" s="237" t="str">
        <f>IFERROR(_xlfn.XLOOKUP($A302,Input_Raw!$A:$A,Input_Raw!AT:AT),"")</f>
        <v/>
      </c>
      <c r="O302" s="238" t="str">
        <f>IFERROR(1-(SUMIF(Plant_BD!$B:$B,$A302,Plant_BD!$AL:$AL)/($AA302+SUMIF(Plant_BD!$B:$B,$A302,Plant_BD!$AL:$AL))),"")</f>
        <v/>
      </c>
      <c r="P302" s="238"/>
      <c r="Q302" s="239"/>
      <c r="R302" s="238" t="str">
        <f>IFERROR(1-(SUMIF(Grid_BD!$B:$B,$A302,Grid_BD!$V:$V)/($AA302+SUMIF(Grid_BD!$B:$B,$A302,Grid_BD!$V:$V))),"")</f>
        <v/>
      </c>
      <c r="S302" s="234"/>
      <c r="T302" s="239"/>
      <c r="U302" s="240" t="str">
        <f t="shared" si="26"/>
        <v/>
      </c>
      <c r="V302" s="240" t="str">
        <f>IFERROR(_xlfn.XLOOKUP($A302,Input_Raw!$A:$A,Input_Raw!$BS:$BS),"")</f>
        <v/>
      </c>
      <c r="W302" s="241" t="str">
        <f t="shared" si="27"/>
        <v/>
      </c>
      <c r="X302" s="233" t="str">
        <f>IFERROR(_xlfn.XLOOKUP($A302,Input_Raw!$A:$A,Input_Raw!$AW:$AW),"")</f>
        <v/>
      </c>
      <c r="Y302" s="233" t="str">
        <f>IFERROR(_xlfn.XLOOKUP($A302,Input_Raw!$A:$A,Input_Raw!$BN:$BN),"")</f>
        <v/>
      </c>
      <c r="Z302" s="233"/>
      <c r="AA302" s="233" t="str">
        <f>IFERROR(_xlfn.XLOOKUP($A302,Input_Raw!$A:$A,Input_Raw!$BO:$BO),"")</f>
        <v/>
      </c>
      <c r="AB302" s="233" t="str">
        <f>IFERROR(_xlfn.XLOOKUP($A302,Input_Raw!$A:$A,Input_Raw!$BP:$BP),"")</f>
        <v/>
      </c>
      <c r="AC302" s="242" t="str">
        <f>IFERROR(_xlfn.XLOOKUP($D302,'Modelling New'!$D:$D,'Modelling New'!P:P),"")</f>
        <v/>
      </c>
      <c r="AD302" s="233" t="str">
        <f>IFERROR(_xlfn.XLOOKUP($D302,'Modelling New'!$D:$D,'Modelling New'!T:T)*1000,"")</f>
        <v/>
      </c>
      <c r="AE302" s="243" t="str">
        <f>IFERROR(_xlfn.XLOOKUP($D302,'Modelling New'!$D:$D,'Modelling New'!$O:$O),"")</f>
        <v/>
      </c>
      <c r="AF302" s="243" t="str">
        <f>IFERROR(_xlfn.XLOOKUP($D302,'Modelling New'!$D:$D,'Modelling New'!$W:$W),"")</f>
        <v/>
      </c>
      <c r="AG302" s="243" t="str">
        <f>IFERROR(_xlfn.XLOOKUP($D302,'Modelling New'!$D:$D,'Modelling New'!$AE:$AE),"")</f>
        <v/>
      </c>
      <c r="AH302" s="243" t="str">
        <f>IFERROR(_xlfn.XLOOKUP($D302,'Modelling New'!$D:$D,'Modelling New'!$AF:$AF),"")</f>
        <v/>
      </c>
      <c r="AI302" s="234"/>
      <c r="AJ302" s="234"/>
      <c r="AK302" s="234"/>
      <c r="AL302" s="234"/>
      <c r="AM302" s="234"/>
      <c r="AN302" s="244"/>
      <c r="AO302" s="241"/>
      <c r="AP302" s="241"/>
      <c r="AQ302" s="241"/>
      <c r="AR302" s="233" t="e">
        <f>_xlfn.XLOOKUP($D302,'Modelling New'!$D:$D,'Modelling New'!$N:$N)</f>
        <v>#N/A</v>
      </c>
      <c r="AS302" s="233" t="str">
        <f t="shared" si="28"/>
        <v/>
      </c>
    </row>
    <row r="303" spans="1:45">
      <c r="A303" s="232">
        <f t="shared" si="29"/>
        <v>46140</v>
      </c>
      <c r="B303" s="233">
        <f>YEAR(Daily_KPI[[#This Row],[Date]])+IF(MONTH(Daily_KPI[[#This Row],[Date]])&gt;=4,1,0)</f>
        <v>2027</v>
      </c>
      <c r="C303" s="234">
        <f>YEAR(Daily_KPI[[#This Row],[Date]])</f>
        <v>2026</v>
      </c>
      <c r="D303" s="235">
        <f>Daily_KPI[[#This Row],[Date]]-DAY(Daily_KPI[[#This Row],[Date]])+1</f>
        <v>46113</v>
      </c>
      <c r="E303" s="234">
        <f t="shared" si="25"/>
        <v>30</v>
      </c>
      <c r="F303" s="236" t="str">
        <f>IFERROR(_xlfn.XLOOKUP($A303,Input_Raw!$A:$A,Input_Raw!$BM:$BM),"")</f>
        <v/>
      </c>
      <c r="G303" s="237" t="str">
        <f>IFERROR(_xlfn.XLOOKUP($A303,Input_Raw!$A:$A,Input_Raw!$AN:$AN),"")</f>
        <v/>
      </c>
      <c r="H303" s="237"/>
      <c r="I303" s="237" t="str">
        <f>IFERROR(_xlfn.XLOOKUP($A303,Input_Raw!$A:$A,Input_Raw!$AM:$AM),"")</f>
        <v/>
      </c>
      <c r="J303" s="237"/>
      <c r="K303" s="237" t="str">
        <f>IFERROR(_xlfn.XLOOKUP($A303,Input_Raw!$A:$A,Input_Raw!AO:AO),"")</f>
        <v/>
      </c>
      <c r="L303" s="237" t="str">
        <f>IFERROR(_xlfn.XLOOKUP($A303,Input_Raw!$A:$A,Input_Raw!AP:AP),"")</f>
        <v/>
      </c>
      <c r="M303" s="237" t="str">
        <f>IFERROR(_xlfn.XLOOKUP($A303,Input_Raw!$A:$A,Input_Raw!AS:AS),"")</f>
        <v/>
      </c>
      <c r="N303" s="237" t="str">
        <f>IFERROR(_xlfn.XLOOKUP($A303,Input_Raw!$A:$A,Input_Raw!AT:AT),"")</f>
        <v/>
      </c>
      <c r="O303" s="238" t="str">
        <f>IFERROR(1-(SUMIF(Plant_BD!$B:$B,$A303,Plant_BD!$AL:$AL)/($AA303+SUMIF(Plant_BD!$B:$B,$A303,Plant_BD!$AL:$AL))),"")</f>
        <v/>
      </c>
      <c r="P303" s="238"/>
      <c r="Q303" s="239"/>
      <c r="R303" s="238" t="str">
        <f>IFERROR(1-(SUMIF(Grid_BD!$B:$B,$A303,Grid_BD!$V:$V)/($AA303+SUMIF(Grid_BD!$B:$B,$A303,Grid_BD!$V:$V))),"")</f>
        <v/>
      </c>
      <c r="S303" s="234"/>
      <c r="T303" s="239"/>
      <c r="U303" s="240" t="str">
        <f t="shared" si="26"/>
        <v/>
      </c>
      <c r="V303" s="240" t="str">
        <f>IFERROR(_xlfn.XLOOKUP($A303,Input_Raw!$A:$A,Input_Raw!$BS:$BS),"")</f>
        <v/>
      </c>
      <c r="W303" s="241" t="str">
        <f t="shared" si="27"/>
        <v/>
      </c>
      <c r="X303" s="233" t="str">
        <f>IFERROR(_xlfn.XLOOKUP($A303,Input_Raw!$A:$A,Input_Raw!$AW:$AW),"")</f>
        <v/>
      </c>
      <c r="Y303" s="233" t="str">
        <f>IFERROR(_xlfn.XLOOKUP($A303,Input_Raw!$A:$A,Input_Raw!$BN:$BN),"")</f>
        <v/>
      </c>
      <c r="Z303" s="233"/>
      <c r="AA303" s="233" t="str">
        <f>IFERROR(_xlfn.XLOOKUP($A303,Input_Raw!$A:$A,Input_Raw!$BO:$BO),"")</f>
        <v/>
      </c>
      <c r="AB303" s="233" t="str">
        <f>IFERROR(_xlfn.XLOOKUP($A303,Input_Raw!$A:$A,Input_Raw!$BP:$BP),"")</f>
        <v/>
      </c>
      <c r="AC303" s="242" t="str">
        <f>IFERROR(_xlfn.XLOOKUP($D303,'Modelling New'!$D:$D,'Modelling New'!P:P),"")</f>
        <v/>
      </c>
      <c r="AD303" s="233" t="str">
        <f>IFERROR(_xlfn.XLOOKUP($D303,'Modelling New'!$D:$D,'Modelling New'!T:T)*1000,"")</f>
        <v/>
      </c>
      <c r="AE303" s="243" t="str">
        <f>IFERROR(_xlfn.XLOOKUP($D303,'Modelling New'!$D:$D,'Modelling New'!$O:$O),"")</f>
        <v/>
      </c>
      <c r="AF303" s="243" t="str">
        <f>IFERROR(_xlfn.XLOOKUP($D303,'Modelling New'!$D:$D,'Modelling New'!$W:$W),"")</f>
        <v/>
      </c>
      <c r="AG303" s="243" t="str">
        <f>IFERROR(_xlfn.XLOOKUP($D303,'Modelling New'!$D:$D,'Modelling New'!$AE:$AE),"")</f>
        <v/>
      </c>
      <c r="AH303" s="243" t="str">
        <f>IFERROR(_xlfn.XLOOKUP($D303,'Modelling New'!$D:$D,'Modelling New'!$AF:$AF),"")</f>
        <v/>
      </c>
      <c r="AI303" s="234"/>
      <c r="AJ303" s="234"/>
      <c r="AK303" s="234"/>
      <c r="AL303" s="234"/>
      <c r="AM303" s="234"/>
      <c r="AN303" s="244"/>
      <c r="AO303" s="241"/>
      <c r="AP303" s="241"/>
      <c r="AQ303" s="241"/>
      <c r="AR303" s="233" t="e">
        <f>_xlfn.XLOOKUP($D303,'Modelling New'!$D:$D,'Modelling New'!$N:$N)</f>
        <v>#N/A</v>
      </c>
      <c r="AS303" s="233" t="str">
        <f t="shared" si="28"/>
        <v/>
      </c>
    </row>
    <row r="304" spans="1:45">
      <c r="A304" s="232">
        <f t="shared" si="29"/>
        <v>46141</v>
      </c>
      <c r="B304" s="233">
        <f>YEAR(Daily_KPI[[#This Row],[Date]])+IF(MONTH(Daily_KPI[[#This Row],[Date]])&gt;=4,1,0)</f>
        <v>2027</v>
      </c>
      <c r="C304" s="234">
        <f>YEAR(Daily_KPI[[#This Row],[Date]])</f>
        <v>2026</v>
      </c>
      <c r="D304" s="235">
        <f>Daily_KPI[[#This Row],[Date]]-DAY(Daily_KPI[[#This Row],[Date]])+1</f>
        <v>46113</v>
      </c>
      <c r="E304" s="234">
        <f t="shared" si="25"/>
        <v>30</v>
      </c>
      <c r="F304" s="236" t="str">
        <f>IFERROR(_xlfn.XLOOKUP($A304,Input_Raw!$A:$A,Input_Raw!$BM:$BM),"")</f>
        <v/>
      </c>
      <c r="G304" s="237" t="str">
        <f>IFERROR(_xlfn.XLOOKUP($A304,Input_Raw!$A:$A,Input_Raw!$AN:$AN),"")</f>
        <v/>
      </c>
      <c r="H304" s="237"/>
      <c r="I304" s="237" t="str">
        <f>IFERROR(_xlfn.XLOOKUP($A304,Input_Raw!$A:$A,Input_Raw!$AM:$AM),"")</f>
        <v/>
      </c>
      <c r="J304" s="237"/>
      <c r="K304" s="237" t="str">
        <f>IFERROR(_xlfn.XLOOKUP($A304,Input_Raw!$A:$A,Input_Raw!AO:AO),"")</f>
        <v/>
      </c>
      <c r="L304" s="237" t="str">
        <f>IFERROR(_xlfn.XLOOKUP($A304,Input_Raw!$A:$A,Input_Raw!AP:AP),"")</f>
        <v/>
      </c>
      <c r="M304" s="237" t="str">
        <f>IFERROR(_xlfn.XLOOKUP($A304,Input_Raw!$A:$A,Input_Raw!AS:AS),"")</f>
        <v/>
      </c>
      <c r="N304" s="237" t="str">
        <f>IFERROR(_xlfn.XLOOKUP($A304,Input_Raw!$A:$A,Input_Raw!AT:AT),"")</f>
        <v/>
      </c>
      <c r="O304" s="238" t="str">
        <f>IFERROR(1-(SUMIF(Plant_BD!$B:$B,$A304,Plant_BD!$AL:$AL)/($AA304+SUMIF(Plant_BD!$B:$B,$A304,Plant_BD!$AL:$AL))),"")</f>
        <v/>
      </c>
      <c r="P304" s="238"/>
      <c r="Q304" s="239"/>
      <c r="R304" s="238" t="str">
        <f>IFERROR(1-(SUMIF(Grid_BD!$B:$B,$A304,Grid_BD!$V:$V)/($AA304+SUMIF(Grid_BD!$B:$B,$A304,Grid_BD!$V:$V))),"")</f>
        <v/>
      </c>
      <c r="S304" s="234"/>
      <c r="T304" s="239"/>
      <c r="U304" s="240" t="str">
        <f t="shared" si="26"/>
        <v/>
      </c>
      <c r="V304" s="240" t="str">
        <f>IFERROR(_xlfn.XLOOKUP($A304,Input_Raw!$A:$A,Input_Raw!$BS:$BS),"")</f>
        <v/>
      </c>
      <c r="W304" s="241" t="str">
        <f t="shared" si="27"/>
        <v/>
      </c>
      <c r="X304" s="233" t="str">
        <f>IFERROR(_xlfn.XLOOKUP($A304,Input_Raw!$A:$A,Input_Raw!$AW:$AW),"")</f>
        <v/>
      </c>
      <c r="Y304" s="233" t="str">
        <f>IFERROR(_xlfn.XLOOKUP($A304,Input_Raw!$A:$A,Input_Raw!$BN:$BN),"")</f>
        <v/>
      </c>
      <c r="Z304" s="233"/>
      <c r="AA304" s="233" t="str">
        <f>IFERROR(_xlfn.XLOOKUP($A304,Input_Raw!$A:$A,Input_Raw!$BO:$BO),"")</f>
        <v/>
      </c>
      <c r="AB304" s="233" t="str">
        <f>IFERROR(_xlfn.XLOOKUP($A304,Input_Raw!$A:$A,Input_Raw!$BP:$BP),"")</f>
        <v/>
      </c>
      <c r="AC304" s="242" t="str">
        <f>IFERROR(_xlfn.XLOOKUP($D304,'Modelling New'!$D:$D,'Modelling New'!P:P),"")</f>
        <v/>
      </c>
      <c r="AD304" s="233" t="str">
        <f>IFERROR(_xlfn.XLOOKUP($D304,'Modelling New'!$D:$D,'Modelling New'!T:T)*1000,"")</f>
        <v/>
      </c>
      <c r="AE304" s="243" t="str">
        <f>IFERROR(_xlfn.XLOOKUP($D304,'Modelling New'!$D:$D,'Modelling New'!$O:$O),"")</f>
        <v/>
      </c>
      <c r="AF304" s="243" t="str">
        <f>IFERROR(_xlfn.XLOOKUP($D304,'Modelling New'!$D:$D,'Modelling New'!$W:$W),"")</f>
        <v/>
      </c>
      <c r="AG304" s="243" t="str">
        <f>IFERROR(_xlfn.XLOOKUP($D304,'Modelling New'!$D:$D,'Modelling New'!$AE:$AE),"")</f>
        <v/>
      </c>
      <c r="AH304" s="243" t="str">
        <f>IFERROR(_xlfn.XLOOKUP($D304,'Modelling New'!$D:$D,'Modelling New'!$AF:$AF),"")</f>
        <v/>
      </c>
      <c r="AI304" s="234"/>
      <c r="AJ304" s="234"/>
      <c r="AK304" s="234"/>
      <c r="AL304" s="234"/>
      <c r="AM304" s="234"/>
      <c r="AN304" s="244"/>
      <c r="AO304" s="241"/>
      <c r="AP304" s="241"/>
      <c r="AQ304" s="241"/>
      <c r="AR304" s="233" t="e">
        <f>_xlfn.XLOOKUP($D304,'Modelling New'!$D:$D,'Modelling New'!$N:$N)</f>
        <v>#N/A</v>
      </c>
      <c r="AS304" s="233" t="str">
        <f t="shared" si="28"/>
        <v/>
      </c>
    </row>
    <row r="305" spans="1:45">
      <c r="A305" s="232">
        <f t="shared" si="29"/>
        <v>46142</v>
      </c>
      <c r="B305" s="233">
        <f>YEAR(Daily_KPI[[#This Row],[Date]])+IF(MONTH(Daily_KPI[[#This Row],[Date]])&gt;=4,1,0)</f>
        <v>2027</v>
      </c>
      <c r="C305" s="234">
        <f>YEAR(Daily_KPI[[#This Row],[Date]])</f>
        <v>2026</v>
      </c>
      <c r="D305" s="235">
        <f>Daily_KPI[[#This Row],[Date]]-DAY(Daily_KPI[[#This Row],[Date]])+1</f>
        <v>46113</v>
      </c>
      <c r="E305" s="234">
        <f t="shared" si="25"/>
        <v>30</v>
      </c>
      <c r="F305" s="236" t="str">
        <f>IFERROR(_xlfn.XLOOKUP($A305,Input_Raw!$A:$A,Input_Raw!$BM:$BM),"")</f>
        <v/>
      </c>
      <c r="G305" s="237" t="str">
        <f>IFERROR(_xlfn.XLOOKUP($A305,Input_Raw!$A:$A,Input_Raw!$AN:$AN),"")</f>
        <v/>
      </c>
      <c r="H305" s="237"/>
      <c r="I305" s="237" t="str">
        <f>IFERROR(_xlfn.XLOOKUP($A305,Input_Raw!$A:$A,Input_Raw!$AM:$AM),"")</f>
        <v/>
      </c>
      <c r="J305" s="237"/>
      <c r="K305" s="237" t="str">
        <f>IFERROR(_xlfn.XLOOKUP($A305,Input_Raw!$A:$A,Input_Raw!AO:AO),"")</f>
        <v/>
      </c>
      <c r="L305" s="237" t="str">
        <f>IFERROR(_xlfn.XLOOKUP($A305,Input_Raw!$A:$A,Input_Raw!AP:AP),"")</f>
        <v/>
      </c>
      <c r="M305" s="237" t="str">
        <f>IFERROR(_xlfn.XLOOKUP($A305,Input_Raw!$A:$A,Input_Raw!AS:AS),"")</f>
        <v/>
      </c>
      <c r="N305" s="237" t="str">
        <f>IFERROR(_xlfn.XLOOKUP($A305,Input_Raw!$A:$A,Input_Raw!AT:AT),"")</f>
        <v/>
      </c>
      <c r="O305" s="238" t="str">
        <f>IFERROR(1-(SUMIF(Plant_BD!$B:$B,$A305,Plant_BD!$AL:$AL)/($AA305+SUMIF(Plant_BD!$B:$B,$A305,Plant_BD!$AL:$AL))),"")</f>
        <v/>
      </c>
      <c r="P305" s="238"/>
      <c r="Q305" s="239"/>
      <c r="R305" s="238" t="str">
        <f>IFERROR(1-(SUMIF(Grid_BD!$B:$B,$A305,Grid_BD!$V:$V)/($AA305+SUMIF(Grid_BD!$B:$B,$A305,Grid_BD!$V:$V))),"")</f>
        <v/>
      </c>
      <c r="S305" s="234"/>
      <c r="T305" s="239"/>
      <c r="U305" s="240" t="str">
        <f t="shared" si="26"/>
        <v/>
      </c>
      <c r="V305" s="240" t="str">
        <f>IFERROR(_xlfn.XLOOKUP($A305,Input_Raw!$A:$A,Input_Raw!$BS:$BS),"")</f>
        <v/>
      </c>
      <c r="W305" s="241" t="str">
        <f t="shared" si="27"/>
        <v/>
      </c>
      <c r="X305" s="233" t="str">
        <f>IFERROR(_xlfn.XLOOKUP($A305,Input_Raw!$A:$A,Input_Raw!$AW:$AW),"")</f>
        <v/>
      </c>
      <c r="Y305" s="233" t="str">
        <f>IFERROR(_xlfn.XLOOKUP($A305,Input_Raw!$A:$A,Input_Raw!$BN:$BN),"")</f>
        <v/>
      </c>
      <c r="Z305" s="233"/>
      <c r="AA305" s="233" t="str">
        <f>IFERROR(_xlfn.XLOOKUP($A305,Input_Raw!$A:$A,Input_Raw!$BO:$BO),"")</f>
        <v/>
      </c>
      <c r="AB305" s="233" t="str">
        <f>IFERROR(_xlfn.XLOOKUP($A305,Input_Raw!$A:$A,Input_Raw!$BP:$BP),"")</f>
        <v/>
      </c>
      <c r="AC305" s="242" t="str">
        <f>IFERROR(_xlfn.XLOOKUP($D305,'Modelling New'!$D:$D,'Modelling New'!P:P),"")</f>
        <v/>
      </c>
      <c r="AD305" s="233" t="str">
        <f>IFERROR(_xlfn.XLOOKUP($D305,'Modelling New'!$D:$D,'Modelling New'!T:T)*1000,"")</f>
        <v/>
      </c>
      <c r="AE305" s="243" t="str">
        <f>IFERROR(_xlfn.XLOOKUP($D305,'Modelling New'!$D:$D,'Modelling New'!$O:$O),"")</f>
        <v/>
      </c>
      <c r="AF305" s="243" t="str">
        <f>IFERROR(_xlfn.XLOOKUP($D305,'Modelling New'!$D:$D,'Modelling New'!$W:$W),"")</f>
        <v/>
      </c>
      <c r="AG305" s="243" t="str">
        <f>IFERROR(_xlfn.XLOOKUP($D305,'Modelling New'!$D:$D,'Modelling New'!$AE:$AE),"")</f>
        <v/>
      </c>
      <c r="AH305" s="243" t="str">
        <f>IFERROR(_xlfn.XLOOKUP($D305,'Modelling New'!$D:$D,'Modelling New'!$AF:$AF),"")</f>
        <v/>
      </c>
      <c r="AI305" s="234"/>
      <c r="AJ305" s="234"/>
      <c r="AK305" s="234"/>
      <c r="AL305" s="234"/>
      <c r="AM305" s="234"/>
      <c r="AN305" s="244"/>
      <c r="AO305" s="241"/>
      <c r="AP305" s="241"/>
      <c r="AQ305" s="241"/>
      <c r="AR305" s="233" t="e">
        <f>_xlfn.XLOOKUP($D305,'Modelling New'!$D:$D,'Modelling New'!$N:$N)</f>
        <v>#N/A</v>
      </c>
      <c r="AS305" s="233" t="str">
        <f t="shared" si="28"/>
        <v/>
      </c>
    </row>
    <row r="306" spans="1:45">
      <c r="A306" s="232">
        <f t="shared" si="29"/>
        <v>46143</v>
      </c>
      <c r="B306" s="233">
        <f>YEAR(Daily_KPI[[#This Row],[Date]])+IF(MONTH(Daily_KPI[[#This Row],[Date]])&gt;=4,1,0)</f>
        <v>2027</v>
      </c>
      <c r="C306" s="234">
        <f>YEAR(Daily_KPI[[#This Row],[Date]])</f>
        <v>2026</v>
      </c>
      <c r="D306" s="235">
        <f>Daily_KPI[[#This Row],[Date]]-DAY(Daily_KPI[[#This Row],[Date]])+1</f>
        <v>46143</v>
      </c>
      <c r="E306" s="234">
        <f t="shared" si="25"/>
        <v>31</v>
      </c>
      <c r="F306" s="236" t="str">
        <f>IFERROR(_xlfn.XLOOKUP($A306,Input_Raw!$A:$A,Input_Raw!$BM:$BM),"")</f>
        <v/>
      </c>
      <c r="G306" s="237" t="str">
        <f>IFERROR(_xlfn.XLOOKUP($A306,Input_Raw!$A:$A,Input_Raw!$AN:$AN),"")</f>
        <v/>
      </c>
      <c r="H306" s="237"/>
      <c r="I306" s="237" t="str">
        <f>IFERROR(_xlfn.XLOOKUP($A306,Input_Raw!$A:$A,Input_Raw!$AM:$AM),"")</f>
        <v/>
      </c>
      <c r="J306" s="237"/>
      <c r="K306" s="237" t="str">
        <f>IFERROR(_xlfn.XLOOKUP($A306,Input_Raw!$A:$A,Input_Raw!AO:AO),"")</f>
        <v/>
      </c>
      <c r="L306" s="237" t="str">
        <f>IFERROR(_xlfn.XLOOKUP($A306,Input_Raw!$A:$A,Input_Raw!AP:AP),"")</f>
        <v/>
      </c>
      <c r="M306" s="237" t="str">
        <f>IFERROR(_xlfn.XLOOKUP($A306,Input_Raw!$A:$A,Input_Raw!AS:AS),"")</f>
        <v/>
      </c>
      <c r="N306" s="237" t="str">
        <f>IFERROR(_xlfn.XLOOKUP($A306,Input_Raw!$A:$A,Input_Raw!AT:AT),"")</f>
        <v/>
      </c>
      <c r="O306" s="238" t="str">
        <f>IFERROR(1-(SUMIF(Plant_BD!$B:$B,$A306,Plant_BD!$AL:$AL)/($AA306+SUMIF(Plant_BD!$B:$B,$A306,Plant_BD!$AL:$AL))),"")</f>
        <v/>
      </c>
      <c r="P306" s="238"/>
      <c r="Q306" s="239"/>
      <c r="R306" s="238" t="str">
        <f>IFERROR(1-(SUMIF(Grid_BD!$B:$B,$A306,Grid_BD!$V:$V)/($AA306+SUMIF(Grid_BD!$B:$B,$A306,Grid_BD!$V:$V))),"")</f>
        <v/>
      </c>
      <c r="S306" s="234"/>
      <c r="T306" s="239"/>
      <c r="U306" s="240" t="str">
        <f t="shared" si="26"/>
        <v/>
      </c>
      <c r="V306" s="240" t="str">
        <f>IFERROR(_xlfn.XLOOKUP($A306,Input_Raw!$A:$A,Input_Raw!$BS:$BS),"")</f>
        <v/>
      </c>
      <c r="W306" s="241" t="str">
        <f t="shared" si="27"/>
        <v/>
      </c>
      <c r="X306" s="233" t="str">
        <f>IFERROR(_xlfn.XLOOKUP($A306,Input_Raw!$A:$A,Input_Raw!$AW:$AW),"")</f>
        <v/>
      </c>
      <c r="Y306" s="233" t="str">
        <f>IFERROR(_xlfn.XLOOKUP($A306,Input_Raw!$A:$A,Input_Raw!$BN:$BN),"")</f>
        <v/>
      </c>
      <c r="Z306" s="233"/>
      <c r="AA306" s="233" t="str">
        <f>IFERROR(_xlfn.XLOOKUP($A306,Input_Raw!$A:$A,Input_Raw!$BO:$BO),"")</f>
        <v/>
      </c>
      <c r="AB306" s="233" t="str">
        <f>IFERROR(_xlfn.XLOOKUP($A306,Input_Raw!$A:$A,Input_Raw!$BP:$BP),"")</f>
        <v/>
      </c>
      <c r="AC306" s="242" t="str">
        <f>IFERROR(_xlfn.XLOOKUP($D306,'Modelling New'!$D:$D,'Modelling New'!P:P),"")</f>
        <v/>
      </c>
      <c r="AD306" s="233" t="str">
        <f>IFERROR(_xlfn.XLOOKUP($D306,'Modelling New'!$D:$D,'Modelling New'!T:T)*1000,"")</f>
        <v/>
      </c>
      <c r="AE306" s="243" t="str">
        <f>IFERROR(_xlfn.XLOOKUP($D306,'Modelling New'!$D:$D,'Modelling New'!$O:$O),"")</f>
        <v/>
      </c>
      <c r="AF306" s="243" t="str">
        <f>IFERROR(_xlfn.XLOOKUP($D306,'Modelling New'!$D:$D,'Modelling New'!$W:$W),"")</f>
        <v/>
      </c>
      <c r="AG306" s="243" t="str">
        <f>IFERROR(_xlfn.XLOOKUP($D306,'Modelling New'!$D:$D,'Modelling New'!$AE:$AE),"")</f>
        <v/>
      </c>
      <c r="AH306" s="243" t="str">
        <f>IFERROR(_xlfn.XLOOKUP($D306,'Modelling New'!$D:$D,'Modelling New'!$AF:$AF),"")</f>
        <v/>
      </c>
      <c r="AI306" s="234"/>
      <c r="AJ306" s="234"/>
      <c r="AK306" s="234"/>
      <c r="AL306" s="234"/>
      <c r="AM306" s="234"/>
      <c r="AN306" s="244"/>
      <c r="AO306" s="241"/>
      <c r="AP306" s="241"/>
      <c r="AQ306" s="241"/>
      <c r="AR306" s="233" t="e">
        <f>_xlfn.XLOOKUP($D306,'Modelling New'!$D:$D,'Modelling New'!$N:$N)</f>
        <v>#N/A</v>
      </c>
      <c r="AS306" s="233" t="str">
        <f t="shared" si="28"/>
        <v/>
      </c>
    </row>
    <row r="307" spans="1:45">
      <c r="A307" s="232">
        <f t="shared" si="29"/>
        <v>46144</v>
      </c>
      <c r="B307" s="233">
        <f>YEAR(Daily_KPI[[#This Row],[Date]])+IF(MONTH(Daily_KPI[[#This Row],[Date]])&gt;=4,1,0)</f>
        <v>2027</v>
      </c>
      <c r="C307" s="234">
        <f>YEAR(Daily_KPI[[#This Row],[Date]])</f>
        <v>2026</v>
      </c>
      <c r="D307" s="235">
        <f>Daily_KPI[[#This Row],[Date]]-DAY(Daily_KPI[[#This Row],[Date]])+1</f>
        <v>46143</v>
      </c>
      <c r="E307" s="234">
        <f t="shared" si="25"/>
        <v>31</v>
      </c>
      <c r="F307" s="236" t="str">
        <f>IFERROR(_xlfn.XLOOKUP($A307,Input_Raw!$A:$A,Input_Raw!$BM:$BM),"")</f>
        <v/>
      </c>
      <c r="G307" s="237" t="str">
        <f>IFERROR(_xlfn.XLOOKUP($A307,Input_Raw!$A:$A,Input_Raw!$AN:$AN),"")</f>
        <v/>
      </c>
      <c r="H307" s="237"/>
      <c r="I307" s="237" t="str">
        <f>IFERROR(_xlfn.XLOOKUP($A307,Input_Raw!$A:$A,Input_Raw!$AM:$AM),"")</f>
        <v/>
      </c>
      <c r="J307" s="237"/>
      <c r="K307" s="237" t="str">
        <f>IFERROR(_xlfn.XLOOKUP($A307,Input_Raw!$A:$A,Input_Raw!AO:AO),"")</f>
        <v/>
      </c>
      <c r="L307" s="237" t="str">
        <f>IFERROR(_xlfn.XLOOKUP($A307,Input_Raw!$A:$A,Input_Raw!AP:AP),"")</f>
        <v/>
      </c>
      <c r="M307" s="237" t="str">
        <f>IFERROR(_xlfn.XLOOKUP($A307,Input_Raw!$A:$A,Input_Raw!AS:AS),"")</f>
        <v/>
      </c>
      <c r="N307" s="237" t="str">
        <f>IFERROR(_xlfn.XLOOKUP($A307,Input_Raw!$A:$A,Input_Raw!AT:AT),"")</f>
        <v/>
      </c>
      <c r="O307" s="238" t="str">
        <f>IFERROR(1-(SUMIF(Plant_BD!$B:$B,$A307,Plant_BD!$AL:$AL)/($AA307+SUMIF(Plant_BD!$B:$B,$A307,Plant_BD!$AL:$AL))),"")</f>
        <v/>
      </c>
      <c r="P307" s="238"/>
      <c r="Q307" s="239"/>
      <c r="R307" s="238" t="str">
        <f>IFERROR(1-(SUMIF(Grid_BD!$B:$B,$A307,Grid_BD!$V:$V)/($AA307+SUMIF(Grid_BD!$B:$B,$A307,Grid_BD!$V:$V))),"")</f>
        <v/>
      </c>
      <c r="S307" s="234"/>
      <c r="T307" s="239"/>
      <c r="U307" s="240" t="str">
        <f t="shared" si="26"/>
        <v/>
      </c>
      <c r="V307" s="240" t="str">
        <f>IFERROR(_xlfn.XLOOKUP($A307,Input_Raw!$A:$A,Input_Raw!$BS:$BS),"")</f>
        <v/>
      </c>
      <c r="W307" s="241" t="str">
        <f t="shared" si="27"/>
        <v/>
      </c>
      <c r="X307" s="233" t="str">
        <f>IFERROR(_xlfn.XLOOKUP($A307,Input_Raw!$A:$A,Input_Raw!$AW:$AW),"")</f>
        <v/>
      </c>
      <c r="Y307" s="233" t="str">
        <f>IFERROR(_xlfn.XLOOKUP($A307,Input_Raw!$A:$A,Input_Raw!$BN:$BN),"")</f>
        <v/>
      </c>
      <c r="Z307" s="233"/>
      <c r="AA307" s="233" t="str">
        <f>IFERROR(_xlfn.XLOOKUP($A307,Input_Raw!$A:$A,Input_Raw!$BO:$BO),"")</f>
        <v/>
      </c>
      <c r="AB307" s="233" t="str">
        <f>IFERROR(_xlfn.XLOOKUP($A307,Input_Raw!$A:$A,Input_Raw!$BP:$BP),"")</f>
        <v/>
      </c>
      <c r="AC307" s="242" t="str">
        <f>IFERROR(_xlfn.XLOOKUP($D307,'Modelling New'!$D:$D,'Modelling New'!P:P),"")</f>
        <v/>
      </c>
      <c r="AD307" s="233" t="str">
        <f>IFERROR(_xlfn.XLOOKUP($D307,'Modelling New'!$D:$D,'Modelling New'!T:T)*1000,"")</f>
        <v/>
      </c>
      <c r="AE307" s="243" t="str">
        <f>IFERROR(_xlfn.XLOOKUP($D307,'Modelling New'!$D:$D,'Modelling New'!$O:$O),"")</f>
        <v/>
      </c>
      <c r="AF307" s="243" t="str">
        <f>IFERROR(_xlfn.XLOOKUP($D307,'Modelling New'!$D:$D,'Modelling New'!$W:$W),"")</f>
        <v/>
      </c>
      <c r="AG307" s="243" t="str">
        <f>IFERROR(_xlfn.XLOOKUP($D307,'Modelling New'!$D:$D,'Modelling New'!$AE:$AE),"")</f>
        <v/>
      </c>
      <c r="AH307" s="243" t="str">
        <f>IFERROR(_xlfn.XLOOKUP($D307,'Modelling New'!$D:$D,'Modelling New'!$AF:$AF),"")</f>
        <v/>
      </c>
      <c r="AI307" s="234"/>
      <c r="AJ307" s="234"/>
      <c r="AK307" s="234"/>
      <c r="AL307" s="234"/>
      <c r="AM307" s="234"/>
      <c r="AN307" s="244"/>
      <c r="AO307" s="241"/>
      <c r="AP307" s="241"/>
      <c r="AQ307" s="241"/>
      <c r="AR307" s="233" t="e">
        <f>_xlfn.XLOOKUP($D307,'Modelling New'!$D:$D,'Modelling New'!$N:$N)</f>
        <v>#N/A</v>
      </c>
      <c r="AS307" s="233" t="str">
        <f t="shared" si="28"/>
        <v/>
      </c>
    </row>
    <row r="308" spans="1:45">
      <c r="A308" s="232">
        <f t="shared" si="29"/>
        <v>46145</v>
      </c>
      <c r="B308" s="233">
        <f>YEAR(Daily_KPI[[#This Row],[Date]])+IF(MONTH(Daily_KPI[[#This Row],[Date]])&gt;=4,1,0)</f>
        <v>2027</v>
      </c>
      <c r="C308" s="234">
        <f>YEAR(Daily_KPI[[#This Row],[Date]])</f>
        <v>2026</v>
      </c>
      <c r="D308" s="235">
        <f>Daily_KPI[[#This Row],[Date]]-DAY(Daily_KPI[[#This Row],[Date]])+1</f>
        <v>46143</v>
      </c>
      <c r="E308" s="234">
        <f t="shared" si="25"/>
        <v>31</v>
      </c>
      <c r="F308" s="236" t="str">
        <f>IFERROR(_xlfn.XLOOKUP($A308,Input_Raw!$A:$A,Input_Raw!$BM:$BM),"")</f>
        <v/>
      </c>
      <c r="G308" s="237" t="str">
        <f>IFERROR(_xlfn.XLOOKUP($A308,Input_Raw!$A:$A,Input_Raw!$AN:$AN),"")</f>
        <v/>
      </c>
      <c r="H308" s="237"/>
      <c r="I308" s="237" t="str">
        <f>IFERROR(_xlfn.XLOOKUP($A308,Input_Raw!$A:$A,Input_Raw!$AM:$AM),"")</f>
        <v/>
      </c>
      <c r="J308" s="237"/>
      <c r="K308" s="237" t="str">
        <f>IFERROR(_xlfn.XLOOKUP($A308,Input_Raw!$A:$A,Input_Raw!AO:AO),"")</f>
        <v/>
      </c>
      <c r="L308" s="237" t="str">
        <f>IFERROR(_xlfn.XLOOKUP($A308,Input_Raw!$A:$A,Input_Raw!AP:AP),"")</f>
        <v/>
      </c>
      <c r="M308" s="237" t="str">
        <f>IFERROR(_xlfn.XLOOKUP($A308,Input_Raw!$A:$A,Input_Raw!AS:AS),"")</f>
        <v/>
      </c>
      <c r="N308" s="237" t="str">
        <f>IFERROR(_xlfn.XLOOKUP($A308,Input_Raw!$A:$A,Input_Raw!AT:AT),"")</f>
        <v/>
      </c>
      <c r="O308" s="238" t="str">
        <f>IFERROR(1-(SUMIF(Plant_BD!$B:$B,$A308,Plant_BD!$AL:$AL)/($AA308+SUMIF(Plant_BD!$B:$B,$A308,Plant_BD!$AL:$AL))),"")</f>
        <v/>
      </c>
      <c r="P308" s="238"/>
      <c r="Q308" s="239"/>
      <c r="R308" s="238" t="str">
        <f>IFERROR(1-(SUMIF(Grid_BD!$B:$B,$A308,Grid_BD!$V:$V)/($AA308+SUMIF(Grid_BD!$B:$B,$A308,Grid_BD!$V:$V))),"")</f>
        <v/>
      </c>
      <c r="S308" s="234"/>
      <c r="T308" s="239"/>
      <c r="U308" s="240" t="str">
        <f t="shared" si="26"/>
        <v/>
      </c>
      <c r="V308" s="240" t="str">
        <f>IFERROR(_xlfn.XLOOKUP($A308,Input_Raw!$A:$A,Input_Raw!$BS:$BS),"")</f>
        <v/>
      </c>
      <c r="W308" s="241" t="str">
        <f t="shared" si="27"/>
        <v/>
      </c>
      <c r="X308" s="233" t="str">
        <f>IFERROR(_xlfn.XLOOKUP($A308,Input_Raw!$A:$A,Input_Raw!$AW:$AW),"")</f>
        <v/>
      </c>
      <c r="Y308" s="233" t="str">
        <f>IFERROR(_xlfn.XLOOKUP($A308,Input_Raw!$A:$A,Input_Raw!$BN:$BN),"")</f>
        <v/>
      </c>
      <c r="Z308" s="233"/>
      <c r="AA308" s="233" t="str">
        <f>IFERROR(_xlfn.XLOOKUP($A308,Input_Raw!$A:$A,Input_Raw!$BO:$BO),"")</f>
        <v/>
      </c>
      <c r="AB308" s="233" t="str">
        <f>IFERROR(_xlfn.XLOOKUP($A308,Input_Raw!$A:$A,Input_Raw!$BP:$BP),"")</f>
        <v/>
      </c>
      <c r="AC308" s="242" t="str">
        <f>IFERROR(_xlfn.XLOOKUP($D308,'Modelling New'!$D:$D,'Modelling New'!P:P),"")</f>
        <v/>
      </c>
      <c r="AD308" s="233" t="str">
        <f>IFERROR(_xlfn.XLOOKUP($D308,'Modelling New'!$D:$D,'Modelling New'!T:T)*1000,"")</f>
        <v/>
      </c>
      <c r="AE308" s="243" t="str">
        <f>IFERROR(_xlfn.XLOOKUP($D308,'Modelling New'!$D:$D,'Modelling New'!$O:$O),"")</f>
        <v/>
      </c>
      <c r="AF308" s="243" t="str">
        <f>IFERROR(_xlfn.XLOOKUP($D308,'Modelling New'!$D:$D,'Modelling New'!$W:$W),"")</f>
        <v/>
      </c>
      <c r="AG308" s="243" t="str">
        <f>IFERROR(_xlfn.XLOOKUP($D308,'Modelling New'!$D:$D,'Modelling New'!$AE:$AE),"")</f>
        <v/>
      </c>
      <c r="AH308" s="243" t="str">
        <f>IFERROR(_xlfn.XLOOKUP($D308,'Modelling New'!$D:$D,'Modelling New'!$AF:$AF),"")</f>
        <v/>
      </c>
      <c r="AI308" s="234"/>
      <c r="AJ308" s="234"/>
      <c r="AK308" s="234"/>
      <c r="AL308" s="234"/>
      <c r="AM308" s="234"/>
      <c r="AN308" s="244"/>
      <c r="AO308" s="241"/>
      <c r="AP308" s="241"/>
      <c r="AQ308" s="241"/>
      <c r="AR308" s="233" t="e">
        <f>_xlfn.XLOOKUP($D308,'Modelling New'!$D:$D,'Modelling New'!$N:$N)</f>
        <v>#N/A</v>
      </c>
      <c r="AS308" s="233" t="str">
        <f t="shared" si="28"/>
        <v/>
      </c>
    </row>
    <row r="309" spans="1:45">
      <c r="A309" s="232">
        <f t="shared" si="29"/>
        <v>46146</v>
      </c>
      <c r="B309" s="233">
        <f>YEAR(Daily_KPI[[#This Row],[Date]])+IF(MONTH(Daily_KPI[[#This Row],[Date]])&gt;=4,1,0)</f>
        <v>2027</v>
      </c>
      <c r="C309" s="234">
        <f>YEAR(Daily_KPI[[#This Row],[Date]])</f>
        <v>2026</v>
      </c>
      <c r="D309" s="235">
        <f>Daily_KPI[[#This Row],[Date]]-DAY(Daily_KPI[[#This Row],[Date]])+1</f>
        <v>46143</v>
      </c>
      <c r="E309" s="234">
        <f t="shared" si="25"/>
        <v>31</v>
      </c>
      <c r="F309" s="236" t="str">
        <f>IFERROR(_xlfn.XLOOKUP($A309,Input_Raw!$A:$A,Input_Raw!$BM:$BM),"")</f>
        <v/>
      </c>
      <c r="G309" s="237" t="str">
        <f>IFERROR(_xlfn.XLOOKUP($A309,Input_Raw!$A:$A,Input_Raw!$AN:$AN),"")</f>
        <v/>
      </c>
      <c r="H309" s="237"/>
      <c r="I309" s="237" t="str">
        <f>IFERROR(_xlfn.XLOOKUP($A309,Input_Raw!$A:$A,Input_Raw!$AM:$AM),"")</f>
        <v/>
      </c>
      <c r="J309" s="237"/>
      <c r="K309" s="237" t="str">
        <f>IFERROR(_xlfn.XLOOKUP($A309,Input_Raw!$A:$A,Input_Raw!AO:AO),"")</f>
        <v/>
      </c>
      <c r="L309" s="237" t="str">
        <f>IFERROR(_xlfn.XLOOKUP($A309,Input_Raw!$A:$A,Input_Raw!AP:AP),"")</f>
        <v/>
      </c>
      <c r="M309" s="237" t="str">
        <f>IFERROR(_xlfn.XLOOKUP($A309,Input_Raw!$A:$A,Input_Raw!AS:AS),"")</f>
        <v/>
      </c>
      <c r="N309" s="237" t="str">
        <f>IFERROR(_xlfn.XLOOKUP($A309,Input_Raw!$A:$A,Input_Raw!AT:AT),"")</f>
        <v/>
      </c>
      <c r="O309" s="238" t="str">
        <f>IFERROR(1-(SUMIF(Plant_BD!$B:$B,$A309,Plant_BD!$AL:$AL)/($AA309+SUMIF(Plant_BD!$B:$B,$A309,Plant_BD!$AL:$AL))),"")</f>
        <v/>
      </c>
      <c r="P309" s="238"/>
      <c r="Q309" s="239"/>
      <c r="R309" s="238" t="str">
        <f>IFERROR(1-(SUMIF(Grid_BD!$B:$B,$A309,Grid_BD!$V:$V)/($AA309+SUMIF(Grid_BD!$B:$B,$A309,Grid_BD!$V:$V))),"")</f>
        <v/>
      </c>
      <c r="S309" s="234"/>
      <c r="T309" s="239"/>
      <c r="U309" s="240" t="str">
        <f t="shared" si="26"/>
        <v/>
      </c>
      <c r="V309" s="240" t="str">
        <f>IFERROR(_xlfn.XLOOKUP($A309,Input_Raw!$A:$A,Input_Raw!$BS:$BS),"")</f>
        <v/>
      </c>
      <c r="W309" s="241" t="str">
        <f t="shared" si="27"/>
        <v/>
      </c>
      <c r="X309" s="233" t="str">
        <f>IFERROR(_xlfn.XLOOKUP($A309,Input_Raw!$A:$A,Input_Raw!$AW:$AW),"")</f>
        <v/>
      </c>
      <c r="Y309" s="233" t="str">
        <f>IFERROR(_xlfn.XLOOKUP($A309,Input_Raw!$A:$A,Input_Raw!$BN:$BN),"")</f>
        <v/>
      </c>
      <c r="Z309" s="233"/>
      <c r="AA309" s="233" t="str">
        <f>IFERROR(_xlfn.XLOOKUP($A309,Input_Raw!$A:$A,Input_Raw!$BO:$BO),"")</f>
        <v/>
      </c>
      <c r="AB309" s="233" t="str">
        <f>IFERROR(_xlfn.XLOOKUP($A309,Input_Raw!$A:$A,Input_Raw!$BP:$BP),"")</f>
        <v/>
      </c>
      <c r="AC309" s="242" t="str">
        <f>IFERROR(_xlfn.XLOOKUP($D309,'Modelling New'!$D:$D,'Modelling New'!P:P),"")</f>
        <v/>
      </c>
      <c r="AD309" s="233" t="str">
        <f>IFERROR(_xlfn.XLOOKUP($D309,'Modelling New'!$D:$D,'Modelling New'!T:T)*1000,"")</f>
        <v/>
      </c>
      <c r="AE309" s="243" t="str">
        <f>IFERROR(_xlfn.XLOOKUP($D309,'Modelling New'!$D:$D,'Modelling New'!$O:$O),"")</f>
        <v/>
      </c>
      <c r="AF309" s="243" t="str">
        <f>IFERROR(_xlfn.XLOOKUP($D309,'Modelling New'!$D:$D,'Modelling New'!$W:$W),"")</f>
        <v/>
      </c>
      <c r="AG309" s="243" t="str">
        <f>IFERROR(_xlfn.XLOOKUP($D309,'Modelling New'!$D:$D,'Modelling New'!$AE:$AE),"")</f>
        <v/>
      </c>
      <c r="AH309" s="243" t="str">
        <f>IFERROR(_xlfn.XLOOKUP($D309,'Modelling New'!$D:$D,'Modelling New'!$AF:$AF),"")</f>
        <v/>
      </c>
      <c r="AI309" s="234"/>
      <c r="AJ309" s="234"/>
      <c r="AK309" s="234"/>
      <c r="AL309" s="234"/>
      <c r="AM309" s="234"/>
      <c r="AN309" s="244"/>
      <c r="AO309" s="241"/>
      <c r="AP309" s="241"/>
      <c r="AQ309" s="241"/>
      <c r="AR309" s="233" t="e">
        <f>_xlfn.XLOOKUP($D309,'Modelling New'!$D:$D,'Modelling New'!$N:$N)</f>
        <v>#N/A</v>
      </c>
      <c r="AS309" s="233" t="str">
        <f t="shared" si="28"/>
        <v/>
      </c>
    </row>
    <row r="310" spans="1:45">
      <c r="A310" s="232">
        <f t="shared" si="29"/>
        <v>46147</v>
      </c>
      <c r="B310" s="233">
        <f>YEAR(Daily_KPI[[#This Row],[Date]])+IF(MONTH(Daily_KPI[[#This Row],[Date]])&gt;=4,1,0)</f>
        <v>2027</v>
      </c>
      <c r="C310" s="234">
        <f>YEAR(Daily_KPI[[#This Row],[Date]])</f>
        <v>2026</v>
      </c>
      <c r="D310" s="235">
        <f>Daily_KPI[[#This Row],[Date]]-DAY(Daily_KPI[[#This Row],[Date]])+1</f>
        <v>46143</v>
      </c>
      <c r="E310" s="234">
        <f t="shared" si="25"/>
        <v>31</v>
      </c>
      <c r="F310" s="236" t="str">
        <f>IFERROR(_xlfn.XLOOKUP($A310,Input_Raw!$A:$A,Input_Raw!$BM:$BM),"")</f>
        <v/>
      </c>
      <c r="G310" s="237" t="str">
        <f>IFERROR(_xlfn.XLOOKUP($A310,Input_Raw!$A:$A,Input_Raw!$AN:$AN),"")</f>
        <v/>
      </c>
      <c r="H310" s="237"/>
      <c r="I310" s="237" t="str">
        <f>IFERROR(_xlfn.XLOOKUP($A310,Input_Raw!$A:$A,Input_Raw!$AM:$AM),"")</f>
        <v/>
      </c>
      <c r="J310" s="237"/>
      <c r="K310" s="237" t="str">
        <f>IFERROR(_xlfn.XLOOKUP($A310,Input_Raw!$A:$A,Input_Raw!AO:AO),"")</f>
        <v/>
      </c>
      <c r="L310" s="237" t="str">
        <f>IFERROR(_xlfn.XLOOKUP($A310,Input_Raw!$A:$A,Input_Raw!AP:AP),"")</f>
        <v/>
      </c>
      <c r="M310" s="237" t="str">
        <f>IFERROR(_xlfn.XLOOKUP($A310,Input_Raw!$A:$A,Input_Raw!AS:AS),"")</f>
        <v/>
      </c>
      <c r="N310" s="237" t="str">
        <f>IFERROR(_xlfn.XLOOKUP($A310,Input_Raw!$A:$A,Input_Raw!AT:AT),"")</f>
        <v/>
      </c>
      <c r="O310" s="238" t="str">
        <f>IFERROR(1-(SUMIF(Plant_BD!$B:$B,$A310,Plant_BD!$AL:$AL)/($AA310+SUMIF(Plant_BD!$B:$B,$A310,Plant_BD!$AL:$AL))),"")</f>
        <v/>
      </c>
      <c r="P310" s="238"/>
      <c r="Q310" s="239"/>
      <c r="R310" s="238" t="str">
        <f>IFERROR(1-(SUMIF(Grid_BD!$B:$B,$A310,Grid_BD!$V:$V)/($AA310+SUMIF(Grid_BD!$B:$B,$A310,Grid_BD!$V:$V))),"")</f>
        <v/>
      </c>
      <c r="S310" s="234"/>
      <c r="T310" s="239"/>
      <c r="U310" s="240" t="str">
        <f t="shared" si="26"/>
        <v/>
      </c>
      <c r="V310" s="240" t="str">
        <f>IFERROR(_xlfn.XLOOKUP($A310,Input_Raw!$A:$A,Input_Raw!$BS:$BS),"")</f>
        <v/>
      </c>
      <c r="W310" s="241" t="str">
        <f t="shared" si="27"/>
        <v/>
      </c>
      <c r="X310" s="233" t="str">
        <f>IFERROR(_xlfn.XLOOKUP($A310,Input_Raw!$A:$A,Input_Raw!$AW:$AW),"")</f>
        <v/>
      </c>
      <c r="Y310" s="233" t="str">
        <f>IFERROR(_xlfn.XLOOKUP($A310,Input_Raw!$A:$A,Input_Raw!$BN:$BN),"")</f>
        <v/>
      </c>
      <c r="Z310" s="233"/>
      <c r="AA310" s="233" t="str">
        <f>IFERROR(_xlfn.XLOOKUP($A310,Input_Raw!$A:$A,Input_Raw!$BO:$BO),"")</f>
        <v/>
      </c>
      <c r="AB310" s="233" t="str">
        <f>IFERROR(_xlfn.XLOOKUP($A310,Input_Raw!$A:$A,Input_Raw!$BP:$BP),"")</f>
        <v/>
      </c>
      <c r="AC310" s="242" t="str">
        <f>IFERROR(_xlfn.XLOOKUP($D310,'Modelling New'!$D:$D,'Modelling New'!P:P),"")</f>
        <v/>
      </c>
      <c r="AD310" s="233" t="str">
        <f>IFERROR(_xlfn.XLOOKUP($D310,'Modelling New'!$D:$D,'Modelling New'!T:T)*1000,"")</f>
        <v/>
      </c>
      <c r="AE310" s="243" t="str">
        <f>IFERROR(_xlfn.XLOOKUP($D310,'Modelling New'!$D:$D,'Modelling New'!$O:$O),"")</f>
        <v/>
      </c>
      <c r="AF310" s="243" t="str">
        <f>IFERROR(_xlfn.XLOOKUP($D310,'Modelling New'!$D:$D,'Modelling New'!$W:$W),"")</f>
        <v/>
      </c>
      <c r="AG310" s="243" t="str">
        <f>IFERROR(_xlfn.XLOOKUP($D310,'Modelling New'!$D:$D,'Modelling New'!$AE:$AE),"")</f>
        <v/>
      </c>
      <c r="AH310" s="243" t="str">
        <f>IFERROR(_xlfn.XLOOKUP($D310,'Modelling New'!$D:$D,'Modelling New'!$AF:$AF),"")</f>
        <v/>
      </c>
      <c r="AI310" s="234"/>
      <c r="AJ310" s="234"/>
      <c r="AK310" s="234"/>
      <c r="AL310" s="234"/>
      <c r="AM310" s="234"/>
      <c r="AN310" s="244"/>
      <c r="AO310" s="241"/>
      <c r="AP310" s="241"/>
      <c r="AQ310" s="241"/>
      <c r="AR310" s="233" t="e">
        <f>_xlfn.XLOOKUP($D310,'Modelling New'!$D:$D,'Modelling New'!$N:$N)</f>
        <v>#N/A</v>
      </c>
      <c r="AS310" s="233" t="str">
        <f t="shared" si="28"/>
        <v/>
      </c>
    </row>
    <row r="311" spans="1:45">
      <c r="A311" s="232">
        <f t="shared" si="29"/>
        <v>46148</v>
      </c>
      <c r="B311" s="233">
        <f>YEAR(Daily_KPI[[#This Row],[Date]])+IF(MONTH(Daily_KPI[[#This Row],[Date]])&gt;=4,1,0)</f>
        <v>2027</v>
      </c>
      <c r="C311" s="234">
        <f>YEAR(Daily_KPI[[#This Row],[Date]])</f>
        <v>2026</v>
      </c>
      <c r="D311" s="235">
        <f>Daily_KPI[[#This Row],[Date]]-DAY(Daily_KPI[[#This Row],[Date]])+1</f>
        <v>46143</v>
      </c>
      <c r="E311" s="234">
        <f t="shared" si="25"/>
        <v>31</v>
      </c>
      <c r="F311" s="236" t="str">
        <f>IFERROR(_xlfn.XLOOKUP($A311,Input_Raw!$A:$A,Input_Raw!$BM:$BM),"")</f>
        <v/>
      </c>
      <c r="G311" s="237" t="str">
        <f>IFERROR(_xlfn.XLOOKUP($A311,Input_Raw!$A:$A,Input_Raw!$AN:$AN),"")</f>
        <v/>
      </c>
      <c r="H311" s="237"/>
      <c r="I311" s="237" t="str">
        <f>IFERROR(_xlfn.XLOOKUP($A311,Input_Raw!$A:$A,Input_Raw!$AM:$AM),"")</f>
        <v/>
      </c>
      <c r="J311" s="237"/>
      <c r="K311" s="237" t="str">
        <f>IFERROR(_xlfn.XLOOKUP($A311,Input_Raw!$A:$A,Input_Raw!AO:AO),"")</f>
        <v/>
      </c>
      <c r="L311" s="237" t="str">
        <f>IFERROR(_xlfn.XLOOKUP($A311,Input_Raw!$A:$A,Input_Raw!AP:AP),"")</f>
        <v/>
      </c>
      <c r="M311" s="237" t="str">
        <f>IFERROR(_xlfn.XLOOKUP($A311,Input_Raw!$A:$A,Input_Raw!AS:AS),"")</f>
        <v/>
      </c>
      <c r="N311" s="237" t="str">
        <f>IFERROR(_xlfn.XLOOKUP($A311,Input_Raw!$A:$A,Input_Raw!AT:AT),"")</f>
        <v/>
      </c>
      <c r="O311" s="238" t="str">
        <f>IFERROR(1-(SUMIF(Plant_BD!$B:$B,$A311,Plant_BD!$AL:$AL)/($AA311+SUMIF(Plant_BD!$B:$B,$A311,Plant_BD!$AL:$AL))),"")</f>
        <v/>
      </c>
      <c r="P311" s="238"/>
      <c r="Q311" s="239"/>
      <c r="R311" s="238" t="str">
        <f>IFERROR(1-(SUMIF(Grid_BD!$B:$B,$A311,Grid_BD!$V:$V)/($AA311+SUMIF(Grid_BD!$B:$B,$A311,Grid_BD!$V:$V))),"")</f>
        <v/>
      </c>
      <c r="S311" s="234"/>
      <c r="T311" s="239"/>
      <c r="U311" s="240" t="str">
        <f t="shared" si="26"/>
        <v/>
      </c>
      <c r="V311" s="240" t="str">
        <f>IFERROR(_xlfn.XLOOKUP($A311,Input_Raw!$A:$A,Input_Raw!$BS:$BS),"")</f>
        <v/>
      </c>
      <c r="W311" s="241" t="str">
        <f t="shared" si="27"/>
        <v/>
      </c>
      <c r="X311" s="233" t="str">
        <f>IFERROR(_xlfn.XLOOKUP($A311,Input_Raw!$A:$A,Input_Raw!$AW:$AW),"")</f>
        <v/>
      </c>
      <c r="Y311" s="233" t="str">
        <f>IFERROR(_xlfn.XLOOKUP($A311,Input_Raw!$A:$A,Input_Raw!$BN:$BN),"")</f>
        <v/>
      </c>
      <c r="Z311" s="233"/>
      <c r="AA311" s="233" t="str">
        <f>IFERROR(_xlfn.XLOOKUP($A311,Input_Raw!$A:$A,Input_Raw!$BO:$BO),"")</f>
        <v/>
      </c>
      <c r="AB311" s="233" t="str">
        <f>IFERROR(_xlfn.XLOOKUP($A311,Input_Raw!$A:$A,Input_Raw!$BP:$BP),"")</f>
        <v/>
      </c>
      <c r="AC311" s="242" t="str">
        <f>IFERROR(_xlfn.XLOOKUP($D311,'Modelling New'!$D:$D,'Modelling New'!P:P),"")</f>
        <v/>
      </c>
      <c r="AD311" s="233" t="str">
        <f>IFERROR(_xlfn.XLOOKUP($D311,'Modelling New'!$D:$D,'Modelling New'!T:T)*1000,"")</f>
        <v/>
      </c>
      <c r="AE311" s="243" t="str">
        <f>IFERROR(_xlfn.XLOOKUP($D311,'Modelling New'!$D:$D,'Modelling New'!$O:$O),"")</f>
        <v/>
      </c>
      <c r="AF311" s="243" t="str">
        <f>IFERROR(_xlfn.XLOOKUP($D311,'Modelling New'!$D:$D,'Modelling New'!$W:$W),"")</f>
        <v/>
      </c>
      <c r="AG311" s="243" t="str">
        <f>IFERROR(_xlfn.XLOOKUP($D311,'Modelling New'!$D:$D,'Modelling New'!$AE:$AE),"")</f>
        <v/>
      </c>
      <c r="AH311" s="243" t="str">
        <f>IFERROR(_xlfn.XLOOKUP($D311,'Modelling New'!$D:$D,'Modelling New'!$AF:$AF),"")</f>
        <v/>
      </c>
      <c r="AI311" s="234"/>
      <c r="AJ311" s="234"/>
      <c r="AK311" s="234"/>
      <c r="AL311" s="234"/>
      <c r="AM311" s="234"/>
      <c r="AN311" s="244"/>
      <c r="AO311" s="241"/>
      <c r="AP311" s="241"/>
      <c r="AQ311" s="241"/>
      <c r="AR311" s="233" t="e">
        <f>_xlfn.XLOOKUP($D311,'Modelling New'!$D:$D,'Modelling New'!$N:$N)</f>
        <v>#N/A</v>
      </c>
      <c r="AS311" s="233" t="str">
        <f t="shared" si="28"/>
        <v/>
      </c>
    </row>
    <row r="312" spans="1:45">
      <c r="A312" s="232">
        <f t="shared" si="29"/>
        <v>46149</v>
      </c>
      <c r="B312" s="233">
        <f>YEAR(Daily_KPI[[#This Row],[Date]])+IF(MONTH(Daily_KPI[[#This Row],[Date]])&gt;=4,1,0)</f>
        <v>2027</v>
      </c>
      <c r="C312" s="234">
        <f>YEAR(Daily_KPI[[#This Row],[Date]])</f>
        <v>2026</v>
      </c>
      <c r="D312" s="235">
        <f>Daily_KPI[[#This Row],[Date]]-DAY(Daily_KPI[[#This Row],[Date]])+1</f>
        <v>46143</v>
      </c>
      <c r="E312" s="234">
        <f t="shared" si="25"/>
        <v>31</v>
      </c>
      <c r="F312" s="236" t="str">
        <f>IFERROR(_xlfn.XLOOKUP($A312,Input_Raw!$A:$A,Input_Raw!$BM:$BM),"")</f>
        <v/>
      </c>
      <c r="G312" s="237" t="str">
        <f>IFERROR(_xlfn.XLOOKUP($A312,Input_Raw!$A:$A,Input_Raw!$AN:$AN),"")</f>
        <v/>
      </c>
      <c r="H312" s="237"/>
      <c r="I312" s="237" t="str">
        <f>IFERROR(_xlfn.XLOOKUP($A312,Input_Raw!$A:$A,Input_Raw!$AM:$AM),"")</f>
        <v/>
      </c>
      <c r="J312" s="237"/>
      <c r="K312" s="237" t="str">
        <f>IFERROR(_xlfn.XLOOKUP($A312,Input_Raw!$A:$A,Input_Raw!AO:AO),"")</f>
        <v/>
      </c>
      <c r="L312" s="237" t="str">
        <f>IFERROR(_xlfn.XLOOKUP($A312,Input_Raw!$A:$A,Input_Raw!AP:AP),"")</f>
        <v/>
      </c>
      <c r="M312" s="237" t="str">
        <f>IFERROR(_xlfn.XLOOKUP($A312,Input_Raw!$A:$A,Input_Raw!AS:AS),"")</f>
        <v/>
      </c>
      <c r="N312" s="237" t="str">
        <f>IFERROR(_xlfn.XLOOKUP($A312,Input_Raw!$A:$A,Input_Raw!AT:AT),"")</f>
        <v/>
      </c>
      <c r="O312" s="238" t="str">
        <f>IFERROR(1-(SUMIF(Plant_BD!$B:$B,$A312,Plant_BD!$AL:$AL)/($AA312+SUMIF(Plant_BD!$B:$B,$A312,Plant_BD!$AL:$AL))),"")</f>
        <v/>
      </c>
      <c r="P312" s="238"/>
      <c r="Q312" s="239"/>
      <c r="R312" s="238" t="str">
        <f>IFERROR(1-(SUMIF(Grid_BD!$B:$B,$A312,Grid_BD!$V:$V)/($AA312+SUMIF(Grid_BD!$B:$B,$A312,Grid_BD!$V:$V))),"")</f>
        <v/>
      </c>
      <c r="S312" s="234"/>
      <c r="T312" s="239"/>
      <c r="U312" s="240" t="str">
        <f t="shared" si="26"/>
        <v/>
      </c>
      <c r="V312" s="240" t="str">
        <f>IFERROR(_xlfn.XLOOKUP($A312,Input_Raw!$A:$A,Input_Raw!$BS:$BS),"")</f>
        <v/>
      </c>
      <c r="W312" s="241" t="str">
        <f t="shared" si="27"/>
        <v/>
      </c>
      <c r="X312" s="233" t="str">
        <f>IFERROR(_xlfn.XLOOKUP($A312,Input_Raw!$A:$A,Input_Raw!$AW:$AW),"")</f>
        <v/>
      </c>
      <c r="Y312" s="233" t="str">
        <f>IFERROR(_xlfn.XLOOKUP($A312,Input_Raw!$A:$A,Input_Raw!$BN:$BN),"")</f>
        <v/>
      </c>
      <c r="Z312" s="233"/>
      <c r="AA312" s="233" t="str">
        <f>IFERROR(_xlfn.XLOOKUP($A312,Input_Raw!$A:$A,Input_Raw!$BO:$BO),"")</f>
        <v/>
      </c>
      <c r="AB312" s="233" t="str">
        <f>IFERROR(_xlfn.XLOOKUP($A312,Input_Raw!$A:$A,Input_Raw!$BP:$BP),"")</f>
        <v/>
      </c>
      <c r="AC312" s="242" t="str">
        <f>IFERROR(_xlfn.XLOOKUP($D312,'Modelling New'!$D:$D,'Modelling New'!P:P),"")</f>
        <v/>
      </c>
      <c r="AD312" s="233" t="str">
        <f>IFERROR(_xlfn.XLOOKUP($D312,'Modelling New'!$D:$D,'Modelling New'!T:T)*1000,"")</f>
        <v/>
      </c>
      <c r="AE312" s="243" t="str">
        <f>IFERROR(_xlfn.XLOOKUP($D312,'Modelling New'!$D:$D,'Modelling New'!$O:$O),"")</f>
        <v/>
      </c>
      <c r="AF312" s="243" t="str">
        <f>IFERROR(_xlfn.XLOOKUP($D312,'Modelling New'!$D:$D,'Modelling New'!$W:$W),"")</f>
        <v/>
      </c>
      <c r="AG312" s="243" t="str">
        <f>IFERROR(_xlfn.XLOOKUP($D312,'Modelling New'!$D:$D,'Modelling New'!$AE:$AE),"")</f>
        <v/>
      </c>
      <c r="AH312" s="243" t="str">
        <f>IFERROR(_xlfn.XLOOKUP($D312,'Modelling New'!$D:$D,'Modelling New'!$AF:$AF),"")</f>
        <v/>
      </c>
      <c r="AI312" s="234"/>
      <c r="AJ312" s="234"/>
      <c r="AK312" s="234"/>
      <c r="AL312" s="234"/>
      <c r="AM312" s="234"/>
      <c r="AN312" s="244"/>
      <c r="AO312" s="241"/>
      <c r="AP312" s="241"/>
      <c r="AQ312" s="241"/>
      <c r="AR312" s="233" t="e">
        <f>_xlfn.XLOOKUP($D312,'Modelling New'!$D:$D,'Modelling New'!$N:$N)</f>
        <v>#N/A</v>
      </c>
      <c r="AS312" s="233" t="str">
        <f t="shared" si="28"/>
        <v/>
      </c>
    </row>
    <row r="313" spans="1:45">
      <c r="A313" s="232">
        <f t="shared" si="29"/>
        <v>46150</v>
      </c>
      <c r="B313" s="233">
        <f>YEAR(Daily_KPI[[#This Row],[Date]])+IF(MONTH(Daily_KPI[[#This Row],[Date]])&gt;=4,1,0)</f>
        <v>2027</v>
      </c>
      <c r="C313" s="234">
        <f>YEAR(Daily_KPI[[#This Row],[Date]])</f>
        <v>2026</v>
      </c>
      <c r="D313" s="235">
        <f>Daily_KPI[[#This Row],[Date]]-DAY(Daily_KPI[[#This Row],[Date]])+1</f>
        <v>46143</v>
      </c>
      <c r="E313" s="234">
        <f t="shared" si="25"/>
        <v>31</v>
      </c>
      <c r="F313" s="236" t="str">
        <f>IFERROR(_xlfn.XLOOKUP($A313,Input_Raw!$A:$A,Input_Raw!$BM:$BM),"")</f>
        <v/>
      </c>
      <c r="G313" s="237" t="str">
        <f>IFERROR(_xlfn.XLOOKUP($A313,Input_Raw!$A:$A,Input_Raw!$AN:$AN),"")</f>
        <v/>
      </c>
      <c r="H313" s="237"/>
      <c r="I313" s="237" t="str">
        <f>IFERROR(_xlfn.XLOOKUP($A313,Input_Raw!$A:$A,Input_Raw!$AM:$AM),"")</f>
        <v/>
      </c>
      <c r="J313" s="237"/>
      <c r="K313" s="237" t="str">
        <f>IFERROR(_xlfn.XLOOKUP($A313,Input_Raw!$A:$A,Input_Raw!AO:AO),"")</f>
        <v/>
      </c>
      <c r="L313" s="237" t="str">
        <f>IFERROR(_xlfn.XLOOKUP($A313,Input_Raw!$A:$A,Input_Raw!AP:AP),"")</f>
        <v/>
      </c>
      <c r="M313" s="237" t="str">
        <f>IFERROR(_xlfn.XLOOKUP($A313,Input_Raw!$A:$A,Input_Raw!AS:AS),"")</f>
        <v/>
      </c>
      <c r="N313" s="237" t="str">
        <f>IFERROR(_xlfn.XLOOKUP($A313,Input_Raw!$A:$A,Input_Raw!AT:AT),"")</f>
        <v/>
      </c>
      <c r="O313" s="238" t="str">
        <f>IFERROR(1-(SUMIF(Plant_BD!$B:$B,$A313,Plant_BD!$AL:$AL)/($AA313+SUMIF(Plant_BD!$B:$B,$A313,Plant_BD!$AL:$AL))),"")</f>
        <v/>
      </c>
      <c r="P313" s="238"/>
      <c r="Q313" s="239"/>
      <c r="R313" s="238" t="str">
        <f>IFERROR(1-(SUMIF(Grid_BD!$B:$B,$A313,Grid_BD!$V:$V)/($AA313+SUMIF(Grid_BD!$B:$B,$A313,Grid_BD!$V:$V))),"")</f>
        <v/>
      </c>
      <c r="S313" s="234"/>
      <c r="T313" s="239"/>
      <c r="U313" s="240" t="str">
        <f t="shared" si="26"/>
        <v/>
      </c>
      <c r="V313" s="240" t="str">
        <f>IFERROR(_xlfn.XLOOKUP($A313,Input_Raw!$A:$A,Input_Raw!$BS:$BS),"")</f>
        <v/>
      </c>
      <c r="W313" s="241" t="str">
        <f t="shared" si="27"/>
        <v/>
      </c>
      <c r="X313" s="233" t="str">
        <f>IFERROR(_xlfn.XLOOKUP($A313,Input_Raw!$A:$A,Input_Raw!$AW:$AW),"")</f>
        <v/>
      </c>
      <c r="Y313" s="233" t="str">
        <f>IFERROR(_xlfn.XLOOKUP($A313,Input_Raw!$A:$A,Input_Raw!$BN:$BN),"")</f>
        <v/>
      </c>
      <c r="Z313" s="233"/>
      <c r="AA313" s="233" t="str">
        <f>IFERROR(_xlfn.XLOOKUP($A313,Input_Raw!$A:$A,Input_Raw!$BO:$BO),"")</f>
        <v/>
      </c>
      <c r="AB313" s="233" t="str">
        <f>IFERROR(_xlfn.XLOOKUP($A313,Input_Raw!$A:$A,Input_Raw!$BP:$BP),"")</f>
        <v/>
      </c>
      <c r="AC313" s="242" t="str">
        <f>IFERROR(_xlfn.XLOOKUP($D313,'Modelling New'!$D:$D,'Modelling New'!P:P),"")</f>
        <v/>
      </c>
      <c r="AD313" s="233" t="str">
        <f>IFERROR(_xlfn.XLOOKUP($D313,'Modelling New'!$D:$D,'Modelling New'!T:T)*1000,"")</f>
        <v/>
      </c>
      <c r="AE313" s="243" t="str">
        <f>IFERROR(_xlfn.XLOOKUP($D313,'Modelling New'!$D:$D,'Modelling New'!$O:$O),"")</f>
        <v/>
      </c>
      <c r="AF313" s="243" t="str">
        <f>IFERROR(_xlfn.XLOOKUP($D313,'Modelling New'!$D:$D,'Modelling New'!$W:$W),"")</f>
        <v/>
      </c>
      <c r="AG313" s="243" t="str">
        <f>IFERROR(_xlfn.XLOOKUP($D313,'Modelling New'!$D:$D,'Modelling New'!$AE:$AE),"")</f>
        <v/>
      </c>
      <c r="AH313" s="243" t="str">
        <f>IFERROR(_xlfn.XLOOKUP($D313,'Modelling New'!$D:$D,'Modelling New'!$AF:$AF),"")</f>
        <v/>
      </c>
      <c r="AI313" s="234"/>
      <c r="AJ313" s="234"/>
      <c r="AK313" s="234"/>
      <c r="AL313" s="234"/>
      <c r="AM313" s="234"/>
      <c r="AN313" s="244"/>
      <c r="AO313" s="241"/>
      <c r="AP313" s="241"/>
      <c r="AQ313" s="241"/>
      <c r="AR313" s="233" t="e">
        <f>_xlfn.XLOOKUP($D313,'Modelling New'!$D:$D,'Modelling New'!$N:$N)</f>
        <v>#N/A</v>
      </c>
      <c r="AS313" s="233" t="str">
        <f t="shared" si="28"/>
        <v/>
      </c>
    </row>
    <row r="314" spans="1:45">
      <c r="A314" s="232">
        <f t="shared" si="29"/>
        <v>46151</v>
      </c>
      <c r="B314" s="233">
        <f>YEAR(Daily_KPI[[#This Row],[Date]])+IF(MONTH(Daily_KPI[[#This Row],[Date]])&gt;=4,1,0)</f>
        <v>2027</v>
      </c>
      <c r="C314" s="234">
        <f>YEAR(Daily_KPI[[#This Row],[Date]])</f>
        <v>2026</v>
      </c>
      <c r="D314" s="235">
        <f>Daily_KPI[[#This Row],[Date]]-DAY(Daily_KPI[[#This Row],[Date]])+1</f>
        <v>46143</v>
      </c>
      <c r="E314" s="234">
        <f t="shared" si="25"/>
        <v>31</v>
      </c>
      <c r="F314" s="236" t="str">
        <f>IFERROR(_xlfn.XLOOKUP($A314,Input_Raw!$A:$A,Input_Raw!$BM:$BM),"")</f>
        <v/>
      </c>
      <c r="G314" s="237" t="str">
        <f>IFERROR(_xlfn.XLOOKUP($A314,Input_Raw!$A:$A,Input_Raw!$AN:$AN),"")</f>
        <v/>
      </c>
      <c r="H314" s="237"/>
      <c r="I314" s="237" t="str">
        <f>IFERROR(_xlfn.XLOOKUP($A314,Input_Raw!$A:$A,Input_Raw!$AM:$AM),"")</f>
        <v/>
      </c>
      <c r="J314" s="237"/>
      <c r="K314" s="237" t="str">
        <f>IFERROR(_xlfn.XLOOKUP($A314,Input_Raw!$A:$A,Input_Raw!AO:AO),"")</f>
        <v/>
      </c>
      <c r="L314" s="237" t="str">
        <f>IFERROR(_xlfn.XLOOKUP($A314,Input_Raw!$A:$A,Input_Raw!AP:AP),"")</f>
        <v/>
      </c>
      <c r="M314" s="237" t="str">
        <f>IFERROR(_xlfn.XLOOKUP($A314,Input_Raw!$A:$A,Input_Raw!AS:AS),"")</f>
        <v/>
      </c>
      <c r="N314" s="237" t="str">
        <f>IFERROR(_xlfn.XLOOKUP($A314,Input_Raw!$A:$A,Input_Raw!AT:AT),"")</f>
        <v/>
      </c>
      <c r="O314" s="238" t="str">
        <f>IFERROR(1-(SUMIF(Plant_BD!$B:$B,$A314,Plant_BD!$AL:$AL)/($AA314+SUMIF(Plant_BD!$B:$B,$A314,Plant_BD!$AL:$AL))),"")</f>
        <v/>
      </c>
      <c r="P314" s="238"/>
      <c r="Q314" s="239"/>
      <c r="R314" s="238" t="str">
        <f>IFERROR(1-(SUMIF(Grid_BD!$B:$B,$A314,Grid_BD!$V:$V)/($AA314+SUMIF(Grid_BD!$B:$B,$A314,Grid_BD!$V:$V))),"")</f>
        <v/>
      </c>
      <c r="S314" s="234"/>
      <c r="T314" s="239"/>
      <c r="U314" s="240" t="str">
        <f t="shared" si="26"/>
        <v/>
      </c>
      <c r="V314" s="240" t="str">
        <f>IFERROR(_xlfn.XLOOKUP($A314,Input_Raw!$A:$A,Input_Raw!$BS:$BS),"")</f>
        <v/>
      </c>
      <c r="W314" s="241" t="str">
        <f t="shared" si="27"/>
        <v/>
      </c>
      <c r="X314" s="233" t="str">
        <f>IFERROR(_xlfn.XLOOKUP($A314,Input_Raw!$A:$A,Input_Raw!$AW:$AW),"")</f>
        <v/>
      </c>
      <c r="Y314" s="233" t="str">
        <f>IFERROR(_xlfn.XLOOKUP($A314,Input_Raw!$A:$A,Input_Raw!$BN:$BN),"")</f>
        <v/>
      </c>
      <c r="Z314" s="233"/>
      <c r="AA314" s="233" t="str">
        <f>IFERROR(_xlfn.XLOOKUP($A314,Input_Raw!$A:$A,Input_Raw!$BO:$BO),"")</f>
        <v/>
      </c>
      <c r="AB314" s="233" t="str">
        <f>IFERROR(_xlfn.XLOOKUP($A314,Input_Raw!$A:$A,Input_Raw!$BP:$BP),"")</f>
        <v/>
      </c>
      <c r="AC314" s="242" t="str">
        <f>IFERROR(_xlfn.XLOOKUP($D314,'Modelling New'!$D:$D,'Modelling New'!P:P),"")</f>
        <v/>
      </c>
      <c r="AD314" s="233" t="str">
        <f>IFERROR(_xlfn.XLOOKUP($D314,'Modelling New'!$D:$D,'Modelling New'!T:T)*1000,"")</f>
        <v/>
      </c>
      <c r="AE314" s="243" t="str">
        <f>IFERROR(_xlfn.XLOOKUP($D314,'Modelling New'!$D:$D,'Modelling New'!$O:$O),"")</f>
        <v/>
      </c>
      <c r="AF314" s="243" t="str">
        <f>IFERROR(_xlfn.XLOOKUP($D314,'Modelling New'!$D:$D,'Modelling New'!$W:$W),"")</f>
        <v/>
      </c>
      <c r="AG314" s="243" t="str">
        <f>IFERROR(_xlfn.XLOOKUP($D314,'Modelling New'!$D:$D,'Modelling New'!$AE:$AE),"")</f>
        <v/>
      </c>
      <c r="AH314" s="243" t="str">
        <f>IFERROR(_xlfn.XLOOKUP($D314,'Modelling New'!$D:$D,'Modelling New'!$AF:$AF),"")</f>
        <v/>
      </c>
      <c r="AI314" s="234"/>
      <c r="AJ314" s="234"/>
      <c r="AK314" s="234"/>
      <c r="AL314" s="234"/>
      <c r="AM314" s="234"/>
      <c r="AN314" s="244"/>
      <c r="AO314" s="241"/>
      <c r="AP314" s="241"/>
      <c r="AQ314" s="241"/>
      <c r="AR314" s="233" t="e">
        <f>_xlfn.XLOOKUP($D314,'Modelling New'!$D:$D,'Modelling New'!$N:$N)</f>
        <v>#N/A</v>
      </c>
      <c r="AS314" s="233" t="str">
        <f t="shared" si="28"/>
        <v/>
      </c>
    </row>
    <row r="315" spans="1:45">
      <c r="A315" s="232">
        <f t="shared" si="29"/>
        <v>46152</v>
      </c>
      <c r="B315" s="233">
        <f>YEAR(Daily_KPI[[#This Row],[Date]])+IF(MONTH(Daily_KPI[[#This Row],[Date]])&gt;=4,1,0)</f>
        <v>2027</v>
      </c>
      <c r="C315" s="234">
        <f>YEAR(Daily_KPI[[#This Row],[Date]])</f>
        <v>2026</v>
      </c>
      <c r="D315" s="235">
        <f>Daily_KPI[[#This Row],[Date]]-DAY(Daily_KPI[[#This Row],[Date]])+1</f>
        <v>46143</v>
      </c>
      <c r="E315" s="234">
        <f t="shared" si="25"/>
        <v>31</v>
      </c>
      <c r="F315" s="236" t="str">
        <f>IFERROR(_xlfn.XLOOKUP($A315,Input_Raw!$A:$A,Input_Raw!$BM:$BM),"")</f>
        <v/>
      </c>
      <c r="G315" s="237" t="str">
        <f>IFERROR(_xlfn.XLOOKUP($A315,Input_Raw!$A:$A,Input_Raw!$AN:$AN),"")</f>
        <v/>
      </c>
      <c r="H315" s="237"/>
      <c r="I315" s="237" t="str">
        <f>IFERROR(_xlfn.XLOOKUP($A315,Input_Raw!$A:$A,Input_Raw!$AM:$AM),"")</f>
        <v/>
      </c>
      <c r="J315" s="237"/>
      <c r="K315" s="237" t="str">
        <f>IFERROR(_xlfn.XLOOKUP($A315,Input_Raw!$A:$A,Input_Raw!AO:AO),"")</f>
        <v/>
      </c>
      <c r="L315" s="237" t="str">
        <f>IFERROR(_xlfn.XLOOKUP($A315,Input_Raw!$A:$A,Input_Raw!AP:AP),"")</f>
        <v/>
      </c>
      <c r="M315" s="237" t="str">
        <f>IFERROR(_xlfn.XLOOKUP($A315,Input_Raw!$A:$A,Input_Raw!AS:AS),"")</f>
        <v/>
      </c>
      <c r="N315" s="237" t="str">
        <f>IFERROR(_xlfn.XLOOKUP($A315,Input_Raw!$A:$A,Input_Raw!AT:AT),"")</f>
        <v/>
      </c>
      <c r="O315" s="238" t="str">
        <f>IFERROR(1-(SUMIF(Plant_BD!$B:$B,$A315,Plant_BD!$AL:$AL)/($AA315+SUMIF(Plant_BD!$B:$B,$A315,Plant_BD!$AL:$AL))),"")</f>
        <v/>
      </c>
      <c r="P315" s="238"/>
      <c r="Q315" s="239"/>
      <c r="R315" s="238" t="str">
        <f>IFERROR(1-(SUMIF(Grid_BD!$B:$B,$A315,Grid_BD!$V:$V)/($AA315+SUMIF(Grid_BD!$B:$B,$A315,Grid_BD!$V:$V))),"")</f>
        <v/>
      </c>
      <c r="S315" s="234"/>
      <c r="T315" s="239"/>
      <c r="U315" s="240" t="str">
        <f t="shared" si="26"/>
        <v/>
      </c>
      <c r="V315" s="240" t="str">
        <f>IFERROR(_xlfn.XLOOKUP($A315,Input_Raw!$A:$A,Input_Raw!$BS:$BS),"")</f>
        <v/>
      </c>
      <c r="W315" s="241" t="str">
        <f t="shared" si="27"/>
        <v/>
      </c>
      <c r="X315" s="233" t="str">
        <f>IFERROR(_xlfn.XLOOKUP($A315,Input_Raw!$A:$A,Input_Raw!$AW:$AW),"")</f>
        <v/>
      </c>
      <c r="Y315" s="233" t="str">
        <f>IFERROR(_xlfn.XLOOKUP($A315,Input_Raw!$A:$A,Input_Raw!$BN:$BN),"")</f>
        <v/>
      </c>
      <c r="Z315" s="233"/>
      <c r="AA315" s="233" t="str">
        <f>IFERROR(_xlfn.XLOOKUP($A315,Input_Raw!$A:$A,Input_Raw!$BO:$BO),"")</f>
        <v/>
      </c>
      <c r="AB315" s="233" t="str">
        <f>IFERROR(_xlfn.XLOOKUP($A315,Input_Raw!$A:$A,Input_Raw!$BP:$BP),"")</f>
        <v/>
      </c>
      <c r="AC315" s="242" t="str">
        <f>IFERROR(_xlfn.XLOOKUP($D315,'Modelling New'!$D:$D,'Modelling New'!P:P),"")</f>
        <v/>
      </c>
      <c r="AD315" s="233" t="str">
        <f>IFERROR(_xlfn.XLOOKUP($D315,'Modelling New'!$D:$D,'Modelling New'!T:T)*1000,"")</f>
        <v/>
      </c>
      <c r="AE315" s="243" t="str">
        <f>IFERROR(_xlfn.XLOOKUP($D315,'Modelling New'!$D:$D,'Modelling New'!$O:$O),"")</f>
        <v/>
      </c>
      <c r="AF315" s="243" t="str">
        <f>IFERROR(_xlfn.XLOOKUP($D315,'Modelling New'!$D:$D,'Modelling New'!$W:$W),"")</f>
        <v/>
      </c>
      <c r="AG315" s="243" t="str">
        <f>IFERROR(_xlfn.XLOOKUP($D315,'Modelling New'!$D:$D,'Modelling New'!$AE:$AE),"")</f>
        <v/>
      </c>
      <c r="AH315" s="243" t="str">
        <f>IFERROR(_xlfn.XLOOKUP($D315,'Modelling New'!$D:$D,'Modelling New'!$AF:$AF),"")</f>
        <v/>
      </c>
      <c r="AI315" s="234"/>
      <c r="AJ315" s="234"/>
      <c r="AK315" s="234"/>
      <c r="AL315" s="234"/>
      <c r="AM315" s="234"/>
      <c r="AN315" s="244"/>
      <c r="AO315" s="241"/>
      <c r="AP315" s="241"/>
      <c r="AQ315" s="241"/>
      <c r="AR315" s="233" t="e">
        <f>_xlfn.XLOOKUP($D315,'Modelling New'!$D:$D,'Modelling New'!$N:$N)</f>
        <v>#N/A</v>
      </c>
      <c r="AS315" s="233" t="str">
        <f t="shared" si="28"/>
        <v/>
      </c>
    </row>
    <row r="316" spans="1:45">
      <c r="A316" s="232">
        <f t="shared" si="29"/>
        <v>46153</v>
      </c>
      <c r="B316" s="233">
        <f>YEAR(Daily_KPI[[#This Row],[Date]])+IF(MONTH(Daily_KPI[[#This Row],[Date]])&gt;=4,1,0)</f>
        <v>2027</v>
      </c>
      <c r="C316" s="234">
        <f>YEAR(Daily_KPI[[#This Row],[Date]])</f>
        <v>2026</v>
      </c>
      <c r="D316" s="235">
        <f>Daily_KPI[[#This Row],[Date]]-DAY(Daily_KPI[[#This Row],[Date]])+1</f>
        <v>46143</v>
      </c>
      <c r="E316" s="234">
        <f t="shared" si="25"/>
        <v>31</v>
      </c>
      <c r="F316" s="236" t="str">
        <f>IFERROR(_xlfn.XLOOKUP($A316,Input_Raw!$A:$A,Input_Raw!$BM:$BM),"")</f>
        <v/>
      </c>
      <c r="G316" s="237" t="str">
        <f>IFERROR(_xlfn.XLOOKUP($A316,Input_Raw!$A:$A,Input_Raw!$AN:$AN),"")</f>
        <v/>
      </c>
      <c r="H316" s="237"/>
      <c r="I316" s="237" t="str">
        <f>IFERROR(_xlfn.XLOOKUP($A316,Input_Raw!$A:$A,Input_Raw!$AM:$AM),"")</f>
        <v/>
      </c>
      <c r="J316" s="237"/>
      <c r="K316" s="237" t="str">
        <f>IFERROR(_xlfn.XLOOKUP($A316,Input_Raw!$A:$A,Input_Raw!AO:AO),"")</f>
        <v/>
      </c>
      <c r="L316" s="237" t="str">
        <f>IFERROR(_xlfn.XLOOKUP($A316,Input_Raw!$A:$A,Input_Raw!AP:AP),"")</f>
        <v/>
      </c>
      <c r="M316" s="237" t="str">
        <f>IFERROR(_xlfn.XLOOKUP($A316,Input_Raw!$A:$A,Input_Raw!AS:AS),"")</f>
        <v/>
      </c>
      <c r="N316" s="237" t="str">
        <f>IFERROR(_xlfn.XLOOKUP($A316,Input_Raw!$A:$A,Input_Raw!AT:AT),"")</f>
        <v/>
      </c>
      <c r="O316" s="238" t="str">
        <f>IFERROR(1-(SUMIF(Plant_BD!$B:$B,$A316,Plant_BD!$AL:$AL)/($AA316+SUMIF(Plant_BD!$B:$B,$A316,Plant_BD!$AL:$AL))),"")</f>
        <v/>
      </c>
      <c r="P316" s="238"/>
      <c r="Q316" s="239"/>
      <c r="R316" s="238" t="str">
        <f>IFERROR(1-(SUMIF(Grid_BD!$B:$B,$A316,Grid_BD!$V:$V)/($AA316+SUMIF(Grid_BD!$B:$B,$A316,Grid_BD!$V:$V))),"")</f>
        <v/>
      </c>
      <c r="S316" s="234"/>
      <c r="T316" s="239"/>
      <c r="U316" s="240" t="str">
        <f t="shared" si="26"/>
        <v/>
      </c>
      <c r="V316" s="240" t="str">
        <f>IFERROR(_xlfn.XLOOKUP($A316,Input_Raw!$A:$A,Input_Raw!$BS:$BS),"")</f>
        <v/>
      </c>
      <c r="W316" s="241" t="str">
        <f t="shared" si="27"/>
        <v/>
      </c>
      <c r="X316" s="233" t="str">
        <f>IFERROR(_xlfn.XLOOKUP($A316,Input_Raw!$A:$A,Input_Raw!$AW:$AW),"")</f>
        <v/>
      </c>
      <c r="Y316" s="233" t="str">
        <f>IFERROR(_xlfn.XLOOKUP($A316,Input_Raw!$A:$A,Input_Raw!$BN:$BN),"")</f>
        <v/>
      </c>
      <c r="Z316" s="233"/>
      <c r="AA316" s="233" t="str">
        <f>IFERROR(_xlfn.XLOOKUP($A316,Input_Raw!$A:$A,Input_Raw!$BO:$BO),"")</f>
        <v/>
      </c>
      <c r="AB316" s="233" t="str">
        <f>IFERROR(_xlfn.XLOOKUP($A316,Input_Raw!$A:$A,Input_Raw!$BP:$BP),"")</f>
        <v/>
      </c>
      <c r="AC316" s="242" t="str">
        <f>IFERROR(_xlfn.XLOOKUP($D316,'Modelling New'!$D:$D,'Modelling New'!P:P),"")</f>
        <v/>
      </c>
      <c r="AD316" s="233" t="str">
        <f>IFERROR(_xlfn.XLOOKUP($D316,'Modelling New'!$D:$D,'Modelling New'!T:T)*1000,"")</f>
        <v/>
      </c>
      <c r="AE316" s="243" t="str">
        <f>IFERROR(_xlfn.XLOOKUP($D316,'Modelling New'!$D:$D,'Modelling New'!$O:$O),"")</f>
        <v/>
      </c>
      <c r="AF316" s="243" t="str">
        <f>IFERROR(_xlfn.XLOOKUP($D316,'Modelling New'!$D:$D,'Modelling New'!$W:$W),"")</f>
        <v/>
      </c>
      <c r="AG316" s="243" t="str">
        <f>IFERROR(_xlfn.XLOOKUP($D316,'Modelling New'!$D:$D,'Modelling New'!$AE:$AE),"")</f>
        <v/>
      </c>
      <c r="AH316" s="243" t="str">
        <f>IFERROR(_xlfn.XLOOKUP($D316,'Modelling New'!$D:$D,'Modelling New'!$AF:$AF),"")</f>
        <v/>
      </c>
      <c r="AI316" s="234"/>
      <c r="AJ316" s="234"/>
      <c r="AK316" s="234"/>
      <c r="AL316" s="234"/>
      <c r="AM316" s="234"/>
      <c r="AN316" s="244"/>
      <c r="AO316" s="241"/>
      <c r="AP316" s="241"/>
      <c r="AQ316" s="241"/>
      <c r="AR316" s="233" t="e">
        <f>_xlfn.XLOOKUP($D316,'Modelling New'!$D:$D,'Modelling New'!$N:$N)</f>
        <v>#N/A</v>
      </c>
      <c r="AS316" s="233" t="str">
        <f t="shared" si="28"/>
        <v/>
      </c>
    </row>
    <row r="317" spans="1:45">
      <c r="A317" s="232">
        <f t="shared" si="29"/>
        <v>46154</v>
      </c>
      <c r="B317" s="233">
        <f>YEAR(Daily_KPI[[#This Row],[Date]])+IF(MONTH(Daily_KPI[[#This Row],[Date]])&gt;=4,1,0)</f>
        <v>2027</v>
      </c>
      <c r="C317" s="234">
        <f>YEAR(Daily_KPI[[#This Row],[Date]])</f>
        <v>2026</v>
      </c>
      <c r="D317" s="235">
        <f>Daily_KPI[[#This Row],[Date]]-DAY(Daily_KPI[[#This Row],[Date]])+1</f>
        <v>46143</v>
      </c>
      <c r="E317" s="234">
        <f t="shared" si="25"/>
        <v>31</v>
      </c>
      <c r="F317" s="236" t="str">
        <f>IFERROR(_xlfn.XLOOKUP($A317,Input_Raw!$A:$A,Input_Raw!$BM:$BM),"")</f>
        <v/>
      </c>
      <c r="G317" s="237" t="str">
        <f>IFERROR(_xlfn.XLOOKUP($A317,Input_Raw!$A:$A,Input_Raw!$AN:$AN),"")</f>
        <v/>
      </c>
      <c r="H317" s="237"/>
      <c r="I317" s="237" t="str">
        <f>IFERROR(_xlfn.XLOOKUP($A317,Input_Raw!$A:$A,Input_Raw!$AM:$AM),"")</f>
        <v/>
      </c>
      <c r="J317" s="237"/>
      <c r="K317" s="237" t="str">
        <f>IFERROR(_xlfn.XLOOKUP($A317,Input_Raw!$A:$A,Input_Raw!AO:AO),"")</f>
        <v/>
      </c>
      <c r="L317" s="237" t="str">
        <f>IFERROR(_xlfn.XLOOKUP($A317,Input_Raw!$A:$A,Input_Raw!AP:AP),"")</f>
        <v/>
      </c>
      <c r="M317" s="237" t="str">
        <f>IFERROR(_xlfn.XLOOKUP($A317,Input_Raw!$A:$A,Input_Raw!AS:AS),"")</f>
        <v/>
      </c>
      <c r="N317" s="237" t="str">
        <f>IFERROR(_xlfn.XLOOKUP($A317,Input_Raw!$A:$A,Input_Raw!AT:AT),"")</f>
        <v/>
      </c>
      <c r="O317" s="238" t="str">
        <f>IFERROR(1-(SUMIF(Plant_BD!$B:$B,$A317,Plant_BD!$AL:$AL)/($AA317+SUMIF(Plant_BD!$B:$B,$A317,Plant_BD!$AL:$AL))),"")</f>
        <v/>
      </c>
      <c r="P317" s="238"/>
      <c r="Q317" s="239"/>
      <c r="R317" s="238" t="str">
        <f>IFERROR(1-(SUMIF(Grid_BD!$B:$B,$A317,Grid_BD!$V:$V)/($AA317+SUMIF(Grid_BD!$B:$B,$A317,Grid_BD!$V:$V))),"")</f>
        <v/>
      </c>
      <c r="S317" s="234"/>
      <c r="T317" s="239"/>
      <c r="U317" s="240" t="str">
        <f t="shared" si="26"/>
        <v/>
      </c>
      <c r="V317" s="240" t="str">
        <f>IFERROR(_xlfn.XLOOKUP($A317,Input_Raw!$A:$A,Input_Raw!$BS:$BS),"")</f>
        <v/>
      </c>
      <c r="W317" s="241" t="str">
        <f t="shared" si="27"/>
        <v/>
      </c>
      <c r="X317" s="233" t="str">
        <f>IFERROR(_xlfn.XLOOKUP($A317,Input_Raw!$A:$A,Input_Raw!$AW:$AW),"")</f>
        <v/>
      </c>
      <c r="Y317" s="233" t="str">
        <f>IFERROR(_xlfn.XLOOKUP($A317,Input_Raw!$A:$A,Input_Raw!$BN:$BN),"")</f>
        <v/>
      </c>
      <c r="Z317" s="233"/>
      <c r="AA317" s="233" t="str">
        <f>IFERROR(_xlfn.XLOOKUP($A317,Input_Raw!$A:$A,Input_Raw!$BO:$BO),"")</f>
        <v/>
      </c>
      <c r="AB317" s="233" t="str">
        <f>IFERROR(_xlfn.XLOOKUP($A317,Input_Raw!$A:$A,Input_Raw!$BP:$BP),"")</f>
        <v/>
      </c>
      <c r="AC317" s="242" t="str">
        <f>IFERROR(_xlfn.XLOOKUP($D317,'Modelling New'!$D:$D,'Modelling New'!P:P),"")</f>
        <v/>
      </c>
      <c r="AD317" s="233" t="str">
        <f>IFERROR(_xlfn.XLOOKUP($D317,'Modelling New'!$D:$D,'Modelling New'!T:T)*1000,"")</f>
        <v/>
      </c>
      <c r="AE317" s="243" t="str">
        <f>IFERROR(_xlfn.XLOOKUP($D317,'Modelling New'!$D:$D,'Modelling New'!$O:$O),"")</f>
        <v/>
      </c>
      <c r="AF317" s="243" t="str">
        <f>IFERROR(_xlfn.XLOOKUP($D317,'Modelling New'!$D:$D,'Modelling New'!$W:$W),"")</f>
        <v/>
      </c>
      <c r="AG317" s="243" t="str">
        <f>IFERROR(_xlfn.XLOOKUP($D317,'Modelling New'!$D:$D,'Modelling New'!$AE:$AE),"")</f>
        <v/>
      </c>
      <c r="AH317" s="243" t="str">
        <f>IFERROR(_xlfn.XLOOKUP($D317,'Modelling New'!$D:$D,'Modelling New'!$AF:$AF),"")</f>
        <v/>
      </c>
      <c r="AI317" s="234"/>
      <c r="AJ317" s="234"/>
      <c r="AK317" s="234"/>
      <c r="AL317" s="234"/>
      <c r="AM317" s="234"/>
      <c r="AN317" s="244"/>
      <c r="AO317" s="241"/>
      <c r="AP317" s="241"/>
      <c r="AQ317" s="241"/>
      <c r="AR317" s="233" t="e">
        <f>_xlfn.XLOOKUP($D317,'Modelling New'!$D:$D,'Modelling New'!$N:$N)</f>
        <v>#N/A</v>
      </c>
      <c r="AS317" s="233" t="str">
        <f t="shared" si="28"/>
        <v/>
      </c>
    </row>
    <row r="318" spans="1:45">
      <c r="A318" s="232">
        <f t="shared" si="29"/>
        <v>46155</v>
      </c>
      <c r="B318" s="233">
        <f>YEAR(Daily_KPI[[#This Row],[Date]])+IF(MONTH(Daily_KPI[[#This Row],[Date]])&gt;=4,1,0)</f>
        <v>2027</v>
      </c>
      <c r="C318" s="234">
        <f>YEAR(Daily_KPI[[#This Row],[Date]])</f>
        <v>2026</v>
      </c>
      <c r="D318" s="235">
        <f>Daily_KPI[[#This Row],[Date]]-DAY(Daily_KPI[[#This Row],[Date]])+1</f>
        <v>46143</v>
      </c>
      <c r="E318" s="234">
        <f t="shared" si="25"/>
        <v>31</v>
      </c>
      <c r="F318" s="236" t="str">
        <f>IFERROR(_xlfn.XLOOKUP($A318,Input_Raw!$A:$A,Input_Raw!$BM:$BM),"")</f>
        <v/>
      </c>
      <c r="G318" s="237" t="str">
        <f>IFERROR(_xlfn.XLOOKUP($A318,Input_Raw!$A:$A,Input_Raw!$AN:$AN),"")</f>
        <v/>
      </c>
      <c r="H318" s="237"/>
      <c r="I318" s="237" t="str">
        <f>IFERROR(_xlfn.XLOOKUP($A318,Input_Raw!$A:$A,Input_Raw!$AM:$AM),"")</f>
        <v/>
      </c>
      <c r="J318" s="237"/>
      <c r="K318" s="237" t="str">
        <f>IFERROR(_xlfn.XLOOKUP($A318,Input_Raw!$A:$A,Input_Raw!AO:AO),"")</f>
        <v/>
      </c>
      <c r="L318" s="237" t="str">
        <f>IFERROR(_xlfn.XLOOKUP($A318,Input_Raw!$A:$A,Input_Raw!AP:AP),"")</f>
        <v/>
      </c>
      <c r="M318" s="237" t="str">
        <f>IFERROR(_xlfn.XLOOKUP($A318,Input_Raw!$A:$A,Input_Raw!AS:AS),"")</f>
        <v/>
      </c>
      <c r="N318" s="237" t="str">
        <f>IFERROR(_xlfn.XLOOKUP($A318,Input_Raw!$A:$A,Input_Raw!AT:AT),"")</f>
        <v/>
      </c>
      <c r="O318" s="238" t="str">
        <f>IFERROR(1-(SUMIF(Plant_BD!$B:$B,$A318,Plant_BD!$AL:$AL)/($AA318+SUMIF(Plant_BD!$B:$B,$A318,Plant_BD!$AL:$AL))),"")</f>
        <v/>
      </c>
      <c r="P318" s="238"/>
      <c r="Q318" s="239"/>
      <c r="R318" s="238" t="str">
        <f>IFERROR(1-(SUMIF(Grid_BD!$B:$B,$A318,Grid_BD!$V:$V)/($AA318+SUMIF(Grid_BD!$B:$B,$A318,Grid_BD!$V:$V))),"")</f>
        <v/>
      </c>
      <c r="S318" s="234"/>
      <c r="T318" s="239"/>
      <c r="U318" s="240" t="str">
        <f t="shared" si="26"/>
        <v/>
      </c>
      <c r="V318" s="240" t="str">
        <f>IFERROR(_xlfn.XLOOKUP($A318,Input_Raw!$A:$A,Input_Raw!$BS:$BS),"")</f>
        <v/>
      </c>
      <c r="W318" s="241" t="str">
        <f t="shared" si="27"/>
        <v/>
      </c>
      <c r="X318" s="233" t="str">
        <f>IFERROR(_xlfn.XLOOKUP($A318,Input_Raw!$A:$A,Input_Raw!$AW:$AW),"")</f>
        <v/>
      </c>
      <c r="Y318" s="233" t="str">
        <f>IFERROR(_xlfn.XLOOKUP($A318,Input_Raw!$A:$A,Input_Raw!$BN:$BN),"")</f>
        <v/>
      </c>
      <c r="Z318" s="233"/>
      <c r="AA318" s="233" t="str">
        <f>IFERROR(_xlfn.XLOOKUP($A318,Input_Raw!$A:$A,Input_Raw!$BO:$BO),"")</f>
        <v/>
      </c>
      <c r="AB318" s="233" t="str">
        <f>IFERROR(_xlfn.XLOOKUP($A318,Input_Raw!$A:$A,Input_Raw!$BP:$BP),"")</f>
        <v/>
      </c>
      <c r="AC318" s="242" t="str">
        <f>IFERROR(_xlfn.XLOOKUP($D318,'Modelling New'!$D:$D,'Modelling New'!P:P),"")</f>
        <v/>
      </c>
      <c r="AD318" s="233" t="str">
        <f>IFERROR(_xlfn.XLOOKUP($D318,'Modelling New'!$D:$D,'Modelling New'!T:T)*1000,"")</f>
        <v/>
      </c>
      <c r="AE318" s="243" t="str">
        <f>IFERROR(_xlfn.XLOOKUP($D318,'Modelling New'!$D:$D,'Modelling New'!$O:$O),"")</f>
        <v/>
      </c>
      <c r="AF318" s="243" t="str">
        <f>IFERROR(_xlfn.XLOOKUP($D318,'Modelling New'!$D:$D,'Modelling New'!$W:$W),"")</f>
        <v/>
      </c>
      <c r="AG318" s="243" t="str">
        <f>IFERROR(_xlfn.XLOOKUP($D318,'Modelling New'!$D:$D,'Modelling New'!$AE:$AE),"")</f>
        <v/>
      </c>
      <c r="AH318" s="243" t="str">
        <f>IFERROR(_xlfn.XLOOKUP($D318,'Modelling New'!$D:$D,'Modelling New'!$AF:$AF),"")</f>
        <v/>
      </c>
      <c r="AI318" s="234"/>
      <c r="AJ318" s="234"/>
      <c r="AK318" s="234"/>
      <c r="AL318" s="234"/>
      <c r="AM318" s="234"/>
      <c r="AN318" s="244"/>
      <c r="AO318" s="241"/>
      <c r="AP318" s="241"/>
      <c r="AQ318" s="241"/>
      <c r="AR318" s="233" t="e">
        <f>_xlfn.XLOOKUP($D318,'Modelling New'!$D:$D,'Modelling New'!$N:$N)</f>
        <v>#N/A</v>
      </c>
      <c r="AS318" s="233" t="str">
        <f t="shared" si="28"/>
        <v/>
      </c>
    </row>
    <row r="319" spans="1:45">
      <c r="A319" s="232">
        <f t="shared" si="29"/>
        <v>46156</v>
      </c>
      <c r="B319" s="233">
        <f>YEAR(Daily_KPI[[#This Row],[Date]])+IF(MONTH(Daily_KPI[[#This Row],[Date]])&gt;=4,1,0)</f>
        <v>2027</v>
      </c>
      <c r="C319" s="234">
        <f>YEAR(Daily_KPI[[#This Row],[Date]])</f>
        <v>2026</v>
      </c>
      <c r="D319" s="235">
        <f>Daily_KPI[[#This Row],[Date]]-DAY(Daily_KPI[[#This Row],[Date]])+1</f>
        <v>46143</v>
      </c>
      <c r="E319" s="234">
        <f t="shared" si="25"/>
        <v>31</v>
      </c>
      <c r="F319" s="236" t="str">
        <f>IFERROR(_xlfn.XLOOKUP($A319,Input_Raw!$A:$A,Input_Raw!$BM:$BM),"")</f>
        <v/>
      </c>
      <c r="G319" s="237" t="str">
        <f>IFERROR(_xlfn.XLOOKUP($A319,Input_Raw!$A:$A,Input_Raw!$AN:$AN),"")</f>
        <v/>
      </c>
      <c r="H319" s="237"/>
      <c r="I319" s="237" t="str">
        <f>IFERROR(_xlfn.XLOOKUP($A319,Input_Raw!$A:$A,Input_Raw!$AM:$AM),"")</f>
        <v/>
      </c>
      <c r="J319" s="237"/>
      <c r="K319" s="237" t="str">
        <f>IFERROR(_xlfn.XLOOKUP($A319,Input_Raw!$A:$A,Input_Raw!AO:AO),"")</f>
        <v/>
      </c>
      <c r="L319" s="237" t="str">
        <f>IFERROR(_xlfn.XLOOKUP($A319,Input_Raw!$A:$A,Input_Raw!AP:AP),"")</f>
        <v/>
      </c>
      <c r="M319" s="237" t="str">
        <f>IFERROR(_xlfn.XLOOKUP($A319,Input_Raw!$A:$A,Input_Raw!AS:AS),"")</f>
        <v/>
      </c>
      <c r="N319" s="237" t="str">
        <f>IFERROR(_xlfn.XLOOKUP($A319,Input_Raw!$A:$A,Input_Raw!AT:AT),"")</f>
        <v/>
      </c>
      <c r="O319" s="238" t="str">
        <f>IFERROR(1-(SUMIF(Plant_BD!$B:$B,$A319,Plant_BD!$AL:$AL)/($AA319+SUMIF(Plant_BD!$B:$B,$A319,Plant_BD!$AL:$AL))),"")</f>
        <v/>
      </c>
      <c r="P319" s="238"/>
      <c r="Q319" s="239"/>
      <c r="R319" s="238" t="str">
        <f>IFERROR(1-(SUMIF(Grid_BD!$B:$B,$A319,Grid_BD!$V:$V)/($AA319+SUMIF(Grid_BD!$B:$B,$A319,Grid_BD!$V:$V))),"")</f>
        <v/>
      </c>
      <c r="S319" s="234"/>
      <c r="T319" s="239"/>
      <c r="U319" s="240" t="str">
        <f t="shared" si="26"/>
        <v/>
      </c>
      <c r="V319" s="240" t="str">
        <f>IFERROR(_xlfn.XLOOKUP($A319,Input_Raw!$A:$A,Input_Raw!$BS:$BS),"")</f>
        <v/>
      </c>
      <c r="W319" s="241" t="str">
        <f t="shared" si="27"/>
        <v/>
      </c>
      <c r="X319" s="233" t="str">
        <f>IFERROR(_xlfn.XLOOKUP($A319,Input_Raw!$A:$A,Input_Raw!$AW:$AW),"")</f>
        <v/>
      </c>
      <c r="Y319" s="233" t="str">
        <f>IFERROR(_xlfn.XLOOKUP($A319,Input_Raw!$A:$A,Input_Raw!$BN:$BN),"")</f>
        <v/>
      </c>
      <c r="Z319" s="233"/>
      <c r="AA319" s="233" t="str">
        <f>IFERROR(_xlfn.XLOOKUP($A319,Input_Raw!$A:$A,Input_Raw!$BO:$BO),"")</f>
        <v/>
      </c>
      <c r="AB319" s="233" t="str">
        <f>IFERROR(_xlfn.XLOOKUP($A319,Input_Raw!$A:$A,Input_Raw!$BP:$BP),"")</f>
        <v/>
      </c>
      <c r="AC319" s="242" t="str">
        <f>IFERROR(_xlfn.XLOOKUP($D319,'Modelling New'!$D:$D,'Modelling New'!P:P),"")</f>
        <v/>
      </c>
      <c r="AD319" s="233" t="str">
        <f>IFERROR(_xlfn.XLOOKUP($D319,'Modelling New'!$D:$D,'Modelling New'!T:T)*1000,"")</f>
        <v/>
      </c>
      <c r="AE319" s="243" t="str">
        <f>IFERROR(_xlfn.XLOOKUP($D319,'Modelling New'!$D:$D,'Modelling New'!$O:$O),"")</f>
        <v/>
      </c>
      <c r="AF319" s="243" t="str">
        <f>IFERROR(_xlfn.XLOOKUP($D319,'Modelling New'!$D:$D,'Modelling New'!$W:$W),"")</f>
        <v/>
      </c>
      <c r="AG319" s="243" t="str">
        <f>IFERROR(_xlfn.XLOOKUP($D319,'Modelling New'!$D:$D,'Modelling New'!$AE:$AE),"")</f>
        <v/>
      </c>
      <c r="AH319" s="243" t="str">
        <f>IFERROR(_xlfn.XLOOKUP($D319,'Modelling New'!$D:$D,'Modelling New'!$AF:$AF),"")</f>
        <v/>
      </c>
      <c r="AI319" s="234"/>
      <c r="AJ319" s="234"/>
      <c r="AK319" s="234"/>
      <c r="AL319" s="234"/>
      <c r="AM319" s="234"/>
      <c r="AN319" s="244"/>
      <c r="AO319" s="241"/>
      <c r="AP319" s="241"/>
      <c r="AQ319" s="241"/>
      <c r="AR319" s="233" t="e">
        <f>_xlfn.XLOOKUP($D319,'Modelling New'!$D:$D,'Modelling New'!$N:$N)</f>
        <v>#N/A</v>
      </c>
      <c r="AS319" s="233" t="str">
        <f t="shared" si="28"/>
        <v/>
      </c>
    </row>
    <row r="320" spans="1:45">
      <c r="A320" s="232">
        <f t="shared" si="29"/>
        <v>46157</v>
      </c>
      <c r="B320" s="233">
        <f>YEAR(Daily_KPI[[#This Row],[Date]])+IF(MONTH(Daily_KPI[[#This Row],[Date]])&gt;=4,1,0)</f>
        <v>2027</v>
      </c>
      <c r="C320" s="234">
        <f>YEAR(Daily_KPI[[#This Row],[Date]])</f>
        <v>2026</v>
      </c>
      <c r="D320" s="235">
        <f>Daily_KPI[[#This Row],[Date]]-DAY(Daily_KPI[[#This Row],[Date]])+1</f>
        <v>46143</v>
      </c>
      <c r="E320" s="234">
        <f t="shared" si="25"/>
        <v>31</v>
      </c>
      <c r="F320" s="236" t="str">
        <f>IFERROR(_xlfn.XLOOKUP($A320,Input_Raw!$A:$A,Input_Raw!$BM:$BM),"")</f>
        <v/>
      </c>
      <c r="G320" s="237" t="str">
        <f>IFERROR(_xlfn.XLOOKUP($A320,Input_Raw!$A:$A,Input_Raw!$AN:$AN),"")</f>
        <v/>
      </c>
      <c r="H320" s="237"/>
      <c r="I320" s="237" t="str">
        <f>IFERROR(_xlfn.XLOOKUP($A320,Input_Raw!$A:$A,Input_Raw!$AM:$AM),"")</f>
        <v/>
      </c>
      <c r="J320" s="237"/>
      <c r="K320" s="237" t="str">
        <f>IFERROR(_xlfn.XLOOKUP($A320,Input_Raw!$A:$A,Input_Raw!AO:AO),"")</f>
        <v/>
      </c>
      <c r="L320" s="237" t="str">
        <f>IFERROR(_xlfn.XLOOKUP($A320,Input_Raw!$A:$A,Input_Raw!AP:AP),"")</f>
        <v/>
      </c>
      <c r="M320" s="237" t="str">
        <f>IFERROR(_xlfn.XLOOKUP($A320,Input_Raw!$A:$A,Input_Raw!AS:AS),"")</f>
        <v/>
      </c>
      <c r="N320" s="237" t="str">
        <f>IFERROR(_xlfn.XLOOKUP($A320,Input_Raw!$A:$A,Input_Raw!AT:AT),"")</f>
        <v/>
      </c>
      <c r="O320" s="238" t="str">
        <f>IFERROR(1-(SUMIF(Plant_BD!$B:$B,$A320,Plant_BD!$AL:$AL)/($AA320+SUMIF(Plant_BD!$B:$B,$A320,Plant_BD!$AL:$AL))),"")</f>
        <v/>
      </c>
      <c r="P320" s="238"/>
      <c r="Q320" s="239"/>
      <c r="R320" s="238" t="str">
        <f>IFERROR(1-(SUMIF(Grid_BD!$B:$B,$A320,Grid_BD!$V:$V)/($AA320+SUMIF(Grid_BD!$B:$B,$A320,Grid_BD!$V:$V))),"")</f>
        <v/>
      </c>
      <c r="S320" s="234"/>
      <c r="T320" s="239"/>
      <c r="U320" s="240" t="str">
        <f t="shared" si="26"/>
        <v/>
      </c>
      <c r="V320" s="240" t="str">
        <f>IFERROR(_xlfn.XLOOKUP($A320,Input_Raw!$A:$A,Input_Raw!$BS:$BS),"")</f>
        <v/>
      </c>
      <c r="W320" s="241" t="str">
        <f t="shared" si="27"/>
        <v/>
      </c>
      <c r="X320" s="233" t="str">
        <f>IFERROR(_xlfn.XLOOKUP($A320,Input_Raw!$A:$A,Input_Raw!$AW:$AW),"")</f>
        <v/>
      </c>
      <c r="Y320" s="233" t="str">
        <f>IFERROR(_xlfn.XLOOKUP($A320,Input_Raw!$A:$A,Input_Raw!$BN:$BN),"")</f>
        <v/>
      </c>
      <c r="Z320" s="233"/>
      <c r="AA320" s="233" t="str">
        <f>IFERROR(_xlfn.XLOOKUP($A320,Input_Raw!$A:$A,Input_Raw!$BO:$BO),"")</f>
        <v/>
      </c>
      <c r="AB320" s="233" t="str">
        <f>IFERROR(_xlfn.XLOOKUP($A320,Input_Raw!$A:$A,Input_Raw!$BP:$BP),"")</f>
        <v/>
      </c>
      <c r="AC320" s="242" t="str">
        <f>IFERROR(_xlfn.XLOOKUP($D320,'Modelling New'!$D:$D,'Modelling New'!P:P),"")</f>
        <v/>
      </c>
      <c r="AD320" s="233" t="str">
        <f>IFERROR(_xlfn.XLOOKUP($D320,'Modelling New'!$D:$D,'Modelling New'!T:T)*1000,"")</f>
        <v/>
      </c>
      <c r="AE320" s="243" t="str">
        <f>IFERROR(_xlfn.XLOOKUP($D320,'Modelling New'!$D:$D,'Modelling New'!$O:$O),"")</f>
        <v/>
      </c>
      <c r="AF320" s="243" t="str">
        <f>IFERROR(_xlfn.XLOOKUP($D320,'Modelling New'!$D:$D,'Modelling New'!$W:$W),"")</f>
        <v/>
      </c>
      <c r="AG320" s="243" t="str">
        <f>IFERROR(_xlfn.XLOOKUP($D320,'Modelling New'!$D:$D,'Modelling New'!$AE:$AE),"")</f>
        <v/>
      </c>
      <c r="AH320" s="243" t="str">
        <f>IFERROR(_xlfn.XLOOKUP($D320,'Modelling New'!$D:$D,'Modelling New'!$AF:$AF),"")</f>
        <v/>
      </c>
      <c r="AI320" s="234"/>
      <c r="AJ320" s="234"/>
      <c r="AK320" s="234"/>
      <c r="AL320" s="234"/>
      <c r="AM320" s="234"/>
      <c r="AN320" s="244"/>
      <c r="AO320" s="241"/>
      <c r="AP320" s="241"/>
      <c r="AQ320" s="241"/>
      <c r="AR320" s="233" t="e">
        <f>_xlfn.XLOOKUP($D320,'Modelling New'!$D:$D,'Modelling New'!$N:$N)</f>
        <v>#N/A</v>
      </c>
      <c r="AS320" s="233" t="str">
        <f t="shared" si="28"/>
        <v/>
      </c>
    </row>
    <row r="321" spans="1:45">
      <c r="A321" s="232">
        <f t="shared" si="29"/>
        <v>46158</v>
      </c>
      <c r="B321" s="233">
        <f>YEAR(Daily_KPI[[#This Row],[Date]])+IF(MONTH(Daily_KPI[[#This Row],[Date]])&gt;=4,1,0)</f>
        <v>2027</v>
      </c>
      <c r="C321" s="234">
        <f>YEAR(Daily_KPI[[#This Row],[Date]])</f>
        <v>2026</v>
      </c>
      <c r="D321" s="235">
        <f>Daily_KPI[[#This Row],[Date]]-DAY(Daily_KPI[[#This Row],[Date]])+1</f>
        <v>46143</v>
      </c>
      <c r="E321" s="234">
        <f t="shared" si="25"/>
        <v>31</v>
      </c>
      <c r="F321" s="236" t="str">
        <f>IFERROR(_xlfn.XLOOKUP($A321,Input_Raw!$A:$A,Input_Raw!$BM:$BM),"")</f>
        <v/>
      </c>
      <c r="G321" s="237" t="str">
        <f>IFERROR(_xlfn.XLOOKUP($A321,Input_Raw!$A:$A,Input_Raw!$AN:$AN),"")</f>
        <v/>
      </c>
      <c r="H321" s="237"/>
      <c r="I321" s="237" t="str">
        <f>IFERROR(_xlfn.XLOOKUP($A321,Input_Raw!$A:$A,Input_Raw!$AM:$AM),"")</f>
        <v/>
      </c>
      <c r="J321" s="237"/>
      <c r="K321" s="237" t="str">
        <f>IFERROR(_xlfn.XLOOKUP($A321,Input_Raw!$A:$A,Input_Raw!AO:AO),"")</f>
        <v/>
      </c>
      <c r="L321" s="237" t="str">
        <f>IFERROR(_xlfn.XLOOKUP($A321,Input_Raw!$A:$A,Input_Raw!AP:AP),"")</f>
        <v/>
      </c>
      <c r="M321" s="237" t="str">
        <f>IFERROR(_xlfn.XLOOKUP($A321,Input_Raw!$A:$A,Input_Raw!AS:AS),"")</f>
        <v/>
      </c>
      <c r="N321" s="237" t="str">
        <f>IFERROR(_xlfn.XLOOKUP($A321,Input_Raw!$A:$A,Input_Raw!AT:AT),"")</f>
        <v/>
      </c>
      <c r="O321" s="238" t="str">
        <f>IFERROR(1-(SUMIF(Plant_BD!$B:$B,$A321,Plant_BD!$AL:$AL)/($AA321+SUMIF(Plant_BD!$B:$B,$A321,Plant_BD!$AL:$AL))),"")</f>
        <v/>
      </c>
      <c r="P321" s="238"/>
      <c r="Q321" s="239"/>
      <c r="R321" s="238" t="str">
        <f>IFERROR(1-(SUMIF(Grid_BD!$B:$B,$A321,Grid_BD!$V:$V)/($AA321+SUMIF(Grid_BD!$B:$B,$A321,Grid_BD!$V:$V))),"")</f>
        <v/>
      </c>
      <c r="S321" s="234"/>
      <c r="T321" s="239"/>
      <c r="U321" s="240" t="str">
        <f t="shared" si="26"/>
        <v/>
      </c>
      <c r="V321" s="240" t="str">
        <f>IFERROR(_xlfn.XLOOKUP($A321,Input_Raw!$A:$A,Input_Raw!$BS:$BS),"")</f>
        <v/>
      </c>
      <c r="W321" s="241" t="str">
        <f t="shared" si="27"/>
        <v/>
      </c>
      <c r="X321" s="233" t="str">
        <f>IFERROR(_xlfn.XLOOKUP($A321,Input_Raw!$A:$A,Input_Raw!$AW:$AW),"")</f>
        <v/>
      </c>
      <c r="Y321" s="233" t="str">
        <f>IFERROR(_xlfn.XLOOKUP($A321,Input_Raw!$A:$A,Input_Raw!$BN:$BN),"")</f>
        <v/>
      </c>
      <c r="Z321" s="233"/>
      <c r="AA321" s="233" t="str">
        <f>IFERROR(_xlfn.XLOOKUP($A321,Input_Raw!$A:$A,Input_Raw!$BO:$BO),"")</f>
        <v/>
      </c>
      <c r="AB321" s="233" t="str">
        <f>IFERROR(_xlfn.XLOOKUP($A321,Input_Raw!$A:$A,Input_Raw!$BP:$BP),"")</f>
        <v/>
      </c>
      <c r="AC321" s="242" t="str">
        <f>IFERROR(_xlfn.XLOOKUP($D321,'Modelling New'!$D:$D,'Modelling New'!P:P),"")</f>
        <v/>
      </c>
      <c r="AD321" s="233" t="str">
        <f>IFERROR(_xlfn.XLOOKUP($D321,'Modelling New'!$D:$D,'Modelling New'!T:T)*1000,"")</f>
        <v/>
      </c>
      <c r="AE321" s="243" t="str">
        <f>IFERROR(_xlfn.XLOOKUP($D321,'Modelling New'!$D:$D,'Modelling New'!$O:$O),"")</f>
        <v/>
      </c>
      <c r="AF321" s="243" t="str">
        <f>IFERROR(_xlfn.XLOOKUP($D321,'Modelling New'!$D:$D,'Modelling New'!$W:$W),"")</f>
        <v/>
      </c>
      <c r="AG321" s="243" t="str">
        <f>IFERROR(_xlfn.XLOOKUP($D321,'Modelling New'!$D:$D,'Modelling New'!$AE:$AE),"")</f>
        <v/>
      </c>
      <c r="AH321" s="243" t="str">
        <f>IFERROR(_xlfn.XLOOKUP($D321,'Modelling New'!$D:$D,'Modelling New'!$AF:$AF),"")</f>
        <v/>
      </c>
      <c r="AI321" s="234"/>
      <c r="AJ321" s="234"/>
      <c r="AK321" s="234"/>
      <c r="AL321" s="234"/>
      <c r="AM321" s="234"/>
      <c r="AN321" s="244"/>
      <c r="AO321" s="241"/>
      <c r="AP321" s="241"/>
      <c r="AQ321" s="241"/>
      <c r="AR321" s="233" t="e">
        <f>_xlfn.XLOOKUP($D321,'Modelling New'!$D:$D,'Modelling New'!$N:$N)</f>
        <v>#N/A</v>
      </c>
      <c r="AS321" s="233" t="str">
        <f t="shared" si="28"/>
        <v/>
      </c>
    </row>
    <row r="322" spans="1:45">
      <c r="A322" s="232">
        <f t="shared" si="29"/>
        <v>46159</v>
      </c>
      <c r="B322" s="233">
        <f>YEAR(Daily_KPI[[#This Row],[Date]])+IF(MONTH(Daily_KPI[[#This Row],[Date]])&gt;=4,1,0)</f>
        <v>2027</v>
      </c>
      <c r="C322" s="234">
        <f>YEAR(Daily_KPI[[#This Row],[Date]])</f>
        <v>2026</v>
      </c>
      <c r="D322" s="235">
        <f>Daily_KPI[[#This Row],[Date]]-DAY(Daily_KPI[[#This Row],[Date]])+1</f>
        <v>46143</v>
      </c>
      <c r="E322" s="234">
        <f t="shared" si="25"/>
        <v>31</v>
      </c>
      <c r="F322" s="236" t="str">
        <f>IFERROR(_xlfn.XLOOKUP($A322,Input_Raw!$A:$A,Input_Raw!$BM:$BM),"")</f>
        <v/>
      </c>
      <c r="G322" s="237" t="str">
        <f>IFERROR(_xlfn.XLOOKUP($A322,Input_Raw!$A:$A,Input_Raw!$AN:$AN),"")</f>
        <v/>
      </c>
      <c r="H322" s="237"/>
      <c r="I322" s="237" t="str">
        <f>IFERROR(_xlfn.XLOOKUP($A322,Input_Raw!$A:$A,Input_Raw!$AM:$AM),"")</f>
        <v/>
      </c>
      <c r="J322" s="237"/>
      <c r="K322" s="237" t="str">
        <f>IFERROR(_xlfn.XLOOKUP($A322,Input_Raw!$A:$A,Input_Raw!AO:AO),"")</f>
        <v/>
      </c>
      <c r="L322" s="237" t="str">
        <f>IFERROR(_xlfn.XLOOKUP($A322,Input_Raw!$A:$A,Input_Raw!AP:AP),"")</f>
        <v/>
      </c>
      <c r="M322" s="237" t="str">
        <f>IFERROR(_xlfn.XLOOKUP($A322,Input_Raw!$A:$A,Input_Raw!AS:AS),"")</f>
        <v/>
      </c>
      <c r="N322" s="237" t="str">
        <f>IFERROR(_xlfn.XLOOKUP($A322,Input_Raw!$A:$A,Input_Raw!AT:AT),"")</f>
        <v/>
      </c>
      <c r="O322" s="238" t="str">
        <f>IFERROR(1-(SUMIF(Plant_BD!$B:$B,$A322,Plant_BD!$AL:$AL)/($AA322+SUMIF(Plant_BD!$B:$B,$A322,Plant_BD!$AL:$AL))),"")</f>
        <v/>
      </c>
      <c r="P322" s="238"/>
      <c r="Q322" s="239"/>
      <c r="R322" s="238" t="str">
        <f>IFERROR(1-(SUMIF(Grid_BD!$B:$B,$A322,Grid_BD!$V:$V)/($AA322+SUMIF(Grid_BD!$B:$B,$A322,Grid_BD!$V:$V))),"")</f>
        <v/>
      </c>
      <c r="S322" s="234"/>
      <c r="T322" s="239"/>
      <c r="U322" s="240" t="str">
        <f t="shared" si="26"/>
        <v/>
      </c>
      <c r="V322" s="240" t="str">
        <f>IFERROR(_xlfn.XLOOKUP($A322,Input_Raw!$A:$A,Input_Raw!$BS:$BS),"")</f>
        <v/>
      </c>
      <c r="W322" s="241" t="str">
        <f t="shared" si="27"/>
        <v/>
      </c>
      <c r="X322" s="233" t="str">
        <f>IFERROR(_xlfn.XLOOKUP($A322,Input_Raw!$A:$A,Input_Raw!$AW:$AW),"")</f>
        <v/>
      </c>
      <c r="Y322" s="233" t="str">
        <f>IFERROR(_xlfn.XLOOKUP($A322,Input_Raw!$A:$A,Input_Raw!$BN:$BN),"")</f>
        <v/>
      </c>
      <c r="Z322" s="233"/>
      <c r="AA322" s="233" t="str">
        <f>IFERROR(_xlfn.XLOOKUP($A322,Input_Raw!$A:$A,Input_Raw!$BO:$BO),"")</f>
        <v/>
      </c>
      <c r="AB322" s="233" t="str">
        <f>IFERROR(_xlfn.XLOOKUP($A322,Input_Raw!$A:$A,Input_Raw!$BP:$BP),"")</f>
        <v/>
      </c>
      <c r="AC322" s="242" t="str">
        <f>IFERROR(_xlfn.XLOOKUP($D322,'Modelling New'!$D:$D,'Modelling New'!P:P),"")</f>
        <v/>
      </c>
      <c r="AD322" s="233" t="str">
        <f>IFERROR(_xlfn.XLOOKUP($D322,'Modelling New'!$D:$D,'Modelling New'!T:T)*1000,"")</f>
        <v/>
      </c>
      <c r="AE322" s="243" t="str">
        <f>IFERROR(_xlfn.XLOOKUP($D322,'Modelling New'!$D:$D,'Modelling New'!$O:$O),"")</f>
        <v/>
      </c>
      <c r="AF322" s="243" t="str">
        <f>IFERROR(_xlfn.XLOOKUP($D322,'Modelling New'!$D:$D,'Modelling New'!$W:$W),"")</f>
        <v/>
      </c>
      <c r="AG322" s="243" t="str">
        <f>IFERROR(_xlfn.XLOOKUP($D322,'Modelling New'!$D:$D,'Modelling New'!$AE:$AE),"")</f>
        <v/>
      </c>
      <c r="AH322" s="243" t="str">
        <f>IFERROR(_xlfn.XLOOKUP($D322,'Modelling New'!$D:$D,'Modelling New'!$AF:$AF),"")</f>
        <v/>
      </c>
      <c r="AI322" s="234"/>
      <c r="AJ322" s="234"/>
      <c r="AK322" s="234"/>
      <c r="AL322" s="234"/>
      <c r="AM322" s="234"/>
      <c r="AN322" s="244"/>
      <c r="AO322" s="241"/>
      <c r="AP322" s="241"/>
      <c r="AQ322" s="241"/>
      <c r="AR322" s="233" t="e">
        <f>_xlfn.XLOOKUP($D322,'Modelling New'!$D:$D,'Modelling New'!$N:$N)</f>
        <v>#N/A</v>
      </c>
      <c r="AS322" s="233" t="str">
        <f t="shared" si="28"/>
        <v/>
      </c>
    </row>
    <row r="323" spans="1:45">
      <c r="A323" s="232">
        <f t="shared" si="29"/>
        <v>46160</v>
      </c>
      <c r="B323" s="233">
        <f>YEAR(Daily_KPI[[#This Row],[Date]])+IF(MONTH(Daily_KPI[[#This Row],[Date]])&gt;=4,1,0)</f>
        <v>2027</v>
      </c>
      <c r="C323" s="234">
        <f>YEAR(Daily_KPI[[#This Row],[Date]])</f>
        <v>2026</v>
      </c>
      <c r="D323" s="235">
        <f>Daily_KPI[[#This Row],[Date]]-DAY(Daily_KPI[[#This Row],[Date]])+1</f>
        <v>46143</v>
      </c>
      <c r="E323" s="234">
        <f t="shared" si="25"/>
        <v>31</v>
      </c>
      <c r="F323" s="236" t="str">
        <f>IFERROR(_xlfn.XLOOKUP($A323,Input_Raw!$A:$A,Input_Raw!$BM:$BM),"")</f>
        <v/>
      </c>
      <c r="G323" s="237" t="str">
        <f>IFERROR(_xlfn.XLOOKUP($A323,Input_Raw!$A:$A,Input_Raw!$AN:$AN),"")</f>
        <v/>
      </c>
      <c r="H323" s="237"/>
      <c r="I323" s="237" t="str">
        <f>IFERROR(_xlfn.XLOOKUP($A323,Input_Raw!$A:$A,Input_Raw!$AM:$AM),"")</f>
        <v/>
      </c>
      <c r="J323" s="237"/>
      <c r="K323" s="237" t="str">
        <f>IFERROR(_xlfn.XLOOKUP($A323,Input_Raw!$A:$A,Input_Raw!AO:AO),"")</f>
        <v/>
      </c>
      <c r="L323" s="237" t="str">
        <f>IFERROR(_xlfn.XLOOKUP($A323,Input_Raw!$A:$A,Input_Raw!AP:AP),"")</f>
        <v/>
      </c>
      <c r="M323" s="237" t="str">
        <f>IFERROR(_xlfn.XLOOKUP($A323,Input_Raw!$A:$A,Input_Raw!AS:AS),"")</f>
        <v/>
      </c>
      <c r="N323" s="237" t="str">
        <f>IFERROR(_xlfn.XLOOKUP($A323,Input_Raw!$A:$A,Input_Raw!AT:AT),"")</f>
        <v/>
      </c>
      <c r="O323" s="238" t="str">
        <f>IFERROR(1-(SUMIF(Plant_BD!$B:$B,$A323,Plant_BD!$AL:$AL)/($AA323+SUMIF(Plant_BD!$B:$B,$A323,Plant_BD!$AL:$AL))),"")</f>
        <v/>
      </c>
      <c r="P323" s="238"/>
      <c r="Q323" s="239"/>
      <c r="R323" s="238" t="str">
        <f>IFERROR(1-(SUMIF(Grid_BD!$B:$B,$A323,Grid_BD!$V:$V)/($AA323+SUMIF(Grid_BD!$B:$B,$A323,Grid_BD!$V:$V))),"")</f>
        <v/>
      </c>
      <c r="S323" s="234"/>
      <c r="T323" s="239"/>
      <c r="U323" s="240" t="str">
        <f t="shared" si="26"/>
        <v/>
      </c>
      <c r="V323" s="240" t="str">
        <f>IFERROR(_xlfn.XLOOKUP($A323,Input_Raw!$A:$A,Input_Raw!$BS:$BS),"")</f>
        <v/>
      </c>
      <c r="W323" s="241" t="str">
        <f t="shared" si="27"/>
        <v/>
      </c>
      <c r="X323" s="233" t="str">
        <f>IFERROR(_xlfn.XLOOKUP($A323,Input_Raw!$A:$A,Input_Raw!$AW:$AW),"")</f>
        <v/>
      </c>
      <c r="Y323" s="233" t="str">
        <f>IFERROR(_xlfn.XLOOKUP($A323,Input_Raw!$A:$A,Input_Raw!$BN:$BN),"")</f>
        <v/>
      </c>
      <c r="Z323" s="233"/>
      <c r="AA323" s="233" t="str">
        <f>IFERROR(_xlfn.XLOOKUP($A323,Input_Raw!$A:$A,Input_Raw!$BO:$BO),"")</f>
        <v/>
      </c>
      <c r="AB323" s="233" t="str">
        <f>IFERROR(_xlfn.XLOOKUP($A323,Input_Raw!$A:$A,Input_Raw!$BP:$BP),"")</f>
        <v/>
      </c>
      <c r="AC323" s="242" t="str">
        <f>IFERROR(_xlfn.XLOOKUP($D323,'Modelling New'!$D:$D,'Modelling New'!P:P),"")</f>
        <v/>
      </c>
      <c r="AD323" s="233" t="str">
        <f>IFERROR(_xlfn.XLOOKUP($D323,'Modelling New'!$D:$D,'Modelling New'!T:T)*1000,"")</f>
        <v/>
      </c>
      <c r="AE323" s="243" t="str">
        <f>IFERROR(_xlfn.XLOOKUP($D323,'Modelling New'!$D:$D,'Modelling New'!$O:$O),"")</f>
        <v/>
      </c>
      <c r="AF323" s="243" t="str">
        <f>IFERROR(_xlfn.XLOOKUP($D323,'Modelling New'!$D:$D,'Modelling New'!$W:$W),"")</f>
        <v/>
      </c>
      <c r="AG323" s="243" t="str">
        <f>IFERROR(_xlfn.XLOOKUP($D323,'Modelling New'!$D:$D,'Modelling New'!$AE:$AE),"")</f>
        <v/>
      </c>
      <c r="AH323" s="243" t="str">
        <f>IFERROR(_xlfn.XLOOKUP($D323,'Modelling New'!$D:$D,'Modelling New'!$AF:$AF),"")</f>
        <v/>
      </c>
      <c r="AI323" s="234"/>
      <c r="AJ323" s="234"/>
      <c r="AK323" s="234"/>
      <c r="AL323" s="234"/>
      <c r="AM323" s="234"/>
      <c r="AN323" s="244"/>
      <c r="AO323" s="241"/>
      <c r="AP323" s="241"/>
      <c r="AQ323" s="241"/>
      <c r="AR323" s="233" t="e">
        <f>_xlfn.XLOOKUP($D323,'Modelling New'!$D:$D,'Modelling New'!$N:$N)</f>
        <v>#N/A</v>
      </c>
      <c r="AS323" s="233" t="str">
        <f t="shared" si="28"/>
        <v/>
      </c>
    </row>
    <row r="324" spans="1:45">
      <c r="A324" s="232">
        <f t="shared" si="29"/>
        <v>46161</v>
      </c>
      <c r="B324" s="233">
        <f>YEAR(Daily_KPI[[#This Row],[Date]])+IF(MONTH(Daily_KPI[[#This Row],[Date]])&gt;=4,1,0)</f>
        <v>2027</v>
      </c>
      <c r="C324" s="234">
        <f>YEAR(Daily_KPI[[#This Row],[Date]])</f>
        <v>2026</v>
      </c>
      <c r="D324" s="235">
        <f>Daily_KPI[[#This Row],[Date]]-DAY(Daily_KPI[[#This Row],[Date]])+1</f>
        <v>46143</v>
      </c>
      <c r="E324" s="234">
        <f t="shared" si="25"/>
        <v>31</v>
      </c>
      <c r="F324" s="236" t="str">
        <f>IFERROR(_xlfn.XLOOKUP($A324,Input_Raw!$A:$A,Input_Raw!$BM:$BM),"")</f>
        <v/>
      </c>
      <c r="G324" s="237" t="str">
        <f>IFERROR(_xlfn.XLOOKUP($A324,Input_Raw!$A:$A,Input_Raw!$AN:$AN),"")</f>
        <v/>
      </c>
      <c r="H324" s="237"/>
      <c r="I324" s="237" t="str">
        <f>IFERROR(_xlfn.XLOOKUP($A324,Input_Raw!$A:$A,Input_Raw!$AM:$AM),"")</f>
        <v/>
      </c>
      <c r="J324" s="237"/>
      <c r="K324" s="237" t="str">
        <f>IFERROR(_xlfn.XLOOKUP($A324,Input_Raw!$A:$A,Input_Raw!AO:AO),"")</f>
        <v/>
      </c>
      <c r="L324" s="237" t="str">
        <f>IFERROR(_xlfn.XLOOKUP($A324,Input_Raw!$A:$A,Input_Raw!AP:AP),"")</f>
        <v/>
      </c>
      <c r="M324" s="237" t="str">
        <f>IFERROR(_xlfn.XLOOKUP($A324,Input_Raw!$A:$A,Input_Raw!AS:AS),"")</f>
        <v/>
      </c>
      <c r="N324" s="237" t="str">
        <f>IFERROR(_xlfn.XLOOKUP($A324,Input_Raw!$A:$A,Input_Raw!AT:AT),"")</f>
        <v/>
      </c>
      <c r="O324" s="238" t="str">
        <f>IFERROR(1-(SUMIF(Plant_BD!$B:$B,$A324,Plant_BD!$AL:$AL)/($AA324+SUMIF(Plant_BD!$B:$B,$A324,Plant_BD!$AL:$AL))),"")</f>
        <v/>
      </c>
      <c r="P324" s="238"/>
      <c r="Q324" s="239"/>
      <c r="R324" s="238" t="str">
        <f>IFERROR(1-(SUMIF(Grid_BD!$B:$B,$A324,Grid_BD!$V:$V)/($AA324+SUMIF(Grid_BD!$B:$B,$A324,Grid_BD!$V:$V))),"")</f>
        <v/>
      </c>
      <c r="S324" s="234"/>
      <c r="T324" s="239"/>
      <c r="U324" s="240" t="str">
        <f t="shared" si="26"/>
        <v/>
      </c>
      <c r="V324" s="240" t="str">
        <f>IFERROR(_xlfn.XLOOKUP($A324,Input_Raw!$A:$A,Input_Raw!$BS:$BS),"")</f>
        <v/>
      </c>
      <c r="W324" s="241" t="str">
        <f t="shared" si="27"/>
        <v/>
      </c>
      <c r="X324" s="233" t="str">
        <f>IFERROR(_xlfn.XLOOKUP($A324,Input_Raw!$A:$A,Input_Raw!$AW:$AW),"")</f>
        <v/>
      </c>
      <c r="Y324" s="233" t="str">
        <f>IFERROR(_xlfn.XLOOKUP($A324,Input_Raw!$A:$A,Input_Raw!$BN:$BN),"")</f>
        <v/>
      </c>
      <c r="Z324" s="233"/>
      <c r="AA324" s="233" t="str">
        <f>IFERROR(_xlfn.XLOOKUP($A324,Input_Raw!$A:$A,Input_Raw!$BO:$BO),"")</f>
        <v/>
      </c>
      <c r="AB324" s="233" t="str">
        <f>IFERROR(_xlfn.XLOOKUP($A324,Input_Raw!$A:$A,Input_Raw!$BP:$BP),"")</f>
        <v/>
      </c>
      <c r="AC324" s="242" t="str">
        <f>IFERROR(_xlfn.XLOOKUP($D324,'Modelling New'!$D:$D,'Modelling New'!P:P),"")</f>
        <v/>
      </c>
      <c r="AD324" s="233" t="str">
        <f>IFERROR(_xlfn.XLOOKUP($D324,'Modelling New'!$D:$D,'Modelling New'!T:T)*1000,"")</f>
        <v/>
      </c>
      <c r="AE324" s="243" t="str">
        <f>IFERROR(_xlfn.XLOOKUP($D324,'Modelling New'!$D:$D,'Modelling New'!$O:$O),"")</f>
        <v/>
      </c>
      <c r="AF324" s="243" t="str">
        <f>IFERROR(_xlfn.XLOOKUP($D324,'Modelling New'!$D:$D,'Modelling New'!$W:$W),"")</f>
        <v/>
      </c>
      <c r="AG324" s="243" t="str">
        <f>IFERROR(_xlfn.XLOOKUP($D324,'Modelling New'!$D:$D,'Modelling New'!$AE:$AE),"")</f>
        <v/>
      </c>
      <c r="AH324" s="243" t="str">
        <f>IFERROR(_xlfn.XLOOKUP($D324,'Modelling New'!$D:$D,'Modelling New'!$AF:$AF),"")</f>
        <v/>
      </c>
      <c r="AI324" s="234"/>
      <c r="AJ324" s="234"/>
      <c r="AK324" s="234"/>
      <c r="AL324" s="234"/>
      <c r="AM324" s="234"/>
      <c r="AN324" s="244"/>
      <c r="AO324" s="241"/>
      <c r="AP324" s="241"/>
      <c r="AQ324" s="241"/>
      <c r="AR324" s="233" t="e">
        <f>_xlfn.XLOOKUP($D324,'Modelling New'!$D:$D,'Modelling New'!$N:$N)</f>
        <v>#N/A</v>
      </c>
      <c r="AS324" s="233" t="str">
        <f t="shared" si="28"/>
        <v/>
      </c>
    </row>
    <row r="325" spans="1:45">
      <c r="A325" s="232">
        <f t="shared" si="29"/>
        <v>46162</v>
      </c>
      <c r="B325" s="233">
        <f>YEAR(Daily_KPI[[#This Row],[Date]])+IF(MONTH(Daily_KPI[[#This Row],[Date]])&gt;=4,1,0)</f>
        <v>2027</v>
      </c>
      <c r="C325" s="234">
        <f>YEAR(Daily_KPI[[#This Row],[Date]])</f>
        <v>2026</v>
      </c>
      <c r="D325" s="235">
        <f>Daily_KPI[[#This Row],[Date]]-DAY(Daily_KPI[[#This Row],[Date]])+1</f>
        <v>46143</v>
      </c>
      <c r="E325" s="234">
        <f t="shared" si="25"/>
        <v>31</v>
      </c>
      <c r="F325" s="236" t="str">
        <f>IFERROR(_xlfn.XLOOKUP($A325,Input_Raw!$A:$A,Input_Raw!$BM:$BM),"")</f>
        <v/>
      </c>
      <c r="G325" s="237" t="str">
        <f>IFERROR(_xlfn.XLOOKUP($A325,Input_Raw!$A:$A,Input_Raw!$AN:$AN),"")</f>
        <v/>
      </c>
      <c r="H325" s="237"/>
      <c r="I325" s="237" t="str">
        <f>IFERROR(_xlfn.XLOOKUP($A325,Input_Raw!$A:$A,Input_Raw!$AM:$AM),"")</f>
        <v/>
      </c>
      <c r="J325" s="237"/>
      <c r="K325" s="237" t="str">
        <f>IFERROR(_xlfn.XLOOKUP($A325,Input_Raw!$A:$A,Input_Raw!AO:AO),"")</f>
        <v/>
      </c>
      <c r="L325" s="237" t="str">
        <f>IFERROR(_xlfn.XLOOKUP($A325,Input_Raw!$A:$A,Input_Raw!AP:AP),"")</f>
        <v/>
      </c>
      <c r="M325" s="237" t="str">
        <f>IFERROR(_xlfn.XLOOKUP($A325,Input_Raw!$A:$A,Input_Raw!AS:AS),"")</f>
        <v/>
      </c>
      <c r="N325" s="237" t="str">
        <f>IFERROR(_xlfn.XLOOKUP($A325,Input_Raw!$A:$A,Input_Raw!AT:AT),"")</f>
        <v/>
      </c>
      <c r="O325" s="238" t="str">
        <f>IFERROR(1-(SUMIF(Plant_BD!$B:$B,$A325,Plant_BD!$AL:$AL)/($AA325+SUMIF(Plant_BD!$B:$B,$A325,Plant_BD!$AL:$AL))),"")</f>
        <v/>
      </c>
      <c r="P325" s="238"/>
      <c r="Q325" s="239"/>
      <c r="R325" s="238" t="str">
        <f>IFERROR(1-(SUMIF(Grid_BD!$B:$B,$A325,Grid_BD!$V:$V)/($AA325+SUMIF(Grid_BD!$B:$B,$A325,Grid_BD!$V:$V))),"")</f>
        <v/>
      </c>
      <c r="S325" s="234"/>
      <c r="T325" s="239"/>
      <c r="U325" s="240" t="str">
        <f t="shared" si="26"/>
        <v/>
      </c>
      <c r="V325" s="240" t="str">
        <f>IFERROR(_xlfn.XLOOKUP($A325,Input_Raw!$A:$A,Input_Raw!$BS:$BS),"")</f>
        <v/>
      </c>
      <c r="W325" s="241" t="str">
        <f t="shared" si="27"/>
        <v/>
      </c>
      <c r="X325" s="233" t="str">
        <f>IFERROR(_xlfn.XLOOKUP($A325,Input_Raw!$A:$A,Input_Raw!$AW:$AW),"")</f>
        <v/>
      </c>
      <c r="Y325" s="233" t="str">
        <f>IFERROR(_xlfn.XLOOKUP($A325,Input_Raw!$A:$A,Input_Raw!$BN:$BN),"")</f>
        <v/>
      </c>
      <c r="Z325" s="233"/>
      <c r="AA325" s="233" t="str">
        <f>IFERROR(_xlfn.XLOOKUP($A325,Input_Raw!$A:$A,Input_Raw!$BO:$BO),"")</f>
        <v/>
      </c>
      <c r="AB325" s="233" t="str">
        <f>IFERROR(_xlfn.XLOOKUP($A325,Input_Raw!$A:$A,Input_Raw!$BP:$BP),"")</f>
        <v/>
      </c>
      <c r="AC325" s="242" t="str">
        <f>IFERROR(_xlfn.XLOOKUP($D325,'Modelling New'!$D:$D,'Modelling New'!P:P),"")</f>
        <v/>
      </c>
      <c r="AD325" s="233" t="str">
        <f>IFERROR(_xlfn.XLOOKUP($D325,'Modelling New'!$D:$D,'Modelling New'!T:T)*1000,"")</f>
        <v/>
      </c>
      <c r="AE325" s="243" t="str">
        <f>IFERROR(_xlfn.XLOOKUP($D325,'Modelling New'!$D:$D,'Modelling New'!$O:$O),"")</f>
        <v/>
      </c>
      <c r="AF325" s="243" t="str">
        <f>IFERROR(_xlfn.XLOOKUP($D325,'Modelling New'!$D:$D,'Modelling New'!$W:$W),"")</f>
        <v/>
      </c>
      <c r="AG325" s="243" t="str">
        <f>IFERROR(_xlfn.XLOOKUP($D325,'Modelling New'!$D:$D,'Modelling New'!$AE:$AE),"")</f>
        <v/>
      </c>
      <c r="AH325" s="243" t="str">
        <f>IFERROR(_xlfn.XLOOKUP($D325,'Modelling New'!$D:$D,'Modelling New'!$AF:$AF),"")</f>
        <v/>
      </c>
      <c r="AI325" s="234"/>
      <c r="AJ325" s="234"/>
      <c r="AK325" s="234"/>
      <c r="AL325" s="234"/>
      <c r="AM325" s="234"/>
      <c r="AN325" s="244"/>
      <c r="AO325" s="241"/>
      <c r="AP325" s="241"/>
      <c r="AQ325" s="241"/>
      <c r="AR325" s="233" t="e">
        <f>_xlfn.XLOOKUP($D325,'Modelling New'!$D:$D,'Modelling New'!$N:$N)</f>
        <v>#N/A</v>
      </c>
      <c r="AS325" s="233" t="str">
        <f t="shared" si="28"/>
        <v/>
      </c>
    </row>
    <row r="326" spans="1:45">
      <c r="A326" s="232">
        <f t="shared" si="29"/>
        <v>46163</v>
      </c>
      <c r="B326" s="233">
        <f>YEAR(Daily_KPI[[#This Row],[Date]])+IF(MONTH(Daily_KPI[[#This Row],[Date]])&gt;=4,1,0)</f>
        <v>2027</v>
      </c>
      <c r="C326" s="234">
        <f>YEAR(Daily_KPI[[#This Row],[Date]])</f>
        <v>2026</v>
      </c>
      <c r="D326" s="235">
        <f>Daily_KPI[[#This Row],[Date]]-DAY(Daily_KPI[[#This Row],[Date]])+1</f>
        <v>46143</v>
      </c>
      <c r="E326" s="234">
        <f t="shared" si="25"/>
        <v>31</v>
      </c>
      <c r="F326" s="236" t="str">
        <f>IFERROR(_xlfn.XLOOKUP($A326,Input_Raw!$A:$A,Input_Raw!$BM:$BM),"")</f>
        <v/>
      </c>
      <c r="G326" s="237" t="str">
        <f>IFERROR(_xlfn.XLOOKUP($A326,Input_Raw!$A:$A,Input_Raw!$AN:$AN),"")</f>
        <v/>
      </c>
      <c r="H326" s="237"/>
      <c r="I326" s="237" t="str">
        <f>IFERROR(_xlfn.XLOOKUP($A326,Input_Raw!$A:$A,Input_Raw!$AM:$AM),"")</f>
        <v/>
      </c>
      <c r="J326" s="237"/>
      <c r="K326" s="237" t="str">
        <f>IFERROR(_xlfn.XLOOKUP($A326,Input_Raw!$A:$A,Input_Raw!AO:AO),"")</f>
        <v/>
      </c>
      <c r="L326" s="237" t="str">
        <f>IFERROR(_xlfn.XLOOKUP($A326,Input_Raw!$A:$A,Input_Raw!AP:AP),"")</f>
        <v/>
      </c>
      <c r="M326" s="237" t="str">
        <f>IFERROR(_xlfn.XLOOKUP($A326,Input_Raw!$A:$A,Input_Raw!AS:AS),"")</f>
        <v/>
      </c>
      <c r="N326" s="237" t="str">
        <f>IFERROR(_xlfn.XLOOKUP($A326,Input_Raw!$A:$A,Input_Raw!AT:AT),"")</f>
        <v/>
      </c>
      <c r="O326" s="238" t="str">
        <f>IFERROR(1-(SUMIF(Plant_BD!$B:$B,$A326,Plant_BD!$AL:$AL)/($AA326+SUMIF(Plant_BD!$B:$B,$A326,Plant_BD!$AL:$AL))),"")</f>
        <v/>
      </c>
      <c r="P326" s="238"/>
      <c r="Q326" s="239"/>
      <c r="R326" s="238" t="str">
        <f>IFERROR(1-(SUMIF(Grid_BD!$B:$B,$A326,Grid_BD!$V:$V)/($AA326+SUMIF(Grid_BD!$B:$B,$A326,Grid_BD!$V:$V))),"")</f>
        <v/>
      </c>
      <c r="S326" s="234"/>
      <c r="T326" s="239"/>
      <c r="U326" s="240" t="str">
        <f t="shared" si="26"/>
        <v/>
      </c>
      <c r="V326" s="240" t="str">
        <f>IFERROR(_xlfn.XLOOKUP($A326,Input_Raw!$A:$A,Input_Raw!$BS:$BS),"")</f>
        <v/>
      </c>
      <c r="W326" s="241" t="str">
        <f t="shared" si="27"/>
        <v/>
      </c>
      <c r="X326" s="233" t="str">
        <f>IFERROR(_xlfn.XLOOKUP($A326,Input_Raw!$A:$A,Input_Raw!$AW:$AW),"")</f>
        <v/>
      </c>
      <c r="Y326" s="233" t="str">
        <f>IFERROR(_xlfn.XLOOKUP($A326,Input_Raw!$A:$A,Input_Raw!$BN:$BN),"")</f>
        <v/>
      </c>
      <c r="Z326" s="233"/>
      <c r="AA326" s="233" t="str">
        <f>IFERROR(_xlfn.XLOOKUP($A326,Input_Raw!$A:$A,Input_Raw!$BO:$BO),"")</f>
        <v/>
      </c>
      <c r="AB326" s="233" t="str">
        <f>IFERROR(_xlfn.XLOOKUP($A326,Input_Raw!$A:$A,Input_Raw!$BP:$BP),"")</f>
        <v/>
      </c>
      <c r="AC326" s="242" t="str">
        <f>IFERROR(_xlfn.XLOOKUP($D326,'Modelling New'!$D:$D,'Modelling New'!P:P),"")</f>
        <v/>
      </c>
      <c r="AD326" s="233" t="str">
        <f>IFERROR(_xlfn.XLOOKUP($D326,'Modelling New'!$D:$D,'Modelling New'!T:T)*1000,"")</f>
        <v/>
      </c>
      <c r="AE326" s="243" t="str">
        <f>IFERROR(_xlfn.XLOOKUP($D326,'Modelling New'!$D:$D,'Modelling New'!$O:$O),"")</f>
        <v/>
      </c>
      <c r="AF326" s="243" t="str">
        <f>IFERROR(_xlfn.XLOOKUP($D326,'Modelling New'!$D:$D,'Modelling New'!$W:$W),"")</f>
        <v/>
      </c>
      <c r="AG326" s="243" t="str">
        <f>IFERROR(_xlfn.XLOOKUP($D326,'Modelling New'!$D:$D,'Modelling New'!$AE:$AE),"")</f>
        <v/>
      </c>
      <c r="AH326" s="243" t="str">
        <f>IFERROR(_xlfn.XLOOKUP($D326,'Modelling New'!$D:$D,'Modelling New'!$AF:$AF),"")</f>
        <v/>
      </c>
      <c r="AI326" s="234"/>
      <c r="AJ326" s="234"/>
      <c r="AK326" s="234"/>
      <c r="AL326" s="234"/>
      <c r="AM326" s="234"/>
      <c r="AN326" s="244"/>
      <c r="AO326" s="241"/>
      <c r="AP326" s="241"/>
      <c r="AQ326" s="241"/>
      <c r="AR326" s="233" t="e">
        <f>_xlfn.XLOOKUP($D326,'Modelling New'!$D:$D,'Modelling New'!$N:$N)</f>
        <v>#N/A</v>
      </c>
      <c r="AS326" s="233" t="str">
        <f t="shared" si="28"/>
        <v/>
      </c>
    </row>
    <row r="327" spans="1:45">
      <c r="A327" s="232">
        <f t="shared" si="29"/>
        <v>46164</v>
      </c>
      <c r="B327" s="233">
        <f>YEAR(Daily_KPI[[#This Row],[Date]])+IF(MONTH(Daily_KPI[[#This Row],[Date]])&gt;=4,1,0)</f>
        <v>2027</v>
      </c>
      <c r="C327" s="234">
        <f>YEAR(Daily_KPI[[#This Row],[Date]])</f>
        <v>2026</v>
      </c>
      <c r="D327" s="235">
        <f>Daily_KPI[[#This Row],[Date]]-DAY(Daily_KPI[[#This Row],[Date]])+1</f>
        <v>46143</v>
      </c>
      <c r="E327" s="234">
        <f t="shared" si="25"/>
        <v>31</v>
      </c>
      <c r="F327" s="236" t="str">
        <f>IFERROR(_xlfn.XLOOKUP($A327,Input_Raw!$A:$A,Input_Raw!$BM:$BM),"")</f>
        <v/>
      </c>
      <c r="G327" s="237" t="str">
        <f>IFERROR(_xlfn.XLOOKUP($A327,Input_Raw!$A:$A,Input_Raw!$AN:$AN),"")</f>
        <v/>
      </c>
      <c r="H327" s="237"/>
      <c r="I327" s="237" t="str">
        <f>IFERROR(_xlfn.XLOOKUP($A327,Input_Raw!$A:$A,Input_Raw!$AM:$AM),"")</f>
        <v/>
      </c>
      <c r="J327" s="237"/>
      <c r="K327" s="237" t="str">
        <f>IFERROR(_xlfn.XLOOKUP($A327,Input_Raw!$A:$A,Input_Raw!AO:AO),"")</f>
        <v/>
      </c>
      <c r="L327" s="237" t="str">
        <f>IFERROR(_xlfn.XLOOKUP($A327,Input_Raw!$A:$A,Input_Raw!AP:AP),"")</f>
        <v/>
      </c>
      <c r="M327" s="237" t="str">
        <f>IFERROR(_xlfn.XLOOKUP($A327,Input_Raw!$A:$A,Input_Raw!AS:AS),"")</f>
        <v/>
      </c>
      <c r="N327" s="237" t="str">
        <f>IFERROR(_xlfn.XLOOKUP($A327,Input_Raw!$A:$A,Input_Raw!AT:AT),"")</f>
        <v/>
      </c>
      <c r="O327" s="238" t="str">
        <f>IFERROR(1-(SUMIF(Plant_BD!$B:$B,$A327,Plant_BD!$AL:$AL)/($AA327+SUMIF(Plant_BD!$B:$B,$A327,Plant_BD!$AL:$AL))),"")</f>
        <v/>
      </c>
      <c r="P327" s="238"/>
      <c r="Q327" s="239"/>
      <c r="R327" s="238" t="str">
        <f>IFERROR(1-(SUMIF(Grid_BD!$B:$B,$A327,Grid_BD!$V:$V)/($AA327+SUMIF(Grid_BD!$B:$B,$A327,Grid_BD!$V:$V))),"")</f>
        <v/>
      </c>
      <c r="S327" s="234"/>
      <c r="T327" s="239"/>
      <c r="U327" s="240" t="str">
        <f t="shared" si="26"/>
        <v/>
      </c>
      <c r="V327" s="240" t="str">
        <f>IFERROR(_xlfn.XLOOKUP($A327,Input_Raw!$A:$A,Input_Raw!$BS:$BS),"")</f>
        <v/>
      </c>
      <c r="W327" s="241" t="str">
        <f t="shared" si="27"/>
        <v/>
      </c>
      <c r="X327" s="233" t="str">
        <f>IFERROR(_xlfn.XLOOKUP($A327,Input_Raw!$A:$A,Input_Raw!$AW:$AW),"")</f>
        <v/>
      </c>
      <c r="Y327" s="233" t="str">
        <f>IFERROR(_xlfn.XLOOKUP($A327,Input_Raw!$A:$A,Input_Raw!$BN:$BN),"")</f>
        <v/>
      </c>
      <c r="Z327" s="233"/>
      <c r="AA327" s="233" t="str">
        <f>IFERROR(_xlfn.XLOOKUP($A327,Input_Raw!$A:$A,Input_Raw!$BO:$BO),"")</f>
        <v/>
      </c>
      <c r="AB327" s="233" t="str">
        <f>IFERROR(_xlfn.XLOOKUP($A327,Input_Raw!$A:$A,Input_Raw!$BP:$BP),"")</f>
        <v/>
      </c>
      <c r="AC327" s="242" t="str">
        <f>IFERROR(_xlfn.XLOOKUP($D327,'Modelling New'!$D:$D,'Modelling New'!P:P),"")</f>
        <v/>
      </c>
      <c r="AD327" s="233" t="str">
        <f>IFERROR(_xlfn.XLOOKUP($D327,'Modelling New'!$D:$D,'Modelling New'!T:T)*1000,"")</f>
        <v/>
      </c>
      <c r="AE327" s="243" t="str">
        <f>IFERROR(_xlfn.XLOOKUP($D327,'Modelling New'!$D:$D,'Modelling New'!$O:$O),"")</f>
        <v/>
      </c>
      <c r="AF327" s="243" t="str">
        <f>IFERROR(_xlfn.XLOOKUP($D327,'Modelling New'!$D:$D,'Modelling New'!$W:$W),"")</f>
        <v/>
      </c>
      <c r="AG327" s="243" t="str">
        <f>IFERROR(_xlfn.XLOOKUP($D327,'Modelling New'!$D:$D,'Modelling New'!$AE:$AE),"")</f>
        <v/>
      </c>
      <c r="AH327" s="243" t="str">
        <f>IFERROR(_xlfn.XLOOKUP($D327,'Modelling New'!$D:$D,'Modelling New'!$AF:$AF),"")</f>
        <v/>
      </c>
      <c r="AI327" s="234"/>
      <c r="AJ327" s="234"/>
      <c r="AK327" s="234"/>
      <c r="AL327" s="234"/>
      <c r="AM327" s="234"/>
      <c r="AN327" s="244"/>
      <c r="AO327" s="241"/>
      <c r="AP327" s="241"/>
      <c r="AQ327" s="241"/>
      <c r="AR327" s="233" t="e">
        <f>_xlfn.XLOOKUP($D327,'Modelling New'!$D:$D,'Modelling New'!$N:$N)</f>
        <v>#N/A</v>
      </c>
      <c r="AS327" s="233" t="str">
        <f t="shared" si="28"/>
        <v/>
      </c>
    </row>
    <row r="328" spans="1:45">
      <c r="A328" s="232">
        <f t="shared" si="29"/>
        <v>46165</v>
      </c>
      <c r="B328" s="233">
        <f>YEAR(Daily_KPI[[#This Row],[Date]])+IF(MONTH(Daily_KPI[[#This Row],[Date]])&gt;=4,1,0)</f>
        <v>2027</v>
      </c>
      <c r="C328" s="234">
        <f>YEAR(Daily_KPI[[#This Row],[Date]])</f>
        <v>2026</v>
      </c>
      <c r="D328" s="235">
        <f>Daily_KPI[[#This Row],[Date]]-DAY(Daily_KPI[[#This Row],[Date]])+1</f>
        <v>46143</v>
      </c>
      <c r="E328" s="234">
        <f t="shared" si="25"/>
        <v>31</v>
      </c>
      <c r="F328" s="236" t="str">
        <f>IFERROR(_xlfn.XLOOKUP($A328,Input_Raw!$A:$A,Input_Raw!$BM:$BM),"")</f>
        <v/>
      </c>
      <c r="G328" s="237" t="str">
        <f>IFERROR(_xlfn.XLOOKUP($A328,Input_Raw!$A:$A,Input_Raw!$AN:$AN),"")</f>
        <v/>
      </c>
      <c r="H328" s="237"/>
      <c r="I328" s="237" t="str">
        <f>IFERROR(_xlfn.XLOOKUP($A328,Input_Raw!$A:$A,Input_Raw!$AM:$AM),"")</f>
        <v/>
      </c>
      <c r="J328" s="237"/>
      <c r="K328" s="237" t="str">
        <f>IFERROR(_xlfn.XLOOKUP($A328,Input_Raw!$A:$A,Input_Raw!AO:AO),"")</f>
        <v/>
      </c>
      <c r="L328" s="237" t="str">
        <f>IFERROR(_xlfn.XLOOKUP($A328,Input_Raw!$A:$A,Input_Raw!AP:AP),"")</f>
        <v/>
      </c>
      <c r="M328" s="237" t="str">
        <f>IFERROR(_xlfn.XLOOKUP($A328,Input_Raw!$A:$A,Input_Raw!AS:AS),"")</f>
        <v/>
      </c>
      <c r="N328" s="237" t="str">
        <f>IFERROR(_xlfn.XLOOKUP($A328,Input_Raw!$A:$A,Input_Raw!AT:AT),"")</f>
        <v/>
      </c>
      <c r="O328" s="238" t="str">
        <f>IFERROR(1-(SUMIF(Plant_BD!$B:$B,$A328,Plant_BD!$AL:$AL)/($AA328+SUMIF(Plant_BD!$B:$B,$A328,Plant_BD!$AL:$AL))),"")</f>
        <v/>
      </c>
      <c r="P328" s="238"/>
      <c r="Q328" s="239"/>
      <c r="R328" s="238" t="str">
        <f>IFERROR(1-(SUMIF(Grid_BD!$B:$B,$A328,Grid_BD!$V:$V)/($AA328+SUMIF(Grid_BD!$B:$B,$A328,Grid_BD!$V:$V))),"")</f>
        <v/>
      </c>
      <c r="S328" s="234"/>
      <c r="T328" s="239"/>
      <c r="U328" s="240" t="str">
        <f t="shared" si="26"/>
        <v/>
      </c>
      <c r="V328" s="240" t="str">
        <f>IFERROR(_xlfn.XLOOKUP($A328,Input_Raw!$A:$A,Input_Raw!$BS:$BS),"")</f>
        <v/>
      </c>
      <c r="W328" s="241" t="str">
        <f t="shared" si="27"/>
        <v/>
      </c>
      <c r="X328" s="233" t="str">
        <f>IFERROR(_xlfn.XLOOKUP($A328,Input_Raw!$A:$A,Input_Raw!$AW:$AW),"")</f>
        <v/>
      </c>
      <c r="Y328" s="233" t="str">
        <f>IFERROR(_xlfn.XLOOKUP($A328,Input_Raw!$A:$A,Input_Raw!$BN:$BN),"")</f>
        <v/>
      </c>
      <c r="Z328" s="233"/>
      <c r="AA328" s="233" t="str">
        <f>IFERROR(_xlfn.XLOOKUP($A328,Input_Raw!$A:$A,Input_Raw!$BO:$BO),"")</f>
        <v/>
      </c>
      <c r="AB328" s="233" t="str">
        <f>IFERROR(_xlfn.XLOOKUP($A328,Input_Raw!$A:$A,Input_Raw!$BP:$BP),"")</f>
        <v/>
      </c>
      <c r="AC328" s="242" t="str">
        <f>IFERROR(_xlfn.XLOOKUP($D328,'Modelling New'!$D:$D,'Modelling New'!P:P),"")</f>
        <v/>
      </c>
      <c r="AD328" s="233" t="str">
        <f>IFERROR(_xlfn.XLOOKUP($D328,'Modelling New'!$D:$D,'Modelling New'!T:T)*1000,"")</f>
        <v/>
      </c>
      <c r="AE328" s="243" t="str">
        <f>IFERROR(_xlfn.XLOOKUP($D328,'Modelling New'!$D:$D,'Modelling New'!$O:$O),"")</f>
        <v/>
      </c>
      <c r="AF328" s="243" t="str">
        <f>IFERROR(_xlfn.XLOOKUP($D328,'Modelling New'!$D:$D,'Modelling New'!$W:$W),"")</f>
        <v/>
      </c>
      <c r="AG328" s="243" t="str">
        <f>IFERROR(_xlfn.XLOOKUP($D328,'Modelling New'!$D:$D,'Modelling New'!$AE:$AE),"")</f>
        <v/>
      </c>
      <c r="AH328" s="243" t="str">
        <f>IFERROR(_xlfn.XLOOKUP($D328,'Modelling New'!$D:$D,'Modelling New'!$AF:$AF),"")</f>
        <v/>
      </c>
      <c r="AI328" s="234"/>
      <c r="AJ328" s="234"/>
      <c r="AK328" s="234"/>
      <c r="AL328" s="234"/>
      <c r="AM328" s="234"/>
      <c r="AN328" s="244"/>
      <c r="AO328" s="241"/>
      <c r="AP328" s="241"/>
      <c r="AQ328" s="241"/>
      <c r="AR328" s="233" t="e">
        <f>_xlfn.XLOOKUP($D328,'Modelling New'!$D:$D,'Modelling New'!$N:$N)</f>
        <v>#N/A</v>
      </c>
      <c r="AS328" s="233" t="str">
        <f t="shared" si="28"/>
        <v/>
      </c>
    </row>
    <row r="329" spans="1:45">
      <c r="A329" s="232">
        <f t="shared" si="29"/>
        <v>46166</v>
      </c>
      <c r="B329" s="233">
        <f>YEAR(Daily_KPI[[#This Row],[Date]])+IF(MONTH(Daily_KPI[[#This Row],[Date]])&gt;=4,1,0)</f>
        <v>2027</v>
      </c>
      <c r="C329" s="234">
        <f>YEAR(Daily_KPI[[#This Row],[Date]])</f>
        <v>2026</v>
      </c>
      <c r="D329" s="235">
        <f>Daily_KPI[[#This Row],[Date]]-DAY(Daily_KPI[[#This Row],[Date]])+1</f>
        <v>46143</v>
      </c>
      <c r="E329" s="234">
        <f t="shared" si="25"/>
        <v>31</v>
      </c>
      <c r="F329" s="236" t="str">
        <f>IFERROR(_xlfn.XLOOKUP($A329,Input_Raw!$A:$A,Input_Raw!$BM:$BM),"")</f>
        <v/>
      </c>
      <c r="G329" s="237" t="str">
        <f>IFERROR(_xlfn.XLOOKUP($A329,Input_Raw!$A:$A,Input_Raw!$AN:$AN),"")</f>
        <v/>
      </c>
      <c r="H329" s="237"/>
      <c r="I329" s="237" t="str">
        <f>IFERROR(_xlfn.XLOOKUP($A329,Input_Raw!$A:$A,Input_Raw!$AM:$AM),"")</f>
        <v/>
      </c>
      <c r="J329" s="237"/>
      <c r="K329" s="237" t="str">
        <f>IFERROR(_xlfn.XLOOKUP($A329,Input_Raw!$A:$A,Input_Raw!AO:AO),"")</f>
        <v/>
      </c>
      <c r="L329" s="237" t="str">
        <f>IFERROR(_xlfn.XLOOKUP($A329,Input_Raw!$A:$A,Input_Raw!AP:AP),"")</f>
        <v/>
      </c>
      <c r="M329" s="237" t="str">
        <f>IFERROR(_xlfn.XLOOKUP($A329,Input_Raw!$A:$A,Input_Raw!AS:AS),"")</f>
        <v/>
      </c>
      <c r="N329" s="237" t="str">
        <f>IFERROR(_xlfn.XLOOKUP($A329,Input_Raw!$A:$A,Input_Raw!AT:AT),"")</f>
        <v/>
      </c>
      <c r="O329" s="238" t="str">
        <f>IFERROR(1-(SUMIF(Plant_BD!$B:$B,$A329,Plant_BD!$AL:$AL)/($AA329+SUMIF(Plant_BD!$B:$B,$A329,Plant_BD!$AL:$AL))),"")</f>
        <v/>
      </c>
      <c r="P329" s="238"/>
      <c r="Q329" s="239"/>
      <c r="R329" s="238" t="str">
        <f>IFERROR(1-(SUMIF(Grid_BD!$B:$B,$A329,Grid_BD!$V:$V)/($AA329+SUMIF(Grid_BD!$B:$B,$A329,Grid_BD!$V:$V))),"")</f>
        <v/>
      </c>
      <c r="S329" s="234"/>
      <c r="T329" s="239"/>
      <c r="U329" s="240" t="str">
        <f t="shared" si="26"/>
        <v/>
      </c>
      <c r="V329" s="240" t="str">
        <f>IFERROR(_xlfn.XLOOKUP($A329,Input_Raw!$A:$A,Input_Raw!$BS:$BS),"")</f>
        <v/>
      </c>
      <c r="W329" s="241" t="str">
        <f t="shared" si="27"/>
        <v/>
      </c>
      <c r="X329" s="233" t="str">
        <f>IFERROR(_xlfn.XLOOKUP($A329,Input_Raw!$A:$A,Input_Raw!$AW:$AW),"")</f>
        <v/>
      </c>
      <c r="Y329" s="233" t="str">
        <f>IFERROR(_xlfn.XLOOKUP($A329,Input_Raw!$A:$A,Input_Raw!$BN:$BN),"")</f>
        <v/>
      </c>
      <c r="Z329" s="233"/>
      <c r="AA329" s="233" t="str">
        <f>IFERROR(_xlfn.XLOOKUP($A329,Input_Raw!$A:$A,Input_Raw!$BO:$BO),"")</f>
        <v/>
      </c>
      <c r="AB329" s="233" t="str">
        <f>IFERROR(_xlfn.XLOOKUP($A329,Input_Raw!$A:$A,Input_Raw!$BP:$BP),"")</f>
        <v/>
      </c>
      <c r="AC329" s="242" t="str">
        <f>IFERROR(_xlfn.XLOOKUP($D329,'Modelling New'!$D:$D,'Modelling New'!P:P),"")</f>
        <v/>
      </c>
      <c r="AD329" s="233" t="str">
        <f>IFERROR(_xlfn.XLOOKUP($D329,'Modelling New'!$D:$D,'Modelling New'!T:T)*1000,"")</f>
        <v/>
      </c>
      <c r="AE329" s="243" t="str">
        <f>IFERROR(_xlfn.XLOOKUP($D329,'Modelling New'!$D:$D,'Modelling New'!$O:$O),"")</f>
        <v/>
      </c>
      <c r="AF329" s="243" t="str">
        <f>IFERROR(_xlfn.XLOOKUP($D329,'Modelling New'!$D:$D,'Modelling New'!$W:$W),"")</f>
        <v/>
      </c>
      <c r="AG329" s="243" t="str">
        <f>IFERROR(_xlfn.XLOOKUP($D329,'Modelling New'!$D:$D,'Modelling New'!$AE:$AE),"")</f>
        <v/>
      </c>
      <c r="AH329" s="243" t="str">
        <f>IFERROR(_xlfn.XLOOKUP($D329,'Modelling New'!$D:$D,'Modelling New'!$AF:$AF),"")</f>
        <v/>
      </c>
      <c r="AI329" s="234"/>
      <c r="AJ329" s="234"/>
      <c r="AK329" s="234"/>
      <c r="AL329" s="234"/>
      <c r="AM329" s="234"/>
      <c r="AN329" s="244"/>
      <c r="AO329" s="241"/>
      <c r="AP329" s="241"/>
      <c r="AQ329" s="241"/>
      <c r="AR329" s="233" t="e">
        <f>_xlfn.XLOOKUP($D329,'Modelling New'!$D:$D,'Modelling New'!$N:$N)</f>
        <v>#N/A</v>
      </c>
      <c r="AS329" s="233" t="str">
        <f t="shared" si="28"/>
        <v/>
      </c>
    </row>
    <row r="330" spans="1:45">
      <c r="A330" s="232">
        <f t="shared" si="29"/>
        <v>46167</v>
      </c>
      <c r="B330" s="233">
        <f>YEAR(Daily_KPI[[#This Row],[Date]])+IF(MONTH(Daily_KPI[[#This Row],[Date]])&gt;=4,1,0)</f>
        <v>2027</v>
      </c>
      <c r="C330" s="234">
        <f>YEAR(Daily_KPI[[#This Row],[Date]])</f>
        <v>2026</v>
      </c>
      <c r="D330" s="235">
        <f>Daily_KPI[[#This Row],[Date]]-DAY(Daily_KPI[[#This Row],[Date]])+1</f>
        <v>46143</v>
      </c>
      <c r="E330" s="234">
        <f t="shared" ref="E330:E369" si="30">DAY(EOMONTH(A330,0))</f>
        <v>31</v>
      </c>
      <c r="F330" s="236" t="str">
        <f>IFERROR(_xlfn.XLOOKUP($A330,Input_Raw!$A:$A,Input_Raw!$BM:$BM),"")</f>
        <v/>
      </c>
      <c r="G330" s="237" t="str">
        <f>IFERROR(_xlfn.XLOOKUP($A330,Input_Raw!$A:$A,Input_Raw!$AN:$AN),"")</f>
        <v/>
      </c>
      <c r="H330" s="237"/>
      <c r="I330" s="237" t="str">
        <f>IFERROR(_xlfn.XLOOKUP($A330,Input_Raw!$A:$A,Input_Raw!$AM:$AM),"")</f>
        <v/>
      </c>
      <c r="J330" s="237"/>
      <c r="K330" s="237" t="str">
        <f>IFERROR(_xlfn.XLOOKUP($A330,Input_Raw!$A:$A,Input_Raw!AO:AO),"")</f>
        <v/>
      </c>
      <c r="L330" s="237" t="str">
        <f>IFERROR(_xlfn.XLOOKUP($A330,Input_Raw!$A:$A,Input_Raw!AP:AP),"")</f>
        <v/>
      </c>
      <c r="M330" s="237" t="str">
        <f>IFERROR(_xlfn.XLOOKUP($A330,Input_Raw!$A:$A,Input_Raw!AS:AS),"")</f>
        <v/>
      </c>
      <c r="N330" s="237" t="str">
        <f>IFERROR(_xlfn.XLOOKUP($A330,Input_Raw!$A:$A,Input_Raw!AT:AT),"")</f>
        <v/>
      </c>
      <c r="O330" s="238" t="str">
        <f>IFERROR(1-(SUMIF(Plant_BD!$B:$B,$A330,Plant_BD!$AL:$AL)/($AA330+SUMIF(Plant_BD!$B:$B,$A330,Plant_BD!$AL:$AL))),"")</f>
        <v/>
      </c>
      <c r="P330" s="238"/>
      <c r="Q330" s="239"/>
      <c r="R330" s="238" t="str">
        <f>IFERROR(1-(SUMIF(Grid_BD!$B:$B,$A330,Grid_BD!$V:$V)/($AA330+SUMIF(Grid_BD!$B:$B,$A330,Grid_BD!$V:$V))),"")</f>
        <v/>
      </c>
      <c r="S330" s="234"/>
      <c r="T330" s="239"/>
      <c r="U330" s="240" t="str">
        <f t="shared" ref="U330:U369" si="31">IFERROR(AA330/I330/AB330/1000,"")</f>
        <v/>
      </c>
      <c r="V330" s="240" t="str">
        <f>IFERROR(_xlfn.XLOOKUP($A330,Input_Raw!$A:$A,Input_Raw!$BS:$BS),"")</f>
        <v/>
      </c>
      <c r="W330" s="241" t="str">
        <f t="shared" ref="W330:W369" si="32">IFERROR(AA330/(24*AR330*1000),"")</f>
        <v/>
      </c>
      <c r="X330" s="233" t="str">
        <f>IFERROR(_xlfn.XLOOKUP($A330,Input_Raw!$A:$A,Input_Raw!$AW:$AW),"")</f>
        <v/>
      </c>
      <c r="Y330" s="233" t="str">
        <f>IFERROR(_xlfn.XLOOKUP($A330,Input_Raw!$A:$A,Input_Raw!$BN:$BN),"")</f>
        <v/>
      </c>
      <c r="Z330" s="233"/>
      <c r="AA330" s="233" t="str">
        <f>IFERROR(_xlfn.XLOOKUP($A330,Input_Raw!$A:$A,Input_Raw!$BO:$BO),"")</f>
        <v/>
      </c>
      <c r="AB330" s="233" t="str">
        <f>IFERROR(_xlfn.XLOOKUP($A330,Input_Raw!$A:$A,Input_Raw!$BP:$BP),"")</f>
        <v/>
      </c>
      <c r="AC330" s="242" t="str">
        <f>IFERROR(_xlfn.XLOOKUP($D330,'Modelling New'!$D:$D,'Modelling New'!P:P),"")</f>
        <v/>
      </c>
      <c r="AD330" s="233" t="str">
        <f>IFERROR(_xlfn.XLOOKUP($D330,'Modelling New'!$D:$D,'Modelling New'!T:T)*1000,"")</f>
        <v/>
      </c>
      <c r="AE330" s="243" t="str">
        <f>IFERROR(_xlfn.XLOOKUP($D330,'Modelling New'!$D:$D,'Modelling New'!$O:$O),"")</f>
        <v/>
      </c>
      <c r="AF330" s="243" t="str">
        <f>IFERROR(_xlfn.XLOOKUP($D330,'Modelling New'!$D:$D,'Modelling New'!$W:$W),"")</f>
        <v/>
      </c>
      <c r="AG330" s="243" t="str">
        <f>IFERROR(_xlfn.XLOOKUP($D330,'Modelling New'!$D:$D,'Modelling New'!$AE:$AE),"")</f>
        <v/>
      </c>
      <c r="AH330" s="243" t="str">
        <f>IFERROR(_xlfn.XLOOKUP($D330,'Modelling New'!$D:$D,'Modelling New'!$AF:$AF),"")</f>
        <v/>
      </c>
      <c r="AI330" s="234"/>
      <c r="AJ330" s="234"/>
      <c r="AK330" s="234"/>
      <c r="AL330" s="234"/>
      <c r="AM330" s="234"/>
      <c r="AN330" s="244"/>
      <c r="AO330" s="241"/>
      <c r="AP330" s="241"/>
      <c r="AQ330" s="241"/>
      <c r="AR330" s="233" t="e">
        <f>_xlfn.XLOOKUP($D330,'Modelling New'!$D:$D,'Modelling New'!$N:$N)</f>
        <v>#N/A</v>
      </c>
      <c r="AS330" s="233" t="str">
        <f t="shared" ref="AS330:AS369" si="33">IFERROR((AD330/AR330)*AB330,"")</f>
        <v/>
      </c>
    </row>
    <row r="331" spans="1:45">
      <c r="A331" s="232">
        <f t="shared" si="29"/>
        <v>46168</v>
      </c>
      <c r="B331" s="233">
        <f>YEAR(Daily_KPI[[#This Row],[Date]])+IF(MONTH(Daily_KPI[[#This Row],[Date]])&gt;=4,1,0)</f>
        <v>2027</v>
      </c>
      <c r="C331" s="234">
        <f>YEAR(Daily_KPI[[#This Row],[Date]])</f>
        <v>2026</v>
      </c>
      <c r="D331" s="235">
        <f>Daily_KPI[[#This Row],[Date]]-DAY(Daily_KPI[[#This Row],[Date]])+1</f>
        <v>46143</v>
      </c>
      <c r="E331" s="234">
        <f t="shared" si="30"/>
        <v>31</v>
      </c>
      <c r="F331" s="236" t="str">
        <f>IFERROR(_xlfn.XLOOKUP($A331,Input_Raw!$A:$A,Input_Raw!$BM:$BM),"")</f>
        <v/>
      </c>
      <c r="G331" s="237" t="str">
        <f>IFERROR(_xlfn.XLOOKUP($A331,Input_Raw!$A:$A,Input_Raw!$AN:$AN),"")</f>
        <v/>
      </c>
      <c r="H331" s="237"/>
      <c r="I331" s="237" t="str">
        <f>IFERROR(_xlfn.XLOOKUP($A331,Input_Raw!$A:$A,Input_Raw!$AM:$AM),"")</f>
        <v/>
      </c>
      <c r="J331" s="237"/>
      <c r="K331" s="237" t="str">
        <f>IFERROR(_xlfn.XLOOKUP($A331,Input_Raw!$A:$A,Input_Raw!AO:AO),"")</f>
        <v/>
      </c>
      <c r="L331" s="237" t="str">
        <f>IFERROR(_xlfn.XLOOKUP($A331,Input_Raw!$A:$A,Input_Raw!AP:AP),"")</f>
        <v/>
      </c>
      <c r="M331" s="237" t="str">
        <f>IFERROR(_xlfn.XLOOKUP($A331,Input_Raw!$A:$A,Input_Raw!AS:AS),"")</f>
        <v/>
      </c>
      <c r="N331" s="237" t="str">
        <f>IFERROR(_xlfn.XLOOKUP($A331,Input_Raw!$A:$A,Input_Raw!AT:AT),"")</f>
        <v/>
      </c>
      <c r="O331" s="238" t="str">
        <f>IFERROR(1-(SUMIF(Plant_BD!$B:$B,$A331,Plant_BD!$AL:$AL)/($AA331+SUMIF(Plant_BD!$B:$B,$A331,Plant_BD!$AL:$AL))),"")</f>
        <v/>
      </c>
      <c r="P331" s="238"/>
      <c r="Q331" s="239"/>
      <c r="R331" s="238" t="str">
        <f>IFERROR(1-(SUMIF(Grid_BD!$B:$B,$A331,Grid_BD!$V:$V)/($AA331+SUMIF(Grid_BD!$B:$B,$A331,Grid_BD!$V:$V))),"")</f>
        <v/>
      </c>
      <c r="S331" s="234"/>
      <c r="T331" s="239"/>
      <c r="U331" s="240" t="str">
        <f t="shared" si="31"/>
        <v/>
      </c>
      <c r="V331" s="240" t="str">
        <f>IFERROR(_xlfn.XLOOKUP($A331,Input_Raw!$A:$A,Input_Raw!$BS:$BS),"")</f>
        <v/>
      </c>
      <c r="W331" s="241" t="str">
        <f t="shared" si="32"/>
        <v/>
      </c>
      <c r="X331" s="233" t="str">
        <f>IFERROR(_xlfn.XLOOKUP($A331,Input_Raw!$A:$A,Input_Raw!$AW:$AW),"")</f>
        <v/>
      </c>
      <c r="Y331" s="233" t="str">
        <f>IFERROR(_xlfn.XLOOKUP($A331,Input_Raw!$A:$A,Input_Raw!$BN:$BN),"")</f>
        <v/>
      </c>
      <c r="Z331" s="233"/>
      <c r="AA331" s="233" t="str">
        <f>IFERROR(_xlfn.XLOOKUP($A331,Input_Raw!$A:$A,Input_Raw!$BO:$BO),"")</f>
        <v/>
      </c>
      <c r="AB331" s="233" t="str">
        <f>IFERROR(_xlfn.XLOOKUP($A331,Input_Raw!$A:$A,Input_Raw!$BP:$BP),"")</f>
        <v/>
      </c>
      <c r="AC331" s="242" t="str">
        <f>IFERROR(_xlfn.XLOOKUP($D331,'Modelling New'!$D:$D,'Modelling New'!P:P),"")</f>
        <v/>
      </c>
      <c r="AD331" s="233" t="str">
        <f>IFERROR(_xlfn.XLOOKUP($D331,'Modelling New'!$D:$D,'Modelling New'!T:T)*1000,"")</f>
        <v/>
      </c>
      <c r="AE331" s="243" t="str">
        <f>IFERROR(_xlfn.XLOOKUP($D331,'Modelling New'!$D:$D,'Modelling New'!$O:$O),"")</f>
        <v/>
      </c>
      <c r="AF331" s="243" t="str">
        <f>IFERROR(_xlfn.XLOOKUP($D331,'Modelling New'!$D:$D,'Modelling New'!$W:$W),"")</f>
        <v/>
      </c>
      <c r="AG331" s="243" t="str">
        <f>IFERROR(_xlfn.XLOOKUP($D331,'Modelling New'!$D:$D,'Modelling New'!$AE:$AE),"")</f>
        <v/>
      </c>
      <c r="AH331" s="243" t="str">
        <f>IFERROR(_xlfn.XLOOKUP($D331,'Modelling New'!$D:$D,'Modelling New'!$AF:$AF),"")</f>
        <v/>
      </c>
      <c r="AI331" s="234"/>
      <c r="AJ331" s="234"/>
      <c r="AK331" s="234"/>
      <c r="AL331" s="234"/>
      <c r="AM331" s="234"/>
      <c r="AN331" s="244"/>
      <c r="AO331" s="241"/>
      <c r="AP331" s="241"/>
      <c r="AQ331" s="241"/>
      <c r="AR331" s="233" t="e">
        <f>_xlfn.XLOOKUP($D331,'Modelling New'!$D:$D,'Modelling New'!$N:$N)</f>
        <v>#N/A</v>
      </c>
      <c r="AS331" s="233" t="str">
        <f t="shared" si="33"/>
        <v/>
      </c>
    </row>
    <row r="332" spans="1:45">
      <c r="A332" s="232">
        <f t="shared" ref="A332:A369" si="34">A331+1</f>
        <v>46169</v>
      </c>
      <c r="B332" s="233">
        <f>YEAR(Daily_KPI[[#This Row],[Date]])+IF(MONTH(Daily_KPI[[#This Row],[Date]])&gt;=4,1,0)</f>
        <v>2027</v>
      </c>
      <c r="C332" s="234">
        <f>YEAR(Daily_KPI[[#This Row],[Date]])</f>
        <v>2026</v>
      </c>
      <c r="D332" s="235">
        <f>Daily_KPI[[#This Row],[Date]]-DAY(Daily_KPI[[#This Row],[Date]])+1</f>
        <v>46143</v>
      </c>
      <c r="E332" s="234">
        <f t="shared" si="30"/>
        <v>31</v>
      </c>
      <c r="F332" s="236" t="str">
        <f>IFERROR(_xlfn.XLOOKUP($A332,Input_Raw!$A:$A,Input_Raw!$BM:$BM),"")</f>
        <v/>
      </c>
      <c r="G332" s="237" t="str">
        <f>IFERROR(_xlfn.XLOOKUP($A332,Input_Raw!$A:$A,Input_Raw!$AN:$AN),"")</f>
        <v/>
      </c>
      <c r="H332" s="237"/>
      <c r="I332" s="237" t="str">
        <f>IFERROR(_xlfn.XLOOKUP($A332,Input_Raw!$A:$A,Input_Raw!$AM:$AM),"")</f>
        <v/>
      </c>
      <c r="J332" s="237"/>
      <c r="K332" s="237" t="str">
        <f>IFERROR(_xlfn.XLOOKUP($A332,Input_Raw!$A:$A,Input_Raw!AO:AO),"")</f>
        <v/>
      </c>
      <c r="L332" s="237" t="str">
        <f>IFERROR(_xlfn.XLOOKUP($A332,Input_Raw!$A:$A,Input_Raw!AP:AP),"")</f>
        <v/>
      </c>
      <c r="M332" s="237" t="str">
        <f>IFERROR(_xlfn.XLOOKUP($A332,Input_Raw!$A:$A,Input_Raw!AS:AS),"")</f>
        <v/>
      </c>
      <c r="N332" s="237" t="str">
        <f>IFERROR(_xlfn.XLOOKUP($A332,Input_Raw!$A:$A,Input_Raw!AT:AT),"")</f>
        <v/>
      </c>
      <c r="O332" s="238" t="str">
        <f>IFERROR(1-(SUMIF(Plant_BD!$B:$B,$A332,Plant_BD!$AL:$AL)/($AA332+SUMIF(Plant_BD!$B:$B,$A332,Plant_BD!$AL:$AL))),"")</f>
        <v/>
      </c>
      <c r="P332" s="238"/>
      <c r="Q332" s="239"/>
      <c r="R332" s="238" t="str">
        <f>IFERROR(1-(SUMIF(Grid_BD!$B:$B,$A332,Grid_BD!$V:$V)/($AA332+SUMIF(Grid_BD!$B:$B,$A332,Grid_BD!$V:$V))),"")</f>
        <v/>
      </c>
      <c r="S332" s="234"/>
      <c r="T332" s="239"/>
      <c r="U332" s="240" t="str">
        <f t="shared" si="31"/>
        <v/>
      </c>
      <c r="V332" s="240" t="str">
        <f>IFERROR(_xlfn.XLOOKUP($A332,Input_Raw!$A:$A,Input_Raw!$BS:$BS),"")</f>
        <v/>
      </c>
      <c r="W332" s="241" t="str">
        <f t="shared" si="32"/>
        <v/>
      </c>
      <c r="X332" s="233" t="str">
        <f>IFERROR(_xlfn.XLOOKUP($A332,Input_Raw!$A:$A,Input_Raw!$AW:$AW),"")</f>
        <v/>
      </c>
      <c r="Y332" s="233" t="str">
        <f>IFERROR(_xlfn.XLOOKUP($A332,Input_Raw!$A:$A,Input_Raw!$BN:$BN),"")</f>
        <v/>
      </c>
      <c r="Z332" s="233"/>
      <c r="AA332" s="233" t="str">
        <f>IFERROR(_xlfn.XLOOKUP($A332,Input_Raw!$A:$A,Input_Raw!$BO:$BO),"")</f>
        <v/>
      </c>
      <c r="AB332" s="233" t="str">
        <f>IFERROR(_xlfn.XLOOKUP($A332,Input_Raw!$A:$A,Input_Raw!$BP:$BP),"")</f>
        <v/>
      </c>
      <c r="AC332" s="242" t="str">
        <f>IFERROR(_xlfn.XLOOKUP($D332,'Modelling New'!$D:$D,'Modelling New'!P:P),"")</f>
        <v/>
      </c>
      <c r="AD332" s="233" t="str">
        <f>IFERROR(_xlfn.XLOOKUP($D332,'Modelling New'!$D:$D,'Modelling New'!T:T)*1000,"")</f>
        <v/>
      </c>
      <c r="AE332" s="243" t="str">
        <f>IFERROR(_xlfn.XLOOKUP($D332,'Modelling New'!$D:$D,'Modelling New'!$O:$O),"")</f>
        <v/>
      </c>
      <c r="AF332" s="243" t="str">
        <f>IFERROR(_xlfn.XLOOKUP($D332,'Modelling New'!$D:$D,'Modelling New'!$W:$W),"")</f>
        <v/>
      </c>
      <c r="AG332" s="243" t="str">
        <f>IFERROR(_xlfn.XLOOKUP($D332,'Modelling New'!$D:$D,'Modelling New'!$AE:$AE),"")</f>
        <v/>
      </c>
      <c r="AH332" s="243" t="str">
        <f>IFERROR(_xlfn.XLOOKUP($D332,'Modelling New'!$D:$D,'Modelling New'!$AF:$AF),"")</f>
        <v/>
      </c>
      <c r="AI332" s="234"/>
      <c r="AJ332" s="234"/>
      <c r="AK332" s="234"/>
      <c r="AL332" s="234"/>
      <c r="AM332" s="234"/>
      <c r="AN332" s="244"/>
      <c r="AO332" s="241"/>
      <c r="AP332" s="241"/>
      <c r="AQ332" s="241"/>
      <c r="AR332" s="233" t="e">
        <f>_xlfn.XLOOKUP($D332,'Modelling New'!$D:$D,'Modelling New'!$N:$N)</f>
        <v>#N/A</v>
      </c>
      <c r="AS332" s="233" t="str">
        <f t="shared" si="33"/>
        <v/>
      </c>
    </row>
    <row r="333" spans="1:45">
      <c r="A333" s="232">
        <f t="shared" si="34"/>
        <v>46170</v>
      </c>
      <c r="B333" s="233">
        <f>YEAR(Daily_KPI[[#This Row],[Date]])+IF(MONTH(Daily_KPI[[#This Row],[Date]])&gt;=4,1,0)</f>
        <v>2027</v>
      </c>
      <c r="C333" s="234">
        <f>YEAR(Daily_KPI[[#This Row],[Date]])</f>
        <v>2026</v>
      </c>
      <c r="D333" s="235">
        <f>Daily_KPI[[#This Row],[Date]]-DAY(Daily_KPI[[#This Row],[Date]])+1</f>
        <v>46143</v>
      </c>
      <c r="E333" s="234">
        <f t="shared" si="30"/>
        <v>31</v>
      </c>
      <c r="F333" s="236" t="str">
        <f>IFERROR(_xlfn.XLOOKUP($A333,Input_Raw!$A:$A,Input_Raw!$BM:$BM),"")</f>
        <v/>
      </c>
      <c r="G333" s="237" t="str">
        <f>IFERROR(_xlfn.XLOOKUP($A333,Input_Raw!$A:$A,Input_Raw!$AN:$AN),"")</f>
        <v/>
      </c>
      <c r="H333" s="237"/>
      <c r="I333" s="237" t="str">
        <f>IFERROR(_xlfn.XLOOKUP($A333,Input_Raw!$A:$A,Input_Raw!$AM:$AM),"")</f>
        <v/>
      </c>
      <c r="J333" s="237"/>
      <c r="K333" s="237" t="str">
        <f>IFERROR(_xlfn.XLOOKUP($A333,Input_Raw!$A:$A,Input_Raw!AO:AO),"")</f>
        <v/>
      </c>
      <c r="L333" s="237" t="str">
        <f>IFERROR(_xlfn.XLOOKUP($A333,Input_Raw!$A:$A,Input_Raw!AP:AP),"")</f>
        <v/>
      </c>
      <c r="M333" s="237" t="str">
        <f>IFERROR(_xlfn.XLOOKUP($A333,Input_Raw!$A:$A,Input_Raw!AS:AS),"")</f>
        <v/>
      </c>
      <c r="N333" s="237" t="str">
        <f>IFERROR(_xlfn.XLOOKUP($A333,Input_Raw!$A:$A,Input_Raw!AT:AT),"")</f>
        <v/>
      </c>
      <c r="O333" s="238" t="str">
        <f>IFERROR(1-(SUMIF(Plant_BD!$B:$B,$A333,Plant_BD!$AL:$AL)/($AA333+SUMIF(Plant_BD!$B:$B,$A333,Plant_BD!$AL:$AL))),"")</f>
        <v/>
      </c>
      <c r="P333" s="238"/>
      <c r="Q333" s="239"/>
      <c r="R333" s="238" t="str">
        <f>IFERROR(1-(SUMIF(Grid_BD!$B:$B,$A333,Grid_BD!$V:$V)/($AA333+SUMIF(Grid_BD!$B:$B,$A333,Grid_BD!$V:$V))),"")</f>
        <v/>
      </c>
      <c r="S333" s="234"/>
      <c r="T333" s="239"/>
      <c r="U333" s="240" t="str">
        <f t="shared" si="31"/>
        <v/>
      </c>
      <c r="V333" s="240" t="str">
        <f>IFERROR(_xlfn.XLOOKUP($A333,Input_Raw!$A:$A,Input_Raw!$BS:$BS),"")</f>
        <v/>
      </c>
      <c r="W333" s="241" t="str">
        <f t="shared" si="32"/>
        <v/>
      </c>
      <c r="X333" s="233" t="str">
        <f>IFERROR(_xlfn.XLOOKUP($A333,Input_Raw!$A:$A,Input_Raw!$AW:$AW),"")</f>
        <v/>
      </c>
      <c r="Y333" s="233" t="str">
        <f>IFERROR(_xlfn.XLOOKUP($A333,Input_Raw!$A:$A,Input_Raw!$BN:$BN),"")</f>
        <v/>
      </c>
      <c r="Z333" s="233"/>
      <c r="AA333" s="233" t="str">
        <f>IFERROR(_xlfn.XLOOKUP($A333,Input_Raw!$A:$A,Input_Raw!$BO:$BO),"")</f>
        <v/>
      </c>
      <c r="AB333" s="233" t="str">
        <f>IFERROR(_xlfn.XLOOKUP($A333,Input_Raw!$A:$A,Input_Raw!$BP:$BP),"")</f>
        <v/>
      </c>
      <c r="AC333" s="242" t="str">
        <f>IFERROR(_xlfn.XLOOKUP($D333,'Modelling New'!$D:$D,'Modelling New'!P:P),"")</f>
        <v/>
      </c>
      <c r="AD333" s="233" t="str">
        <f>IFERROR(_xlfn.XLOOKUP($D333,'Modelling New'!$D:$D,'Modelling New'!T:T)*1000,"")</f>
        <v/>
      </c>
      <c r="AE333" s="243" t="str">
        <f>IFERROR(_xlfn.XLOOKUP($D333,'Modelling New'!$D:$D,'Modelling New'!$O:$O),"")</f>
        <v/>
      </c>
      <c r="AF333" s="243" t="str">
        <f>IFERROR(_xlfn.XLOOKUP($D333,'Modelling New'!$D:$D,'Modelling New'!$W:$W),"")</f>
        <v/>
      </c>
      <c r="AG333" s="243" t="str">
        <f>IFERROR(_xlfn.XLOOKUP($D333,'Modelling New'!$D:$D,'Modelling New'!$AE:$AE),"")</f>
        <v/>
      </c>
      <c r="AH333" s="243" t="str">
        <f>IFERROR(_xlfn.XLOOKUP($D333,'Modelling New'!$D:$D,'Modelling New'!$AF:$AF),"")</f>
        <v/>
      </c>
      <c r="AI333" s="234"/>
      <c r="AJ333" s="234"/>
      <c r="AK333" s="234"/>
      <c r="AL333" s="234"/>
      <c r="AM333" s="234"/>
      <c r="AN333" s="244"/>
      <c r="AO333" s="241"/>
      <c r="AP333" s="241"/>
      <c r="AQ333" s="241"/>
      <c r="AR333" s="233" t="e">
        <f>_xlfn.XLOOKUP($D333,'Modelling New'!$D:$D,'Modelling New'!$N:$N)</f>
        <v>#N/A</v>
      </c>
      <c r="AS333" s="233" t="str">
        <f t="shared" si="33"/>
        <v/>
      </c>
    </row>
    <row r="334" spans="1:45">
      <c r="A334" s="232">
        <f t="shared" si="34"/>
        <v>46171</v>
      </c>
      <c r="B334" s="233">
        <f>YEAR(Daily_KPI[[#This Row],[Date]])+IF(MONTH(Daily_KPI[[#This Row],[Date]])&gt;=4,1,0)</f>
        <v>2027</v>
      </c>
      <c r="C334" s="234">
        <f>YEAR(Daily_KPI[[#This Row],[Date]])</f>
        <v>2026</v>
      </c>
      <c r="D334" s="235">
        <f>Daily_KPI[[#This Row],[Date]]-DAY(Daily_KPI[[#This Row],[Date]])+1</f>
        <v>46143</v>
      </c>
      <c r="E334" s="234">
        <f t="shared" si="30"/>
        <v>31</v>
      </c>
      <c r="F334" s="236" t="str">
        <f>IFERROR(_xlfn.XLOOKUP($A334,Input_Raw!$A:$A,Input_Raw!$BM:$BM),"")</f>
        <v/>
      </c>
      <c r="G334" s="237" t="str">
        <f>IFERROR(_xlfn.XLOOKUP($A334,Input_Raw!$A:$A,Input_Raw!$AN:$AN),"")</f>
        <v/>
      </c>
      <c r="H334" s="237"/>
      <c r="I334" s="237" t="str">
        <f>IFERROR(_xlfn.XLOOKUP($A334,Input_Raw!$A:$A,Input_Raw!$AM:$AM),"")</f>
        <v/>
      </c>
      <c r="J334" s="237"/>
      <c r="K334" s="237" t="str">
        <f>IFERROR(_xlfn.XLOOKUP($A334,Input_Raw!$A:$A,Input_Raw!AO:AO),"")</f>
        <v/>
      </c>
      <c r="L334" s="237" t="str">
        <f>IFERROR(_xlfn.XLOOKUP($A334,Input_Raw!$A:$A,Input_Raw!AP:AP),"")</f>
        <v/>
      </c>
      <c r="M334" s="237" t="str">
        <f>IFERROR(_xlfn.XLOOKUP($A334,Input_Raw!$A:$A,Input_Raw!AS:AS),"")</f>
        <v/>
      </c>
      <c r="N334" s="237" t="str">
        <f>IFERROR(_xlfn.XLOOKUP($A334,Input_Raw!$A:$A,Input_Raw!AT:AT),"")</f>
        <v/>
      </c>
      <c r="O334" s="238" t="str">
        <f>IFERROR(1-(SUMIF(Plant_BD!$B:$B,$A334,Plant_BD!$AL:$AL)/($AA334+SUMIF(Plant_BD!$B:$B,$A334,Plant_BD!$AL:$AL))),"")</f>
        <v/>
      </c>
      <c r="P334" s="238"/>
      <c r="Q334" s="239"/>
      <c r="R334" s="238" t="str">
        <f>IFERROR(1-(SUMIF(Grid_BD!$B:$B,$A334,Grid_BD!$V:$V)/($AA334+SUMIF(Grid_BD!$B:$B,$A334,Grid_BD!$V:$V))),"")</f>
        <v/>
      </c>
      <c r="S334" s="234"/>
      <c r="T334" s="239"/>
      <c r="U334" s="240" t="str">
        <f t="shared" si="31"/>
        <v/>
      </c>
      <c r="V334" s="240" t="str">
        <f>IFERROR(_xlfn.XLOOKUP($A334,Input_Raw!$A:$A,Input_Raw!$BS:$BS),"")</f>
        <v/>
      </c>
      <c r="W334" s="241" t="str">
        <f t="shared" si="32"/>
        <v/>
      </c>
      <c r="X334" s="233" t="str">
        <f>IFERROR(_xlfn.XLOOKUP($A334,Input_Raw!$A:$A,Input_Raw!$AW:$AW),"")</f>
        <v/>
      </c>
      <c r="Y334" s="233" t="str">
        <f>IFERROR(_xlfn.XLOOKUP($A334,Input_Raw!$A:$A,Input_Raw!$BN:$BN),"")</f>
        <v/>
      </c>
      <c r="Z334" s="233"/>
      <c r="AA334" s="233" t="str">
        <f>IFERROR(_xlfn.XLOOKUP($A334,Input_Raw!$A:$A,Input_Raw!$BO:$BO),"")</f>
        <v/>
      </c>
      <c r="AB334" s="233" t="str">
        <f>IFERROR(_xlfn.XLOOKUP($A334,Input_Raw!$A:$A,Input_Raw!$BP:$BP),"")</f>
        <v/>
      </c>
      <c r="AC334" s="242" t="str">
        <f>IFERROR(_xlfn.XLOOKUP($D334,'Modelling New'!$D:$D,'Modelling New'!P:P),"")</f>
        <v/>
      </c>
      <c r="AD334" s="233" t="str">
        <f>IFERROR(_xlfn.XLOOKUP($D334,'Modelling New'!$D:$D,'Modelling New'!T:T)*1000,"")</f>
        <v/>
      </c>
      <c r="AE334" s="243" t="str">
        <f>IFERROR(_xlfn.XLOOKUP($D334,'Modelling New'!$D:$D,'Modelling New'!$O:$O),"")</f>
        <v/>
      </c>
      <c r="AF334" s="243" t="str">
        <f>IFERROR(_xlfn.XLOOKUP($D334,'Modelling New'!$D:$D,'Modelling New'!$W:$W),"")</f>
        <v/>
      </c>
      <c r="AG334" s="243" t="str">
        <f>IFERROR(_xlfn.XLOOKUP($D334,'Modelling New'!$D:$D,'Modelling New'!$AE:$AE),"")</f>
        <v/>
      </c>
      <c r="AH334" s="243" t="str">
        <f>IFERROR(_xlfn.XLOOKUP($D334,'Modelling New'!$D:$D,'Modelling New'!$AF:$AF),"")</f>
        <v/>
      </c>
      <c r="AI334" s="234"/>
      <c r="AJ334" s="234"/>
      <c r="AK334" s="234"/>
      <c r="AL334" s="234"/>
      <c r="AM334" s="234"/>
      <c r="AN334" s="244"/>
      <c r="AO334" s="241"/>
      <c r="AP334" s="241"/>
      <c r="AQ334" s="241"/>
      <c r="AR334" s="233" t="e">
        <f>_xlfn.XLOOKUP($D334,'Modelling New'!$D:$D,'Modelling New'!$N:$N)</f>
        <v>#N/A</v>
      </c>
      <c r="AS334" s="233" t="str">
        <f t="shared" si="33"/>
        <v/>
      </c>
    </row>
    <row r="335" spans="1:45">
      <c r="A335" s="232">
        <f t="shared" si="34"/>
        <v>46172</v>
      </c>
      <c r="B335" s="233">
        <f>YEAR(Daily_KPI[[#This Row],[Date]])+IF(MONTH(Daily_KPI[[#This Row],[Date]])&gt;=4,1,0)</f>
        <v>2027</v>
      </c>
      <c r="C335" s="234">
        <f>YEAR(Daily_KPI[[#This Row],[Date]])</f>
        <v>2026</v>
      </c>
      <c r="D335" s="235">
        <f>Daily_KPI[[#This Row],[Date]]-DAY(Daily_KPI[[#This Row],[Date]])+1</f>
        <v>46143</v>
      </c>
      <c r="E335" s="234">
        <f t="shared" si="30"/>
        <v>31</v>
      </c>
      <c r="F335" s="236" t="str">
        <f>IFERROR(_xlfn.XLOOKUP($A335,Input_Raw!$A:$A,Input_Raw!$BM:$BM),"")</f>
        <v/>
      </c>
      <c r="G335" s="237" t="str">
        <f>IFERROR(_xlfn.XLOOKUP($A335,Input_Raw!$A:$A,Input_Raw!$AN:$AN),"")</f>
        <v/>
      </c>
      <c r="H335" s="237"/>
      <c r="I335" s="237" t="str">
        <f>IFERROR(_xlfn.XLOOKUP($A335,Input_Raw!$A:$A,Input_Raw!$AM:$AM),"")</f>
        <v/>
      </c>
      <c r="J335" s="237"/>
      <c r="K335" s="237" t="str">
        <f>IFERROR(_xlfn.XLOOKUP($A335,Input_Raw!$A:$A,Input_Raw!AO:AO),"")</f>
        <v/>
      </c>
      <c r="L335" s="237" t="str">
        <f>IFERROR(_xlfn.XLOOKUP($A335,Input_Raw!$A:$A,Input_Raw!AP:AP),"")</f>
        <v/>
      </c>
      <c r="M335" s="237" t="str">
        <f>IFERROR(_xlfn.XLOOKUP($A335,Input_Raw!$A:$A,Input_Raw!AS:AS),"")</f>
        <v/>
      </c>
      <c r="N335" s="237" t="str">
        <f>IFERROR(_xlfn.XLOOKUP($A335,Input_Raw!$A:$A,Input_Raw!AT:AT),"")</f>
        <v/>
      </c>
      <c r="O335" s="238" t="str">
        <f>IFERROR(1-(SUMIF(Plant_BD!$B:$B,$A335,Plant_BD!$AL:$AL)/($AA335+SUMIF(Plant_BD!$B:$B,$A335,Plant_BD!$AL:$AL))),"")</f>
        <v/>
      </c>
      <c r="P335" s="238"/>
      <c r="Q335" s="239"/>
      <c r="R335" s="238" t="str">
        <f>IFERROR(1-(SUMIF(Grid_BD!$B:$B,$A335,Grid_BD!$V:$V)/($AA335+SUMIF(Grid_BD!$B:$B,$A335,Grid_BD!$V:$V))),"")</f>
        <v/>
      </c>
      <c r="S335" s="234"/>
      <c r="T335" s="239"/>
      <c r="U335" s="240" t="str">
        <f t="shared" si="31"/>
        <v/>
      </c>
      <c r="V335" s="240" t="str">
        <f>IFERROR(_xlfn.XLOOKUP($A335,Input_Raw!$A:$A,Input_Raw!$BS:$BS),"")</f>
        <v/>
      </c>
      <c r="W335" s="241" t="str">
        <f t="shared" si="32"/>
        <v/>
      </c>
      <c r="X335" s="233" t="str">
        <f>IFERROR(_xlfn.XLOOKUP($A335,Input_Raw!$A:$A,Input_Raw!$AW:$AW),"")</f>
        <v/>
      </c>
      <c r="Y335" s="233" t="str">
        <f>IFERROR(_xlfn.XLOOKUP($A335,Input_Raw!$A:$A,Input_Raw!$BN:$BN),"")</f>
        <v/>
      </c>
      <c r="Z335" s="233"/>
      <c r="AA335" s="233" t="str">
        <f>IFERROR(_xlfn.XLOOKUP($A335,Input_Raw!$A:$A,Input_Raw!$BO:$BO),"")</f>
        <v/>
      </c>
      <c r="AB335" s="233" t="str">
        <f>IFERROR(_xlfn.XLOOKUP($A335,Input_Raw!$A:$A,Input_Raw!$BP:$BP),"")</f>
        <v/>
      </c>
      <c r="AC335" s="242" t="str">
        <f>IFERROR(_xlfn.XLOOKUP($D335,'Modelling New'!$D:$D,'Modelling New'!P:P),"")</f>
        <v/>
      </c>
      <c r="AD335" s="233" t="str">
        <f>IFERROR(_xlfn.XLOOKUP($D335,'Modelling New'!$D:$D,'Modelling New'!T:T)*1000,"")</f>
        <v/>
      </c>
      <c r="AE335" s="243" t="str">
        <f>IFERROR(_xlfn.XLOOKUP($D335,'Modelling New'!$D:$D,'Modelling New'!$O:$O),"")</f>
        <v/>
      </c>
      <c r="AF335" s="243" t="str">
        <f>IFERROR(_xlfn.XLOOKUP($D335,'Modelling New'!$D:$D,'Modelling New'!$W:$W),"")</f>
        <v/>
      </c>
      <c r="AG335" s="243" t="str">
        <f>IFERROR(_xlfn.XLOOKUP($D335,'Modelling New'!$D:$D,'Modelling New'!$AE:$AE),"")</f>
        <v/>
      </c>
      <c r="AH335" s="243" t="str">
        <f>IFERROR(_xlfn.XLOOKUP($D335,'Modelling New'!$D:$D,'Modelling New'!$AF:$AF),"")</f>
        <v/>
      </c>
      <c r="AI335" s="234"/>
      <c r="AJ335" s="234"/>
      <c r="AK335" s="234"/>
      <c r="AL335" s="234"/>
      <c r="AM335" s="234"/>
      <c r="AN335" s="244"/>
      <c r="AO335" s="241"/>
      <c r="AP335" s="241"/>
      <c r="AQ335" s="241"/>
      <c r="AR335" s="233" t="e">
        <f>_xlfn.XLOOKUP($D335,'Modelling New'!$D:$D,'Modelling New'!$N:$N)</f>
        <v>#N/A</v>
      </c>
      <c r="AS335" s="233" t="str">
        <f t="shared" si="33"/>
        <v/>
      </c>
    </row>
    <row r="336" spans="1:45">
      <c r="A336" s="232">
        <f t="shared" si="34"/>
        <v>46173</v>
      </c>
      <c r="B336" s="233">
        <f>YEAR(Daily_KPI[[#This Row],[Date]])+IF(MONTH(Daily_KPI[[#This Row],[Date]])&gt;=4,1,0)</f>
        <v>2027</v>
      </c>
      <c r="C336" s="234">
        <f>YEAR(Daily_KPI[[#This Row],[Date]])</f>
        <v>2026</v>
      </c>
      <c r="D336" s="235">
        <f>Daily_KPI[[#This Row],[Date]]-DAY(Daily_KPI[[#This Row],[Date]])+1</f>
        <v>46143</v>
      </c>
      <c r="E336" s="234">
        <f t="shared" si="30"/>
        <v>31</v>
      </c>
      <c r="F336" s="236" t="str">
        <f>IFERROR(_xlfn.XLOOKUP($A336,Input_Raw!$A:$A,Input_Raw!$BM:$BM),"")</f>
        <v/>
      </c>
      <c r="G336" s="237" t="str">
        <f>IFERROR(_xlfn.XLOOKUP($A336,Input_Raw!$A:$A,Input_Raw!$AN:$AN),"")</f>
        <v/>
      </c>
      <c r="H336" s="237"/>
      <c r="I336" s="237" t="str">
        <f>IFERROR(_xlfn.XLOOKUP($A336,Input_Raw!$A:$A,Input_Raw!$AM:$AM),"")</f>
        <v/>
      </c>
      <c r="J336" s="237"/>
      <c r="K336" s="237" t="str">
        <f>IFERROR(_xlfn.XLOOKUP($A336,Input_Raw!$A:$A,Input_Raw!AO:AO),"")</f>
        <v/>
      </c>
      <c r="L336" s="237" t="str">
        <f>IFERROR(_xlfn.XLOOKUP($A336,Input_Raw!$A:$A,Input_Raw!AP:AP),"")</f>
        <v/>
      </c>
      <c r="M336" s="237" t="str">
        <f>IFERROR(_xlfn.XLOOKUP($A336,Input_Raw!$A:$A,Input_Raw!AS:AS),"")</f>
        <v/>
      </c>
      <c r="N336" s="237" t="str">
        <f>IFERROR(_xlfn.XLOOKUP($A336,Input_Raw!$A:$A,Input_Raw!AT:AT),"")</f>
        <v/>
      </c>
      <c r="O336" s="238" t="str">
        <f>IFERROR(1-(SUMIF(Plant_BD!$B:$B,$A336,Plant_BD!$AL:$AL)/($AA336+SUMIF(Plant_BD!$B:$B,$A336,Plant_BD!$AL:$AL))),"")</f>
        <v/>
      </c>
      <c r="P336" s="238"/>
      <c r="Q336" s="239"/>
      <c r="R336" s="238" t="str">
        <f>IFERROR(1-(SUMIF(Grid_BD!$B:$B,$A336,Grid_BD!$V:$V)/($AA336+SUMIF(Grid_BD!$B:$B,$A336,Grid_BD!$V:$V))),"")</f>
        <v/>
      </c>
      <c r="S336" s="234"/>
      <c r="T336" s="239"/>
      <c r="U336" s="240" t="str">
        <f t="shared" si="31"/>
        <v/>
      </c>
      <c r="V336" s="240" t="str">
        <f>IFERROR(_xlfn.XLOOKUP($A336,Input_Raw!$A:$A,Input_Raw!$BS:$BS),"")</f>
        <v/>
      </c>
      <c r="W336" s="241" t="str">
        <f t="shared" si="32"/>
        <v/>
      </c>
      <c r="X336" s="233" t="str">
        <f>IFERROR(_xlfn.XLOOKUP($A336,Input_Raw!$A:$A,Input_Raw!$AW:$AW),"")</f>
        <v/>
      </c>
      <c r="Y336" s="233" t="str">
        <f>IFERROR(_xlfn.XLOOKUP($A336,Input_Raw!$A:$A,Input_Raw!$BN:$BN),"")</f>
        <v/>
      </c>
      <c r="Z336" s="233"/>
      <c r="AA336" s="233" t="str">
        <f>IFERROR(_xlfn.XLOOKUP($A336,Input_Raw!$A:$A,Input_Raw!$BO:$BO),"")</f>
        <v/>
      </c>
      <c r="AB336" s="233" t="str">
        <f>IFERROR(_xlfn.XLOOKUP($A336,Input_Raw!$A:$A,Input_Raw!$BP:$BP),"")</f>
        <v/>
      </c>
      <c r="AC336" s="242" t="str">
        <f>IFERROR(_xlfn.XLOOKUP($D336,'Modelling New'!$D:$D,'Modelling New'!P:P),"")</f>
        <v/>
      </c>
      <c r="AD336" s="233" t="str">
        <f>IFERROR(_xlfn.XLOOKUP($D336,'Modelling New'!$D:$D,'Modelling New'!T:T)*1000,"")</f>
        <v/>
      </c>
      <c r="AE336" s="243" t="str">
        <f>IFERROR(_xlfn.XLOOKUP($D336,'Modelling New'!$D:$D,'Modelling New'!$O:$O),"")</f>
        <v/>
      </c>
      <c r="AF336" s="243" t="str">
        <f>IFERROR(_xlfn.XLOOKUP($D336,'Modelling New'!$D:$D,'Modelling New'!$W:$W),"")</f>
        <v/>
      </c>
      <c r="AG336" s="243" t="str">
        <f>IFERROR(_xlfn.XLOOKUP($D336,'Modelling New'!$D:$D,'Modelling New'!$AE:$AE),"")</f>
        <v/>
      </c>
      <c r="AH336" s="243" t="str">
        <f>IFERROR(_xlfn.XLOOKUP($D336,'Modelling New'!$D:$D,'Modelling New'!$AF:$AF),"")</f>
        <v/>
      </c>
      <c r="AI336" s="234"/>
      <c r="AJ336" s="234"/>
      <c r="AK336" s="234"/>
      <c r="AL336" s="234"/>
      <c r="AM336" s="234"/>
      <c r="AN336" s="244"/>
      <c r="AO336" s="241"/>
      <c r="AP336" s="241"/>
      <c r="AQ336" s="241"/>
      <c r="AR336" s="233" t="e">
        <f>_xlfn.XLOOKUP($D336,'Modelling New'!$D:$D,'Modelling New'!$N:$N)</f>
        <v>#N/A</v>
      </c>
      <c r="AS336" s="233" t="str">
        <f t="shared" si="33"/>
        <v/>
      </c>
    </row>
    <row r="337" spans="1:45">
      <c r="A337" s="232">
        <f t="shared" si="34"/>
        <v>46174</v>
      </c>
      <c r="B337" s="233">
        <f>YEAR(Daily_KPI[[#This Row],[Date]])+IF(MONTH(Daily_KPI[[#This Row],[Date]])&gt;=4,1,0)</f>
        <v>2027</v>
      </c>
      <c r="C337" s="234">
        <f>YEAR(Daily_KPI[[#This Row],[Date]])</f>
        <v>2026</v>
      </c>
      <c r="D337" s="235">
        <f>Daily_KPI[[#This Row],[Date]]-DAY(Daily_KPI[[#This Row],[Date]])+1</f>
        <v>46174</v>
      </c>
      <c r="E337" s="234">
        <f t="shared" si="30"/>
        <v>30</v>
      </c>
      <c r="F337" s="236" t="str">
        <f>IFERROR(_xlfn.XLOOKUP($A337,Input_Raw!$A:$A,Input_Raw!$BM:$BM),"")</f>
        <v/>
      </c>
      <c r="G337" s="237" t="str">
        <f>IFERROR(_xlfn.XLOOKUP($A337,Input_Raw!$A:$A,Input_Raw!$AN:$AN),"")</f>
        <v/>
      </c>
      <c r="H337" s="237"/>
      <c r="I337" s="237" t="str">
        <f>IFERROR(_xlfn.XLOOKUP($A337,Input_Raw!$A:$A,Input_Raw!$AM:$AM),"")</f>
        <v/>
      </c>
      <c r="J337" s="237"/>
      <c r="K337" s="237" t="str">
        <f>IFERROR(_xlfn.XLOOKUP($A337,Input_Raw!$A:$A,Input_Raw!AO:AO),"")</f>
        <v/>
      </c>
      <c r="L337" s="237" t="str">
        <f>IFERROR(_xlfn.XLOOKUP($A337,Input_Raw!$A:$A,Input_Raw!AP:AP),"")</f>
        <v/>
      </c>
      <c r="M337" s="237" t="str">
        <f>IFERROR(_xlfn.XLOOKUP($A337,Input_Raw!$A:$A,Input_Raw!AS:AS),"")</f>
        <v/>
      </c>
      <c r="N337" s="237" t="str">
        <f>IFERROR(_xlfn.XLOOKUP($A337,Input_Raw!$A:$A,Input_Raw!AT:AT),"")</f>
        <v/>
      </c>
      <c r="O337" s="238" t="str">
        <f>IFERROR(1-(SUMIF(Plant_BD!$B:$B,$A337,Plant_BD!$AL:$AL)/($AA337+SUMIF(Plant_BD!$B:$B,$A337,Plant_BD!$AL:$AL))),"")</f>
        <v/>
      </c>
      <c r="P337" s="238"/>
      <c r="Q337" s="239"/>
      <c r="R337" s="238" t="str">
        <f>IFERROR(1-(SUMIF(Grid_BD!$B:$B,$A337,Grid_BD!$V:$V)/($AA337+SUMIF(Grid_BD!$B:$B,$A337,Grid_BD!$V:$V))),"")</f>
        <v/>
      </c>
      <c r="S337" s="234"/>
      <c r="T337" s="239"/>
      <c r="U337" s="240" t="str">
        <f t="shared" si="31"/>
        <v/>
      </c>
      <c r="V337" s="240" t="str">
        <f>IFERROR(_xlfn.XLOOKUP($A337,Input_Raw!$A:$A,Input_Raw!$BS:$BS),"")</f>
        <v/>
      </c>
      <c r="W337" s="241" t="str">
        <f t="shared" si="32"/>
        <v/>
      </c>
      <c r="X337" s="233" t="str">
        <f>IFERROR(_xlfn.XLOOKUP($A337,Input_Raw!$A:$A,Input_Raw!$AW:$AW),"")</f>
        <v/>
      </c>
      <c r="Y337" s="233" t="str">
        <f>IFERROR(_xlfn.XLOOKUP($A337,Input_Raw!$A:$A,Input_Raw!$BN:$BN),"")</f>
        <v/>
      </c>
      <c r="Z337" s="233"/>
      <c r="AA337" s="233" t="str">
        <f>IFERROR(_xlfn.XLOOKUP($A337,Input_Raw!$A:$A,Input_Raw!$BO:$BO),"")</f>
        <v/>
      </c>
      <c r="AB337" s="233" t="str">
        <f>IFERROR(_xlfn.XLOOKUP($A337,Input_Raw!$A:$A,Input_Raw!$BP:$BP),"")</f>
        <v/>
      </c>
      <c r="AC337" s="242" t="str">
        <f>IFERROR(_xlfn.XLOOKUP($D337,'Modelling New'!$D:$D,'Modelling New'!P:P),"")</f>
        <v/>
      </c>
      <c r="AD337" s="233" t="str">
        <f>IFERROR(_xlfn.XLOOKUP($D337,'Modelling New'!$D:$D,'Modelling New'!T:T)*1000,"")</f>
        <v/>
      </c>
      <c r="AE337" s="243" t="str">
        <f>IFERROR(_xlfn.XLOOKUP($D337,'Modelling New'!$D:$D,'Modelling New'!$O:$O),"")</f>
        <v/>
      </c>
      <c r="AF337" s="243" t="str">
        <f>IFERROR(_xlfn.XLOOKUP($D337,'Modelling New'!$D:$D,'Modelling New'!$W:$W),"")</f>
        <v/>
      </c>
      <c r="AG337" s="243" t="str">
        <f>IFERROR(_xlfn.XLOOKUP($D337,'Modelling New'!$D:$D,'Modelling New'!$AE:$AE),"")</f>
        <v/>
      </c>
      <c r="AH337" s="243" t="str">
        <f>IFERROR(_xlfn.XLOOKUP($D337,'Modelling New'!$D:$D,'Modelling New'!$AF:$AF),"")</f>
        <v/>
      </c>
      <c r="AI337" s="234"/>
      <c r="AJ337" s="234"/>
      <c r="AK337" s="234"/>
      <c r="AL337" s="234"/>
      <c r="AM337" s="234"/>
      <c r="AN337" s="244"/>
      <c r="AO337" s="241"/>
      <c r="AP337" s="241"/>
      <c r="AQ337" s="241"/>
      <c r="AR337" s="233" t="e">
        <f>_xlfn.XLOOKUP($D337,'Modelling New'!$D:$D,'Modelling New'!$N:$N)</f>
        <v>#N/A</v>
      </c>
      <c r="AS337" s="233" t="str">
        <f t="shared" si="33"/>
        <v/>
      </c>
    </row>
    <row r="338" spans="1:45">
      <c r="A338" s="232">
        <f t="shared" si="34"/>
        <v>46175</v>
      </c>
      <c r="B338" s="233">
        <f>YEAR(Daily_KPI[[#This Row],[Date]])+IF(MONTH(Daily_KPI[[#This Row],[Date]])&gt;=4,1,0)</f>
        <v>2027</v>
      </c>
      <c r="C338" s="234">
        <f>YEAR(Daily_KPI[[#This Row],[Date]])</f>
        <v>2026</v>
      </c>
      <c r="D338" s="235">
        <f>Daily_KPI[[#This Row],[Date]]-DAY(Daily_KPI[[#This Row],[Date]])+1</f>
        <v>46174</v>
      </c>
      <c r="E338" s="234">
        <f t="shared" si="30"/>
        <v>30</v>
      </c>
      <c r="F338" s="236" t="str">
        <f>IFERROR(_xlfn.XLOOKUP($A338,Input_Raw!$A:$A,Input_Raw!$BM:$BM),"")</f>
        <v/>
      </c>
      <c r="G338" s="237" t="str">
        <f>IFERROR(_xlfn.XLOOKUP($A338,Input_Raw!$A:$A,Input_Raw!$AN:$AN),"")</f>
        <v/>
      </c>
      <c r="H338" s="237"/>
      <c r="I338" s="237" t="str">
        <f>IFERROR(_xlfn.XLOOKUP($A338,Input_Raw!$A:$A,Input_Raw!$AM:$AM),"")</f>
        <v/>
      </c>
      <c r="J338" s="237"/>
      <c r="K338" s="237" t="str">
        <f>IFERROR(_xlfn.XLOOKUP($A338,Input_Raw!$A:$A,Input_Raw!AO:AO),"")</f>
        <v/>
      </c>
      <c r="L338" s="237" t="str">
        <f>IFERROR(_xlfn.XLOOKUP($A338,Input_Raw!$A:$A,Input_Raw!AP:AP),"")</f>
        <v/>
      </c>
      <c r="M338" s="237" t="str">
        <f>IFERROR(_xlfn.XLOOKUP($A338,Input_Raw!$A:$A,Input_Raw!AS:AS),"")</f>
        <v/>
      </c>
      <c r="N338" s="237" t="str">
        <f>IFERROR(_xlfn.XLOOKUP($A338,Input_Raw!$A:$A,Input_Raw!AT:AT),"")</f>
        <v/>
      </c>
      <c r="O338" s="238" t="str">
        <f>IFERROR(1-(SUMIF(Plant_BD!$B:$B,$A338,Plant_BD!$AL:$AL)/($AA338+SUMIF(Plant_BD!$B:$B,$A338,Plant_BD!$AL:$AL))),"")</f>
        <v/>
      </c>
      <c r="P338" s="238"/>
      <c r="Q338" s="239"/>
      <c r="R338" s="238" t="str">
        <f>IFERROR(1-(SUMIF(Grid_BD!$B:$B,$A338,Grid_BD!$V:$V)/($AA338+SUMIF(Grid_BD!$B:$B,$A338,Grid_BD!$V:$V))),"")</f>
        <v/>
      </c>
      <c r="S338" s="234"/>
      <c r="T338" s="239"/>
      <c r="U338" s="240" t="str">
        <f t="shared" si="31"/>
        <v/>
      </c>
      <c r="V338" s="240" t="str">
        <f>IFERROR(_xlfn.XLOOKUP($A338,Input_Raw!$A:$A,Input_Raw!$BS:$BS),"")</f>
        <v/>
      </c>
      <c r="W338" s="241" t="str">
        <f t="shared" si="32"/>
        <v/>
      </c>
      <c r="X338" s="233" t="str">
        <f>IFERROR(_xlfn.XLOOKUP($A338,Input_Raw!$A:$A,Input_Raw!$AW:$AW),"")</f>
        <v/>
      </c>
      <c r="Y338" s="233" t="str">
        <f>IFERROR(_xlfn.XLOOKUP($A338,Input_Raw!$A:$A,Input_Raw!$BN:$BN),"")</f>
        <v/>
      </c>
      <c r="Z338" s="233"/>
      <c r="AA338" s="233" t="str">
        <f>IFERROR(_xlfn.XLOOKUP($A338,Input_Raw!$A:$A,Input_Raw!$BO:$BO),"")</f>
        <v/>
      </c>
      <c r="AB338" s="233" t="str">
        <f>IFERROR(_xlfn.XLOOKUP($A338,Input_Raw!$A:$A,Input_Raw!$BP:$BP),"")</f>
        <v/>
      </c>
      <c r="AC338" s="242" t="str">
        <f>IFERROR(_xlfn.XLOOKUP($D338,'Modelling New'!$D:$D,'Modelling New'!P:P),"")</f>
        <v/>
      </c>
      <c r="AD338" s="233" t="str">
        <f>IFERROR(_xlfn.XLOOKUP($D338,'Modelling New'!$D:$D,'Modelling New'!T:T)*1000,"")</f>
        <v/>
      </c>
      <c r="AE338" s="243" t="str">
        <f>IFERROR(_xlfn.XLOOKUP($D338,'Modelling New'!$D:$D,'Modelling New'!$O:$O),"")</f>
        <v/>
      </c>
      <c r="AF338" s="243" t="str">
        <f>IFERROR(_xlfn.XLOOKUP($D338,'Modelling New'!$D:$D,'Modelling New'!$W:$W),"")</f>
        <v/>
      </c>
      <c r="AG338" s="243" t="str">
        <f>IFERROR(_xlfn.XLOOKUP($D338,'Modelling New'!$D:$D,'Modelling New'!$AE:$AE),"")</f>
        <v/>
      </c>
      <c r="AH338" s="243" t="str">
        <f>IFERROR(_xlfn.XLOOKUP($D338,'Modelling New'!$D:$D,'Modelling New'!$AF:$AF),"")</f>
        <v/>
      </c>
      <c r="AI338" s="234"/>
      <c r="AJ338" s="234"/>
      <c r="AK338" s="234"/>
      <c r="AL338" s="234"/>
      <c r="AM338" s="234"/>
      <c r="AN338" s="244"/>
      <c r="AO338" s="241"/>
      <c r="AP338" s="241"/>
      <c r="AQ338" s="241"/>
      <c r="AR338" s="233" t="e">
        <f>_xlfn.XLOOKUP($D338,'Modelling New'!$D:$D,'Modelling New'!$N:$N)</f>
        <v>#N/A</v>
      </c>
      <c r="AS338" s="233" t="str">
        <f t="shared" si="33"/>
        <v/>
      </c>
    </row>
    <row r="339" spans="1:45">
      <c r="A339" s="232">
        <f t="shared" si="34"/>
        <v>46176</v>
      </c>
      <c r="B339" s="233">
        <f>YEAR(Daily_KPI[[#This Row],[Date]])+IF(MONTH(Daily_KPI[[#This Row],[Date]])&gt;=4,1,0)</f>
        <v>2027</v>
      </c>
      <c r="C339" s="234">
        <f>YEAR(Daily_KPI[[#This Row],[Date]])</f>
        <v>2026</v>
      </c>
      <c r="D339" s="235">
        <f>Daily_KPI[[#This Row],[Date]]-DAY(Daily_KPI[[#This Row],[Date]])+1</f>
        <v>46174</v>
      </c>
      <c r="E339" s="234">
        <f t="shared" si="30"/>
        <v>30</v>
      </c>
      <c r="F339" s="236" t="str">
        <f>IFERROR(_xlfn.XLOOKUP($A339,Input_Raw!$A:$A,Input_Raw!$BM:$BM),"")</f>
        <v/>
      </c>
      <c r="G339" s="237" t="str">
        <f>IFERROR(_xlfn.XLOOKUP($A339,Input_Raw!$A:$A,Input_Raw!$AN:$AN),"")</f>
        <v/>
      </c>
      <c r="H339" s="237"/>
      <c r="I339" s="237" t="str">
        <f>IFERROR(_xlfn.XLOOKUP($A339,Input_Raw!$A:$A,Input_Raw!$AM:$AM),"")</f>
        <v/>
      </c>
      <c r="J339" s="237"/>
      <c r="K339" s="237" t="str">
        <f>IFERROR(_xlfn.XLOOKUP($A339,Input_Raw!$A:$A,Input_Raw!AO:AO),"")</f>
        <v/>
      </c>
      <c r="L339" s="237" t="str">
        <f>IFERROR(_xlfn.XLOOKUP($A339,Input_Raw!$A:$A,Input_Raw!AP:AP),"")</f>
        <v/>
      </c>
      <c r="M339" s="237" t="str">
        <f>IFERROR(_xlfn.XLOOKUP($A339,Input_Raw!$A:$A,Input_Raw!AS:AS),"")</f>
        <v/>
      </c>
      <c r="N339" s="237" t="str">
        <f>IFERROR(_xlfn.XLOOKUP($A339,Input_Raw!$A:$A,Input_Raw!AT:AT),"")</f>
        <v/>
      </c>
      <c r="O339" s="238" t="str">
        <f>IFERROR(1-(SUMIF(Plant_BD!$B:$B,$A339,Plant_BD!$AL:$AL)/($AA339+SUMIF(Plant_BD!$B:$B,$A339,Plant_BD!$AL:$AL))),"")</f>
        <v/>
      </c>
      <c r="P339" s="238"/>
      <c r="Q339" s="239"/>
      <c r="R339" s="238" t="str">
        <f>IFERROR(1-(SUMIF(Grid_BD!$B:$B,$A339,Grid_BD!$V:$V)/($AA339+SUMIF(Grid_BD!$B:$B,$A339,Grid_BD!$V:$V))),"")</f>
        <v/>
      </c>
      <c r="S339" s="234"/>
      <c r="T339" s="239"/>
      <c r="U339" s="240" t="str">
        <f t="shared" si="31"/>
        <v/>
      </c>
      <c r="V339" s="240" t="str">
        <f>IFERROR(_xlfn.XLOOKUP($A339,Input_Raw!$A:$A,Input_Raw!$BS:$BS),"")</f>
        <v/>
      </c>
      <c r="W339" s="241" t="str">
        <f t="shared" si="32"/>
        <v/>
      </c>
      <c r="X339" s="233" t="str">
        <f>IFERROR(_xlfn.XLOOKUP($A339,Input_Raw!$A:$A,Input_Raw!$AW:$AW),"")</f>
        <v/>
      </c>
      <c r="Y339" s="233" t="str">
        <f>IFERROR(_xlfn.XLOOKUP($A339,Input_Raw!$A:$A,Input_Raw!$BN:$BN),"")</f>
        <v/>
      </c>
      <c r="Z339" s="233"/>
      <c r="AA339" s="233" t="str">
        <f>IFERROR(_xlfn.XLOOKUP($A339,Input_Raw!$A:$A,Input_Raw!$BO:$BO),"")</f>
        <v/>
      </c>
      <c r="AB339" s="233" t="str">
        <f>IFERROR(_xlfn.XLOOKUP($A339,Input_Raw!$A:$A,Input_Raw!$BP:$BP),"")</f>
        <v/>
      </c>
      <c r="AC339" s="242" t="str">
        <f>IFERROR(_xlfn.XLOOKUP($D339,'Modelling New'!$D:$D,'Modelling New'!P:P),"")</f>
        <v/>
      </c>
      <c r="AD339" s="233" t="str">
        <f>IFERROR(_xlfn.XLOOKUP($D339,'Modelling New'!$D:$D,'Modelling New'!T:T)*1000,"")</f>
        <v/>
      </c>
      <c r="AE339" s="243" t="str">
        <f>IFERROR(_xlfn.XLOOKUP($D339,'Modelling New'!$D:$D,'Modelling New'!$O:$O),"")</f>
        <v/>
      </c>
      <c r="AF339" s="243" t="str">
        <f>IFERROR(_xlfn.XLOOKUP($D339,'Modelling New'!$D:$D,'Modelling New'!$W:$W),"")</f>
        <v/>
      </c>
      <c r="AG339" s="243" t="str">
        <f>IFERROR(_xlfn.XLOOKUP($D339,'Modelling New'!$D:$D,'Modelling New'!$AE:$AE),"")</f>
        <v/>
      </c>
      <c r="AH339" s="243" t="str">
        <f>IFERROR(_xlfn.XLOOKUP($D339,'Modelling New'!$D:$D,'Modelling New'!$AF:$AF),"")</f>
        <v/>
      </c>
      <c r="AI339" s="234"/>
      <c r="AJ339" s="234"/>
      <c r="AK339" s="234"/>
      <c r="AL339" s="234"/>
      <c r="AM339" s="234"/>
      <c r="AN339" s="244"/>
      <c r="AO339" s="241"/>
      <c r="AP339" s="241"/>
      <c r="AQ339" s="241"/>
      <c r="AR339" s="233" t="e">
        <f>_xlfn.XLOOKUP($D339,'Modelling New'!$D:$D,'Modelling New'!$N:$N)</f>
        <v>#N/A</v>
      </c>
      <c r="AS339" s="233" t="str">
        <f t="shared" si="33"/>
        <v/>
      </c>
    </row>
    <row r="340" spans="1:45">
      <c r="A340" s="232">
        <f t="shared" si="34"/>
        <v>46177</v>
      </c>
      <c r="B340" s="233">
        <f>YEAR(Daily_KPI[[#This Row],[Date]])+IF(MONTH(Daily_KPI[[#This Row],[Date]])&gt;=4,1,0)</f>
        <v>2027</v>
      </c>
      <c r="C340" s="234">
        <f>YEAR(Daily_KPI[[#This Row],[Date]])</f>
        <v>2026</v>
      </c>
      <c r="D340" s="235">
        <f>Daily_KPI[[#This Row],[Date]]-DAY(Daily_KPI[[#This Row],[Date]])+1</f>
        <v>46174</v>
      </c>
      <c r="E340" s="234">
        <f t="shared" si="30"/>
        <v>30</v>
      </c>
      <c r="F340" s="236" t="str">
        <f>IFERROR(_xlfn.XLOOKUP($A340,Input_Raw!$A:$A,Input_Raw!$BM:$BM),"")</f>
        <v/>
      </c>
      <c r="G340" s="237" t="str">
        <f>IFERROR(_xlfn.XLOOKUP($A340,Input_Raw!$A:$A,Input_Raw!$AN:$AN),"")</f>
        <v/>
      </c>
      <c r="H340" s="237"/>
      <c r="I340" s="237" t="str">
        <f>IFERROR(_xlfn.XLOOKUP($A340,Input_Raw!$A:$A,Input_Raw!$AM:$AM),"")</f>
        <v/>
      </c>
      <c r="J340" s="237"/>
      <c r="K340" s="237" t="str">
        <f>IFERROR(_xlfn.XLOOKUP($A340,Input_Raw!$A:$A,Input_Raw!AO:AO),"")</f>
        <v/>
      </c>
      <c r="L340" s="237" t="str">
        <f>IFERROR(_xlfn.XLOOKUP($A340,Input_Raw!$A:$A,Input_Raw!AP:AP),"")</f>
        <v/>
      </c>
      <c r="M340" s="237" t="str">
        <f>IFERROR(_xlfn.XLOOKUP($A340,Input_Raw!$A:$A,Input_Raw!AS:AS),"")</f>
        <v/>
      </c>
      <c r="N340" s="237" t="str">
        <f>IFERROR(_xlfn.XLOOKUP($A340,Input_Raw!$A:$A,Input_Raw!AT:AT),"")</f>
        <v/>
      </c>
      <c r="O340" s="238" t="str">
        <f>IFERROR(1-(SUMIF(Plant_BD!$B:$B,$A340,Plant_BD!$AL:$AL)/($AA340+SUMIF(Plant_BD!$B:$B,$A340,Plant_BD!$AL:$AL))),"")</f>
        <v/>
      </c>
      <c r="P340" s="238"/>
      <c r="Q340" s="239"/>
      <c r="R340" s="238" t="str">
        <f>IFERROR(1-(SUMIF(Grid_BD!$B:$B,$A340,Grid_BD!$V:$V)/($AA340+SUMIF(Grid_BD!$B:$B,$A340,Grid_BD!$V:$V))),"")</f>
        <v/>
      </c>
      <c r="S340" s="234"/>
      <c r="T340" s="239"/>
      <c r="U340" s="240" t="str">
        <f t="shared" si="31"/>
        <v/>
      </c>
      <c r="V340" s="240" t="str">
        <f>IFERROR(_xlfn.XLOOKUP($A340,Input_Raw!$A:$A,Input_Raw!$BS:$BS),"")</f>
        <v/>
      </c>
      <c r="W340" s="241" t="str">
        <f t="shared" si="32"/>
        <v/>
      </c>
      <c r="X340" s="233" t="str">
        <f>IFERROR(_xlfn.XLOOKUP($A340,Input_Raw!$A:$A,Input_Raw!$AW:$AW),"")</f>
        <v/>
      </c>
      <c r="Y340" s="233" t="str">
        <f>IFERROR(_xlfn.XLOOKUP($A340,Input_Raw!$A:$A,Input_Raw!$BN:$BN),"")</f>
        <v/>
      </c>
      <c r="Z340" s="233"/>
      <c r="AA340" s="233" t="str">
        <f>IFERROR(_xlfn.XLOOKUP($A340,Input_Raw!$A:$A,Input_Raw!$BO:$BO),"")</f>
        <v/>
      </c>
      <c r="AB340" s="233" t="str">
        <f>IFERROR(_xlfn.XLOOKUP($A340,Input_Raw!$A:$A,Input_Raw!$BP:$BP),"")</f>
        <v/>
      </c>
      <c r="AC340" s="242" t="str">
        <f>IFERROR(_xlfn.XLOOKUP($D340,'Modelling New'!$D:$D,'Modelling New'!P:P),"")</f>
        <v/>
      </c>
      <c r="AD340" s="233" t="str">
        <f>IFERROR(_xlfn.XLOOKUP($D340,'Modelling New'!$D:$D,'Modelling New'!T:T)*1000,"")</f>
        <v/>
      </c>
      <c r="AE340" s="243" t="str">
        <f>IFERROR(_xlfn.XLOOKUP($D340,'Modelling New'!$D:$D,'Modelling New'!$O:$O),"")</f>
        <v/>
      </c>
      <c r="AF340" s="243" t="str">
        <f>IFERROR(_xlfn.XLOOKUP($D340,'Modelling New'!$D:$D,'Modelling New'!$W:$W),"")</f>
        <v/>
      </c>
      <c r="AG340" s="243" t="str">
        <f>IFERROR(_xlfn.XLOOKUP($D340,'Modelling New'!$D:$D,'Modelling New'!$AE:$AE),"")</f>
        <v/>
      </c>
      <c r="AH340" s="243" t="str">
        <f>IFERROR(_xlfn.XLOOKUP($D340,'Modelling New'!$D:$D,'Modelling New'!$AF:$AF),"")</f>
        <v/>
      </c>
      <c r="AI340" s="234"/>
      <c r="AJ340" s="234"/>
      <c r="AK340" s="234"/>
      <c r="AL340" s="234"/>
      <c r="AM340" s="234"/>
      <c r="AN340" s="244"/>
      <c r="AO340" s="241"/>
      <c r="AP340" s="241"/>
      <c r="AQ340" s="241"/>
      <c r="AR340" s="233" t="e">
        <f>_xlfn.XLOOKUP($D340,'Modelling New'!$D:$D,'Modelling New'!$N:$N)</f>
        <v>#N/A</v>
      </c>
      <c r="AS340" s="233" t="str">
        <f t="shared" si="33"/>
        <v/>
      </c>
    </row>
    <row r="341" spans="1:45">
      <c r="A341" s="232">
        <f t="shared" si="34"/>
        <v>46178</v>
      </c>
      <c r="B341" s="233">
        <f>YEAR(Daily_KPI[[#This Row],[Date]])+IF(MONTH(Daily_KPI[[#This Row],[Date]])&gt;=4,1,0)</f>
        <v>2027</v>
      </c>
      <c r="C341" s="234">
        <f>YEAR(Daily_KPI[[#This Row],[Date]])</f>
        <v>2026</v>
      </c>
      <c r="D341" s="235">
        <f>Daily_KPI[[#This Row],[Date]]-DAY(Daily_KPI[[#This Row],[Date]])+1</f>
        <v>46174</v>
      </c>
      <c r="E341" s="234">
        <f t="shared" si="30"/>
        <v>30</v>
      </c>
      <c r="F341" s="236" t="str">
        <f>IFERROR(_xlfn.XLOOKUP($A341,Input_Raw!$A:$A,Input_Raw!$BM:$BM),"")</f>
        <v/>
      </c>
      <c r="G341" s="237" t="str">
        <f>IFERROR(_xlfn.XLOOKUP($A341,Input_Raw!$A:$A,Input_Raw!$AN:$AN),"")</f>
        <v/>
      </c>
      <c r="H341" s="237"/>
      <c r="I341" s="237" t="str">
        <f>IFERROR(_xlfn.XLOOKUP($A341,Input_Raw!$A:$A,Input_Raw!$AM:$AM),"")</f>
        <v/>
      </c>
      <c r="J341" s="237"/>
      <c r="K341" s="237" t="str">
        <f>IFERROR(_xlfn.XLOOKUP($A341,Input_Raw!$A:$A,Input_Raw!AO:AO),"")</f>
        <v/>
      </c>
      <c r="L341" s="237" t="str">
        <f>IFERROR(_xlfn.XLOOKUP($A341,Input_Raw!$A:$A,Input_Raw!AP:AP),"")</f>
        <v/>
      </c>
      <c r="M341" s="237" t="str">
        <f>IFERROR(_xlfn.XLOOKUP($A341,Input_Raw!$A:$A,Input_Raw!AS:AS),"")</f>
        <v/>
      </c>
      <c r="N341" s="237" t="str">
        <f>IFERROR(_xlfn.XLOOKUP($A341,Input_Raw!$A:$A,Input_Raw!AT:AT),"")</f>
        <v/>
      </c>
      <c r="O341" s="238" t="str">
        <f>IFERROR(1-(SUMIF(Plant_BD!$B:$B,$A341,Plant_BD!$AL:$AL)/($AA341+SUMIF(Plant_BD!$B:$B,$A341,Plant_BD!$AL:$AL))),"")</f>
        <v/>
      </c>
      <c r="P341" s="238"/>
      <c r="Q341" s="239"/>
      <c r="R341" s="238" t="str">
        <f>IFERROR(1-(SUMIF(Grid_BD!$B:$B,$A341,Grid_BD!$V:$V)/($AA341+SUMIF(Grid_BD!$B:$B,$A341,Grid_BD!$V:$V))),"")</f>
        <v/>
      </c>
      <c r="S341" s="234"/>
      <c r="T341" s="239"/>
      <c r="U341" s="240" t="str">
        <f t="shared" si="31"/>
        <v/>
      </c>
      <c r="V341" s="240" t="str">
        <f>IFERROR(_xlfn.XLOOKUP($A341,Input_Raw!$A:$A,Input_Raw!$BS:$BS),"")</f>
        <v/>
      </c>
      <c r="W341" s="241" t="str">
        <f t="shared" si="32"/>
        <v/>
      </c>
      <c r="X341" s="233" t="str">
        <f>IFERROR(_xlfn.XLOOKUP($A341,Input_Raw!$A:$A,Input_Raw!$AW:$AW),"")</f>
        <v/>
      </c>
      <c r="Y341" s="233" t="str">
        <f>IFERROR(_xlfn.XLOOKUP($A341,Input_Raw!$A:$A,Input_Raw!$BN:$BN),"")</f>
        <v/>
      </c>
      <c r="Z341" s="233"/>
      <c r="AA341" s="233" t="str">
        <f>IFERROR(_xlfn.XLOOKUP($A341,Input_Raw!$A:$A,Input_Raw!$BO:$BO),"")</f>
        <v/>
      </c>
      <c r="AB341" s="233" t="str">
        <f>IFERROR(_xlfn.XLOOKUP($A341,Input_Raw!$A:$A,Input_Raw!$BP:$BP),"")</f>
        <v/>
      </c>
      <c r="AC341" s="242" t="str">
        <f>IFERROR(_xlfn.XLOOKUP($D341,'Modelling New'!$D:$D,'Modelling New'!P:P),"")</f>
        <v/>
      </c>
      <c r="AD341" s="233" t="str">
        <f>IFERROR(_xlfn.XLOOKUP($D341,'Modelling New'!$D:$D,'Modelling New'!T:T)*1000,"")</f>
        <v/>
      </c>
      <c r="AE341" s="243" t="str">
        <f>IFERROR(_xlfn.XLOOKUP($D341,'Modelling New'!$D:$D,'Modelling New'!$O:$O),"")</f>
        <v/>
      </c>
      <c r="AF341" s="243" t="str">
        <f>IFERROR(_xlfn.XLOOKUP($D341,'Modelling New'!$D:$D,'Modelling New'!$W:$W),"")</f>
        <v/>
      </c>
      <c r="AG341" s="243" t="str">
        <f>IFERROR(_xlfn.XLOOKUP($D341,'Modelling New'!$D:$D,'Modelling New'!$AE:$AE),"")</f>
        <v/>
      </c>
      <c r="AH341" s="243" t="str">
        <f>IFERROR(_xlfn.XLOOKUP($D341,'Modelling New'!$D:$D,'Modelling New'!$AF:$AF),"")</f>
        <v/>
      </c>
      <c r="AI341" s="234"/>
      <c r="AJ341" s="234"/>
      <c r="AK341" s="234"/>
      <c r="AL341" s="234"/>
      <c r="AM341" s="234"/>
      <c r="AN341" s="244"/>
      <c r="AO341" s="241"/>
      <c r="AP341" s="241"/>
      <c r="AQ341" s="241"/>
      <c r="AR341" s="233" t="e">
        <f>_xlfn.XLOOKUP($D341,'Modelling New'!$D:$D,'Modelling New'!$N:$N)</f>
        <v>#N/A</v>
      </c>
      <c r="AS341" s="233" t="str">
        <f t="shared" si="33"/>
        <v/>
      </c>
    </row>
    <row r="342" spans="1:45">
      <c r="A342" s="232">
        <f t="shared" si="34"/>
        <v>46179</v>
      </c>
      <c r="B342" s="233">
        <f>YEAR(Daily_KPI[[#This Row],[Date]])+IF(MONTH(Daily_KPI[[#This Row],[Date]])&gt;=4,1,0)</f>
        <v>2027</v>
      </c>
      <c r="C342" s="234">
        <f>YEAR(Daily_KPI[[#This Row],[Date]])</f>
        <v>2026</v>
      </c>
      <c r="D342" s="235">
        <f>Daily_KPI[[#This Row],[Date]]-DAY(Daily_KPI[[#This Row],[Date]])+1</f>
        <v>46174</v>
      </c>
      <c r="E342" s="234">
        <f t="shared" si="30"/>
        <v>30</v>
      </c>
      <c r="F342" s="236" t="str">
        <f>IFERROR(_xlfn.XLOOKUP($A342,Input_Raw!$A:$A,Input_Raw!$BM:$BM),"")</f>
        <v/>
      </c>
      <c r="G342" s="237" t="str">
        <f>IFERROR(_xlfn.XLOOKUP($A342,Input_Raw!$A:$A,Input_Raw!$AN:$AN),"")</f>
        <v/>
      </c>
      <c r="H342" s="237"/>
      <c r="I342" s="237" t="str">
        <f>IFERROR(_xlfn.XLOOKUP($A342,Input_Raw!$A:$A,Input_Raw!$AM:$AM),"")</f>
        <v/>
      </c>
      <c r="J342" s="237"/>
      <c r="K342" s="237" t="str">
        <f>IFERROR(_xlfn.XLOOKUP($A342,Input_Raw!$A:$A,Input_Raw!AO:AO),"")</f>
        <v/>
      </c>
      <c r="L342" s="237" t="str">
        <f>IFERROR(_xlfn.XLOOKUP($A342,Input_Raw!$A:$A,Input_Raw!AP:AP),"")</f>
        <v/>
      </c>
      <c r="M342" s="237" t="str">
        <f>IFERROR(_xlfn.XLOOKUP($A342,Input_Raw!$A:$A,Input_Raw!AS:AS),"")</f>
        <v/>
      </c>
      <c r="N342" s="237" t="str">
        <f>IFERROR(_xlfn.XLOOKUP($A342,Input_Raw!$A:$A,Input_Raw!AT:AT),"")</f>
        <v/>
      </c>
      <c r="O342" s="238" t="str">
        <f>IFERROR(1-(SUMIF(Plant_BD!$B:$B,$A342,Plant_BD!$AL:$AL)/($AA342+SUMIF(Plant_BD!$B:$B,$A342,Plant_BD!$AL:$AL))),"")</f>
        <v/>
      </c>
      <c r="P342" s="238"/>
      <c r="Q342" s="239"/>
      <c r="R342" s="238" t="str">
        <f>IFERROR(1-(SUMIF(Grid_BD!$B:$B,$A342,Grid_BD!$V:$V)/($AA342+SUMIF(Grid_BD!$B:$B,$A342,Grid_BD!$V:$V))),"")</f>
        <v/>
      </c>
      <c r="S342" s="234"/>
      <c r="T342" s="239"/>
      <c r="U342" s="240" t="str">
        <f t="shared" si="31"/>
        <v/>
      </c>
      <c r="V342" s="240" t="str">
        <f>IFERROR(_xlfn.XLOOKUP($A342,Input_Raw!$A:$A,Input_Raw!$BS:$BS),"")</f>
        <v/>
      </c>
      <c r="W342" s="241" t="str">
        <f t="shared" si="32"/>
        <v/>
      </c>
      <c r="X342" s="233" t="str">
        <f>IFERROR(_xlfn.XLOOKUP($A342,Input_Raw!$A:$A,Input_Raw!$AW:$AW),"")</f>
        <v/>
      </c>
      <c r="Y342" s="233" t="str">
        <f>IFERROR(_xlfn.XLOOKUP($A342,Input_Raw!$A:$A,Input_Raw!$BN:$BN),"")</f>
        <v/>
      </c>
      <c r="Z342" s="233"/>
      <c r="AA342" s="233" t="str">
        <f>IFERROR(_xlfn.XLOOKUP($A342,Input_Raw!$A:$A,Input_Raw!$BO:$BO),"")</f>
        <v/>
      </c>
      <c r="AB342" s="233" t="str">
        <f>IFERROR(_xlfn.XLOOKUP($A342,Input_Raw!$A:$A,Input_Raw!$BP:$BP),"")</f>
        <v/>
      </c>
      <c r="AC342" s="242" t="str">
        <f>IFERROR(_xlfn.XLOOKUP($D342,'Modelling New'!$D:$D,'Modelling New'!P:P),"")</f>
        <v/>
      </c>
      <c r="AD342" s="233" t="str">
        <f>IFERROR(_xlfn.XLOOKUP($D342,'Modelling New'!$D:$D,'Modelling New'!T:T)*1000,"")</f>
        <v/>
      </c>
      <c r="AE342" s="243" t="str">
        <f>IFERROR(_xlfn.XLOOKUP($D342,'Modelling New'!$D:$D,'Modelling New'!$O:$O),"")</f>
        <v/>
      </c>
      <c r="AF342" s="243" t="str">
        <f>IFERROR(_xlfn.XLOOKUP($D342,'Modelling New'!$D:$D,'Modelling New'!$W:$W),"")</f>
        <v/>
      </c>
      <c r="AG342" s="243" t="str">
        <f>IFERROR(_xlfn.XLOOKUP($D342,'Modelling New'!$D:$D,'Modelling New'!$AE:$AE),"")</f>
        <v/>
      </c>
      <c r="AH342" s="243" t="str">
        <f>IFERROR(_xlfn.XLOOKUP($D342,'Modelling New'!$D:$D,'Modelling New'!$AF:$AF),"")</f>
        <v/>
      </c>
      <c r="AI342" s="234"/>
      <c r="AJ342" s="234"/>
      <c r="AK342" s="234"/>
      <c r="AL342" s="234"/>
      <c r="AM342" s="234"/>
      <c r="AN342" s="244"/>
      <c r="AO342" s="241"/>
      <c r="AP342" s="241"/>
      <c r="AQ342" s="241"/>
      <c r="AR342" s="233" t="e">
        <f>_xlfn.XLOOKUP($D342,'Modelling New'!$D:$D,'Modelling New'!$N:$N)</f>
        <v>#N/A</v>
      </c>
      <c r="AS342" s="233" t="str">
        <f t="shared" si="33"/>
        <v/>
      </c>
    </row>
    <row r="343" spans="1:45">
      <c r="A343" s="232">
        <f t="shared" si="34"/>
        <v>46180</v>
      </c>
      <c r="B343" s="233">
        <f>YEAR(Daily_KPI[[#This Row],[Date]])+IF(MONTH(Daily_KPI[[#This Row],[Date]])&gt;=4,1,0)</f>
        <v>2027</v>
      </c>
      <c r="C343" s="234">
        <f>YEAR(Daily_KPI[[#This Row],[Date]])</f>
        <v>2026</v>
      </c>
      <c r="D343" s="235">
        <f>Daily_KPI[[#This Row],[Date]]-DAY(Daily_KPI[[#This Row],[Date]])+1</f>
        <v>46174</v>
      </c>
      <c r="E343" s="234">
        <f t="shared" si="30"/>
        <v>30</v>
      </c>
      <c r="F343" s="236" t="str">
        <f>IFERROR(_xlfn.XLOOKUP($A343,Input_Raw!$A:$A,Input_Raw!$BM:$BM),"")</f>
        <v/>
      </c>
      <c r="G343" s="237" t="str">
        <f>IFERROR(_xlfn.XLOOKUP($A343,Input_Raw!$A:$A,Input_Raw!$AN:$AN),"")</f>
        <v/>
      </c>
      <c r="H343" s="237"/>
      <c r="I343" s="237" t="str">
        <f>IFERROR(_xlfn.XLOOKUP($A343,Input_Raw!$A:$A,Input_Raw!$AM:$AM),"")</f>
        <v/>
      </c>
      <c r="J343" s="237"/>
      <c r="K343" s="237" t="str">
        <f>IFERROR(_xlfn.XLOOKUP($A343,Input_Raw!$A:$A,Input_Raw!AO:AO),"")</f>
        <v/>
      </c>
      <c r="L343" s="237" t="str">
        <f>IFERROR(_xlfn.XLOOKUP($A343,Input_Raw!$A:$A,Input_Raw!AP:AP),"")</f>
        <v/>
      </c>
      <c r="M343" s="237" t="str">
        <f>IFERROR(_xlfn.XLOOKUP($A343,Input_Raw!$A:$A,Input_Raw!AS:AS),"")</f>
        <v/>
      </c>
      <c r="N343" s="237" t="str">
        <f>IFERROR(_xlfn.XLOOKUP($A343,Input_Raw!$A:$A,Input_Raw!AT:AT),"")</f>
        <v/>
      </c>
      <c r="O343" s="238" t="str">
        <f>IFERROR(1-(SUMIF(Plant_BD!$B:$B,$A343,Plant_BD!$AL:$AL)/($AA343+SUMIF(Plant_BD!$B:$B,$A343,Plant_BD!$AL:$AL))),"")</f>
        <v/>
      </c>
      <c r="P343" s="238"/>
      <c r="Q343" s="239"/>
      <c r="R343" s="238" t="str">
        <f>IFERROR(1-(SUMIF(Grid_BD!$B:$B,$A343,Grid_BD!$V:$V)/($AA343+SUMIF(Grid_BD!$B:$B,$A343,Grid_BD!$V:$V))),"")</f>
        <v/>
      </c>
      <c r="S343" s="234"/>
      <c r="T343" s="239"/>
      <c r="U343" s="240" t="str">
        <f t="shared" si="31"/>
        <v/>
      </c>
      <c r="V343" s="240" t="str">
        <f>IFERROR(_xlfn.XLOOKUP($A343,Input_Raw!$A:$A,Input_Raw!$BS:$BS),"")</f>
        <v/>
      </c>
      <c r="W343" s="241" t="str">
        <f t="shared" si="32"/>
        <v/>
      </c>
      <c r="X343" s="233" t="str">
        <f>IFERROR(_xlfn.XLOOKUP($A343,Input_Raw!$A:$A,Input_Raw!$AW:$AW),"")</f>
        <v/>
      </c>
      <c r="Y343" s="233" t="str">
        <f>IFERROR(_xlfn.XLOOKUP($A343,Input_Raw!$A:$A,Input_Raw!$BN:$BN),"")</f>
        <v/>
      </c>
      <c r="Z343" s="233"/>
      <c r="AA343" s="233" t="str">
        <f>IFERROR(_xlfn.XLOOKUP($A343,Input_Raw!$A:$A,Input_Raw!$BO:$BO),"")</f>
        <v/>
      </c>
      <c r="AB343" s="233" t="str">
        <f>IFERROR(_xlfn.XLOOKUP($A343,Input_Raw!$A:$A,Input_Raw!$BP:$BP),"")</f>
        <v/>
      </c>
      <c r="AC343" s="242" t="str">
        <f>IFERROR(_xlfn.XLOOKUP($D343,'Modelling New'!$D:$D,'Modelling New'!P:P),"")</f>
        <v/>
      </c>
      <c r="AD343" s="233" t="str">
        <f>IFERROR(_xlfn.XLOOKUP($D343,'Modelling New'!$D:$D,'Modelling New'!T:T)*1000,"")</f>
        <v/>
      </c>
      <c r="AE343" s="243" t="str">
        <f>IFERROR(_xlfn.XLOOKUP($D343,'Modelling New'!$D:$D,'Modelling New'!$O:$O),"")</f>
        <v/>
      </c>
      <c r="AF343" s="243" t="str">
        <f>IFERROR(_xlfn.XLOOKUP($D343,'Modelling New'!$D:$D,'Modelling New'!$W:$W),"")</f>
        <v/>
      </c>
      <c r="AG343" s="243" t="str">
        <f>IFERROR(_xlfn.XLOOKUP($D343,'Modelling New'!$D:$D,'Modelling New'!$AE:$AE),"")</f>
        <v/>
      </c>
      <c r="AH343" s="243" t="str">
        <f>IFERROR(_xlfn.XLOOKUP($D343,'Modelling New'!$D:$D,'Modelling New'!$AF:$AF),"")</f>
        <v/>
      </c>
      <c r="AI343" s="234"/>
      <c r="AJ343" s="234"/>
      <c r="AK343" s="234"/>
      <c r="AL343" s="234"/>
      <c r="AM343" s="234"/>
      <c r="AN343" s="244"/>
      <c r="AO343" s="241"/>
      <c r="AP343" s="241"/>
      <c r="AQ343" s="241"/>
      <c r="AR343" s="233" t="e">
        <f>_xlfn.XLOOKUP($D343,'Modelling New'!$D:$D,'Modelling New'!$N:$N)</f>
        <v>#N/A</v>
      </c>
      <c r="AS343" s="233" t="str">
        <f t="shared" si="33"/>
        <v/>
      </c>
    </row>
    <row r="344" spans="1:45">
      <c r="A344" s="232">
        <f t="shared" si="34"/>
        <v>46181</v>
      </c>
      <c r="B344" s="233">
        <f>YEAR(Daily_KPI[[#This Row],[Date]])+IF(MONTH(Daily_KPI[[#This Row],[Date]])&gt;=4,1,0)</f>
        <v>2027</v>
      </c>
      <c r="C344" s="234">
        <f>YEAR(Daily_KPI[[#This Row],[Date]])</f>
        <v>2026</v>
      </c>
      <c r="D344" s="235">
        <f>Daily_KPI[[#This Row],[Date]]-DAY(Daily_KPI[[#This Row],[Date]])+1</f>
        <v>46174</v>
      </c>
      <c r="E344" s="234">
        <f t="shared" si="30"/>
        <v>30</v>
      </c>
      <c r="F344" s="236" t="str">
        <f>IFERROR(_xlfn.XLOOKUP($A344,Input_Raw!$A:$A,Input_Raw!$BM:$BM),"")</f>
        <v/>
      </c>
      <c r="G344" s="237" t="str">
        <f>IFERROR(_xlfn.XLOOKUP($A344,Input_Raw!$A:$A,Input_Raw!$AN:$AN),"")</f>
        <v/>
      </c>
      <c r="H344" s="237"/>
      <c r="I344" s="237" t="str">
        <f>IFERROR(_xlfn.XLOOKUP($A344,Input_Raw!$A:$A,Input_Raw!$AM:$AM),"")</f>
        <v/>
      </c>
      <c r="J344" s="237"/>
      <c r="K344" s="237" t="str">
        <f>IFERROR(_xlfn.XLOOKUP($A344,Input_Raw!$A:$A,Input_Raw!AO:AO),"")</f>
        <v/>
      </c>
      <c r="L344" s="237" t="str">
        <f>IFERROR(_xlfn.XLOOKUP($A344,Input_Raw!$A:$A,Input_Raw!AP:AP),"")</f>
        <v/>
      </c>
      <c r="M344" s="237" t="str">
        <f>IFERROR(_xlfn.XLOOKUP($A344,Input_Raw!$A:$A,Input_Raw!AS:AS),"")</f>
        <v/>
      </c>
      <c r="N344" s="237" t="str">
        <f>IFERROR(_xlfn.XLOOKUP($A344,Input_Raw!$A:$A,Input_Raw!AT:AT),"")</f>
        <v/>
      </c>
      <c r="O344" s="238" t="str">
        <f>IFERROR(1-(SUMIF(Plant_BD!$B:$B,$A344,Plant_BD!$AL:$AL)/($AA344+SUMIF(Plant_BD!$B:$B,$A344,Plant_BD!$AL:$AL))),"")</f>
        <v/>
      </c>
      <c r="P344" s="238"/>
      <c r="Q344" s="239"/>
      <c r="R344" s="238" t="str">
        <f>IFERROR(1-(SUMIF(Grid_BD!$B:$B,$A344,Grid_BD!$V:$V)/($AA344+SUMIF(Grid_BD!$B:$B,$A344,Grid_BD!$V:$V))),"")</f>
        <v/>
      </c>
      <c r="S344" s="234"/>
      <c r="T344" s="239"/>
      <c r="U344" s="240" t="str">
        <f t="shared" si="31"/>
        <v/>
      </c>
      <c r="V344" s="240" t="str">
        <f>IFERROR(_xlfn.XLOOKUP($A344,Input_Raw!$A:$A,Input_Raw!$BS:$BS),"")</f>
        <v/>
      </c>
      <c r="W344" s="241" t="str">
        <f t="shared" si="32"/>
        <v/>
      </c>
      <c r="X344" s="233" t="str">
        <f>IFERROR(_xlfn.XLOOKUP($A344,Input_Raw!$A:$A,Input_Raw!$AW:$AW),"")</f>
        <v/>
      </c>
      <c r="Y344" s="233" t="str">
        <f>IFERROR(_xlfn.XLOOKUP($A344,Input_Raw!$A:$A,Input_Raw!$BN:$BN),"")</f>
        <v/>
      </c>
      <c r="Z344" s="233"/>
      <c r="AA344" s="233" t="str">
        <f>IFERROR(_xlfn.XLOOKUP($A344,Input_Raw!$A:$A,Input_Raw!$BO:$BO),"")</f>
        <v/>
      </c>
      <c r="AB344" s="233" t="str">
        <f>IFERROR(_xlfn.XLOOKUP($A344,Input_Raw!$A:$A,Input_Raw!$BP:$BP),"")</f>
        <v/>
      </c>
      <c r="AC344" s="242" t="str">
        <f>IFERROR(_xlfn.XLOOKUP($D344,'Modelling New'!$D:$D,'Modelling New'!P:P),"")</f>
        <v/>
      </c>
      <c r="AD344" s="233" t="str">
        <f>IFERROR(_xlfn.XLOOKUP($D344,'Modelling New'!$D:$D,'Modelling New'!T:T)*1000,"")</f>
        <v/>
      </c>
      <c r="AE344" s="243" t="str">
        <f>IFERROR(_xlfn.XLOOKUP($D344,'Modelling New'!$D:$D,'Modelling New'!$O:$O),"")</f>
        <v/>
      </c>
      <c r="AF344" s="243" t="str">
        <f>IFERROR(_xlfn.XLOOKUP($D344,'Modelling New'!$D:$D,'Modelling New'!$W:$W),"")</f>
        <v/>
      </c>
      <c r="AG344" s="243" t="str">
        <f>IFERROR(_xlfn.XLOOKUP($D344,'Modelling New'!$D:$D,'Modelling New'!$AE:$AE),"")</f>
        <v/>
      </c>
      <c r="AH344" s="243" t="str">
        <f>IFERROR(_xlfn.XLOOKUP($D344,'Modelling New'!$D:$D,'Modelling New'!$AF:$AF),"")</f>
        <v/>
      </c>
      <c r="AI344" s="234"/>
      <c r="AJ344" s="234"/>
      <c r="AK344" s="234"/>
      <c r="AL344" s="234"/>
      <c r="AM344" s="234"/>
      <c r="AN344" s="244"/>
      <c r="AO344" s="241"/>
      <c r="AP344" s="241"/>
      <c r="AQ344" s="241"/>
      <c r="AR344" s="233" t="e">
        <f>_xlfn.XLOOKUP($D344,'Modelling New'!$D:$D,'Modelling New'!$N:$N)</f>
        <v>#N/A</v>
      </c>
      <c r="AS344" s="233" t="str">
        <f t="shared" si="33"/>
        <v/>
      </c>
    </row>
    <row r="345" spans="1:45">
      <c r="A345" s="232">
        <f t="shared" si="34"/>
        <v>46182</v>
      </c>
      <c r="B345" s="233">
        <f>YEAR(Daily_KPI[[#This Row],[Date]])+IF(MONTH(Daily_KPI[[#This Row],[Date]])&gt;=4,1,0)</f>
        <v>2027</v>
      </c>
      <c r="C345" s="234">
        <f>YEAR(Daily_KPI[[#This Row],[Date]])</f>
        <v>2026</v>
      </c>
      <c r="D345" s="235">
        <f>Daily_KPI[[#This Row],[Date]]-DAY(Daily_KPI[[#This Row],[Date]])+1</f>
        <v>46174</v>
      </c>
      <c r="E345" s="234">
        <f t="shared" si="30"/>
        <v>30</v>
      </c>
      <c r="F345" s="236" t="str">
        <f>IFERROR(_xlfn.XLOOKUP($A345,Input_Raw!$A:$A,Input_Raw!$BM:$BM),"")</f>
        <v/>
      </c>
      <c r="G345" s="237" t="str">
        <f>IFERROR(_xlfn.XLOOKUP($A345,Input_Raw!$A:$A,Input_Raw!$AN:$AN),"")</f>
        <v/>
      </c>
      <c r="H345" s="237"/>
      <c r="I345" s="237" t="str">
        <f>IFERROR(_xlfn.XLOOKUP($A345,Input_Raw!$A:$A,Input_Raw!$AM:$AM),"")</f>
        <v/>
      </c>
      <c r="J345" s="237"/>
      <c r="K345" s="237" t="str">
        <f>IFERROR(_xlfn.XLOOKUP($A345,Input_Raw!$A:$A,Input_Raw!AO:AO),"")</f>
        <v/>
      </c>
      <c r="L345" s="237" t="str">
        <f>IFERROR(_xlfn.XLOOKUP($A345,Input_Raw!$A:$A,Input_Raw!AP:AP),"")</f>
        <v/>
      </c>
      <c r="M345" s="237" t="str">
        <f>IFERROR(_xlfn.XLOOKUP($A345,Input_Raw!$A:$A,Input_Raw!AS:AS),"")</f>
        <v/>
      </c>
      <c r="N345" s="237" t="str">
        <f>IFERROR(_xlfn.XLOOKUP($A345,Input_Raw!$A:$A,Input_Raw!AT:AT),"")</f>
        <v/>
      </c>
      <c r="O345" s="238" t="str">
        <f>IFERROR(1-(SUMIF(Plant_BD!$B:$B,$A345,Plant_BD!$AL:$AL)/($AA345+SUMIF(Plant_BD!$B:$B,$A345,Plant_BD!$AL:$AL))),"")</f>
        <v/>
      </c>
      <c r="P345" s="238"/>
      <c r="Q345" s="239"/>
      <c r="R345" s="238" t="str">
        <f>IFERROR(1-(SUMIF(Grid_BD!$B:$B,$A345,Grid_BD!$V:$V)/($AA345+SUMIF(Grid_BD!$B:$B,$A345,Grid_BD!$V:$V))),"")</f>
        <v/>
      </c>
      <c r="S345" s="234"/>
      <c r="T345" s="239"/>
      <c r="U345" s="240" t="str">
        <f t="shared" si="31"/>
        <v/>
      </c>
      <c r="V345" s="240" t="str">
        <f>IFERROR(_xlfn.XLOOKUP($A345,Input_Raw!$A:$A,Input_Raw!$BS:$BS),"")</f>
        <v/>
      </c>
      <c r="W345" s="241" t="str">
        <f t="shared" si="32"/>
        <v/>
      </c>
      <c r="X345" s="233" t="str">
        <f>IFERROR(_xlfn.XLOOKUP($A345,Input_Raw!$A:$A,Input_Raw!$AW:$AW),"")</f>
        <v/>
      </c>
      <c r="Y345" s="233" t="str">
        <f>IFERROR(_xlfn.XLOOKUP($A345,Input_Raw!$A:$A,Input_Raw!$BN:$BN),"")</f>
        <v/>
      </c>
      <c r="Z345" s="233"/>
      <c r="AA345" s="233" t="str">
        <f>IFERROR(_xlfn.XLOOKUP($A345,Input_Raw!$A:$A,Input_Raw!$BO:$BO),"")</f>
        <v/>
      </c>
      <c r="AB345" s="233" t="str">
        <f>IFERROR(_xlfn.XLOOKUP($A345,Input_Raw!$A:$A,Input_Raw!$BP:$BP),"")</f>
        <v/>
      </c>
      <c r="AC345" s="242" t="str">
        <f>IFERROR(_xlfn.XLOOKUP($D345,'Modelling New'!$D:$D,'Modelling New'!P:P),"")</f>
        <v/>
      </c>
      <c r="AD345" s="233" t="str">
        <f>IFERROR(_xlfn.XLOOKUP($D345,'Modelling New'!$D:$D,'Modelling New'!T:T)*1000,"")</f>
        <v/>
      </c>
      <c r="AE345" s="243" t="str">
        <f>IFERROR(_xlfn.XLOOKUP($D345,'Modelling New'!$D:$D,'Modelling New'!$O:$O),"")</f>
        <v/>
      </c>
      <c r="AF345" s="243" t="str">
        <f>IFERROR(_xlfn.XLOOKUP($D345,'Modelling New'!$D:$D,'Modelling New'!$W:$W),"")</f>
        <v/>
      </c>
      <c r="AG345" s="243" t="str">
        <f>IFERROR(_xlfn.XLOOKUP($D345,'Modelling New'!$D:$D,'Modelling New'!$AE:$AE),"")</f>
        <v/>
      </c>
      <c r="AH345" s="243" t="str">
        <f>IFERROR(_xlfn.XLOOKUP($D345,'Modelling New'!$D:$D,'Modelling New'!$AF:$AF),"")</f>
        <v/>
      </c>
      <c r="AI345" s="234"/>
      <c r="AJ345" s="234"/>
      <c r="AK345" s="234"/>
      <c r="AL345" s="234"/>
      <c r="AM345" s="234"/>
      <c r="AN345" s="244"/>
      <c r="AO345" s="241"/>
      <c r="AP345" s="241"/>
      <c r="AQ345" s="241"/>
      <c r="AR345" s="233" t="e">
        <f>_xlfn.XLOOKUP($D345,'Modelling New'!$D:$D,'Modelling New'!$N:$N)</f>
        <v>#N/A</v>
      </c>
      <c r="AS345" s="233" t="str">
        <f t="shared" si="33"/>
        <v/>
      </c>
    </row>
    <row r="346" spans="1:45">
      <c r="A346" s="232">
        <f t="shared" si="34"/>
        <v>46183</v>
      </c>
      <c r="B346" s="233">
        <f>YEAR(Daily_KPI[[#This Row],[Date]])+IF(MONTH(Daily_KPI[[#This Row],[Date]])&gt;=4,1,0)</f>
        <v>2027</v>
      </c>
      <c r="C346" s="234">
        <f>YEAR(Daily_KPI[[#This Row],[Date]])</f>
        <v>2026</v>
      </c>
      <c r="D346" s="235">
        <f>Daily_KPI[[#This Row],[Date]]-DAY(Daily_KPI[[#This Row],[Date]])+1</f>
        <v>46174</v>
      </c>
      <c r="E346" s="234">
        <f t="shared" si="30"/>
        <v>30</v>
      </c>
      <c r="F346" s="236" t="str">
        <f>IFERROR(_xlfn.XLOOKUP($A346,Input_Raw!$A:$A,Input_Raw!$BM:$BM),"")</f>
        <v/>
      </c>
      <c r="G346" s="237" t="str">
        <f>IFERROR(_xlfn.XLOOKUP($A346,Input_Raw!$A:$A,Input_Raw!$AN:$AN),"")</f>
        <v/>
      </c>
      <c r="H346" s="237"/>
      <c r="I346" s="237" t="str">
        <f>IFERROR(_xlfn.XLOOKUP($A346,Input_Raw!$A:$A,Input_Raw!$AM:$AM),"")</f>
        <v/>
      </c>
      <c r="J346" s="237"/>
      <c r="K346" s="237" t="str">
        <f>IFERROR(_xlfn.XLOOKUP($A346,Input_Raw!$A:$A,Input_Raw!AO:AO),"")</f>
        <v/>
      </c>
      <c r="L346" s="237" t="str">
        <f>IFERROR(_xlfn.XLOOKUP($A346,Input_Raw!$A:$A,Input_Raw!AP:AP),"")</f>
        <v/>
      </c>
      <c r="M346" s="237" t="str">
        <f>IFERROR(_xlfn.XLOOKUP($A346,Input_Raw!$A:$A,Input_Raw!AS:AS),"")</f>
        <v/>
      </c>
      <c r="N346" s="237" t="str">
        <f>IFERROR(_xlfn.XLOOKUP($A346,Input_Raw!$A:$A,Input_Raw!AT:AT),"")</f>
        <v/>
      </c>
      <c r="O346" s="238" t="str">
        <f>IFERROR(1-(SUMIF(Plant_BD!$B:$B,$A346,Plant_BD!$AL:$AL)/($AA346+SUMIF(Plant_BD!$B:$B,$A346,Plant_BD!$AL:$AL))),"")</f>
        <v/>
      </c>
      <c r="P346" s="238"/>
      <c r="Q346" s="239"/>
      <c r="R346" s="238" t="str">
        <f>IFERROR(1-(SUMIF(Grid_BD!$B:$B,$A346,Grid_BD!$V:$V)/($AA346+SUMIF(Grid_BD!$B:$B,$A346,Grid_BD!$V:$V))),"")</f>
        <v/>
      </c>
      <c r="S346" s="234"/>
      <c r="T346" s="239"/>
      <c r="U346" s="240" t="str">
        <f t="shared" si="31"/>
        <v/>
      </c>
      <c r="V346" s="240" t="str">
        <f>IFERROR(_xlfn.XLOOKUP($A346,Input_Raw!$A:$A,Input_Raw!$BS:$BS),"")</f>
        <v/>
      </c>
      <c r="W346" s="241" t="str">
        <f t="shared" si="32"/>
        <v/>
      </c>
      <c r="X346" s="233" t="str">
        <f>IFERROR(_xlfn.XLOOKUP($A346,Input_Raw!$A:$A,Input_Raw!$AW:$AW),"")</f>
        <v/>
      </c>
      <c r="Y346" s="233" t="str">
        <f>IFERROR(_xlfn.XLOOKUP($A346,Input_Raw!$A:$A,Input_Raw!$BN:$BN),"")</f>
        <v/>
      </c>
      <c r="Z346" s="233"/>
      <c r="AA346" s="233" t="str">
        <f>IFERROR(_xlfn.XLOOKUP($A346,Input_Raw!$A:$A,Input_Raw!$BO:$BO),"")</f>
        <v/>
      </c>
      <c r="AB346" s="233" t="str">
        <f>IFERROR(_xlfn.XLOOKUP($A346,Input_Raw!$A:$A,Input_Raw!$BP:$BP),"")</f>
        <v/>
      </c>
      <c r="AC346" s="242" t="str">
        <f>IFERROR(_xlfn.XLOOKUP($D346,'Modelling New'!$D:$D,'Modelling New'!P:P),"")</f>
        <v/>
      </c>
      <c r="AD346" s="233" t="str">
        <f>IFERROR(_xlfn.XLOOKUP($D346,'Modelling New'!$D:$D,'Modelling New'!T:T)*1000,"")</f>
        <v/>
      </c>
      <c r="AE346" s="243" t="str">
        <f>IFERROR(_xlfn.XLOOKUP($D346,'Modelling New'!$D:$D,'Modelling New'!$O:$O),"")</f>
        <v/>
      </c>
      <c r="AF346" s="243" t="str">
        <f>IFERROR(_xlfn.XLOOKUP($D346,'Modelling New'!$D:$D,'Modelling New'!$W:$W),"")</f>
        <v/>
      </c>
      <c r="AG346" s="243" t="str">
        <f>IFERROR(_xlfn.XLOOKUP($D346,'Modelling New'!$D:$D,'Modelling New'!$AE:$AE),"")</f>
        <v/>
      </c>
      <c r="AH346" s="243" t="str">
        <f>IFERROR(_xlfn.XLOOKUP($D346,'Modelling New'!$D:$D,'Modelling New'!$AF:$AF),"")</f>
        <v/>
      </c>
      <c r="AI346" s="234"/>
      <c r="AJ346" s="234"/>
      <c r="AK346" s="234"/>
      <c r="AL346" s="234"/>
      <c r="AM346" s="234"/>
      <c r="AN346" s="244"/>
      <c r="AO346" s="241"/>
      <c r="AP346" s="241"/>
      <c r="AQ346" s="241"/>
      <c r="AR346" s="233" t="e">
        <f>_xlfn.XLOOKUP($D346,'Modelling New'!$D:$D,'Modelling New'!$N:$N)</f>
        <v>#N/A</v>
      </c>
      <c r="AS346" s="233" t="str">
        <f t="shared" si="33"/>
        <v/>
      </c>
    </row>
    <row r="347" spans="1:45">
      <c r="A347" s="232">
        <f t="shared" si="34"/>
        <v>46184</v>
      </c>
      <c r="B347" s="233">
        <f>YEAR(Daily_KPI[[#This Row],[Date]])+IF(MONTH(Daily_KPI[[#This Row],[Date]])&gt;=4,1,0)</f>
        <v>2027</v>
      </c>
      <c r="C347" s="234">
        <f>YEAR(Daily_KPI[[#This Row],[Date]])</f>
        <v>2026</v>
      </c>
      <c r="D347" s="235">
        <f>Daily_KPI[[#This Row],[Date]]-DAY(Daily_KPI[[#This Row],[Date]])+1</f>
        <v>46174</v>
      </c>
      <c r="E347" s="234">
        <f t="shared" si="30"/>
        <v>30</v>
      </c>
      <c r="F347" s="236" t="str">
        <f>IFERROR(_xlfn.XLOOKUP($A347,Input_Raw!$A:$A,Input_Raw!$BM:$BM),"")</f>
        <v/>
      </c>
      <c r="G347" s="237" t="str">
        <f>IFERROR(_xlfn.XLOOKUP($A347,Input_Raw!$A:$A,Input_Raw!$AN:$AN),"")</f>
        <v/>
      </c>
      <c r="H347" s="237"/>
      <c r="I347" s="237" t="str">
        <f>IFERROR(_xlfn.XLOOKUP($A347,Input_Raw!$A:$A,Input_Raw!$AM:$AM),"")</f>
        <v/>
      </c>
      <c r="J347" s="237"/>
      <c r="K347" s="237" t="str">
        <f>IFERROR(_xlfn.XLOOKUP($A347,Input_Raw!$A:$A,Input_Raw!AO:AO),"")</f>
        <v/>
      </c>
      <c r="L347" s="237" t="str">
        <f>IFERROR(_xlfn.XLOOKUP($A347,Input_Raw!$A:$A,Input_Raw!AP:AP),"")</f>
        <v/>
      </c>
      <c r="M347" s="237" t="str">
        <f>IFERROR(_xlfn.XLOOKUP($A347,Input_Raw!$A:$A,Input_Raw!AS:AS),"")</f>
        <v/>
      </c>
      <c r="N347" s="237" t="str">
        <f>IFERROR(_xlfn.XLOOKUP($A347,Input_Raw!$A:$A,Input_Raw!AT:AT),"")</f>
        <v/>
      </c>
      <c r="O347" s="238" t="str">
        <f>IFERROR(1-(SUMIF(Plant_BD!$B:$B,$A347,Plant_BD!$AL:$AL)/($AA347+SUMIF(Plant_BD!$B:$B,$A347,Plant_BD!$AL:$AL))),"")</f>
        <v/>
      </c>
      <c r="P347" s="238"/>
      <c r="Q347" s="239"/>
      <c r="R347" s="238" t="str">
        <f>IFERROR(1-(SUMIF(Grid_BD!$B:$B,$A347,Grid_BD!$V:$V)/($AA347+SUMIF(Grid_BD!$B:$B,$A347,Grid_BD!$V:$V))),"")</f>
        <v/>
      </c>
      <c r="S347" s="234"/>
      <c r="T347" s="239"/>
      <c r="U347" s="240" t="str">
        <f t="shared" si="31"/>
        <v/>
      </c>
      <c r="V347" s="240" t="str">
        <f>IFERROR(_xlfn.XLOOKUP($A347,Input_Raw!$A:$A,Input_Raw!$BS:$BS),"")</f>
        <v/>
      </c>
      <c r="W347" s="241" t="str">
        <f t="shared" si="32"/>
        <v/>
      </c>
      <c r="X347" s="233" t="str">
        <f>IFERROR(_xlfn.XLOOKUP($A347,Input_Raw!$A:$A,Input_Raw!$AW:$AW),"")</f>
        <v/>
      </c>
      <c r="Y347" s="233" t="str">
        <f>IFERROR(_xlfn.XLOOKUP($A347,Input_Raw!$A:$A,Input_Raw!$BN:$BN),"")</f>
        <v/>
      </c>
      <c r="Z347" s="233"/>
      <c r="AA347" s="233" t="str">
        <f>IFERROR(_xlfn.XLOOKUP($A347,Input_Raw!$A:$A,Input_Raw!$BO:$BO),"")</f>
        <v/>
      </c>
      <c r="AB347" s="233" t="str">
        <f>IFERROR(_xlfn.XLOOKUP($A347,Input_Raw!$A:$A,Input_Raw!$BP:$BP),"")</f>
        <v/>
      </c>
      <c r="AC347" s="242" t="str">
        <f>IFERROR(_xlfn.XLOOKUP($D347,'Modelling New'!$D:$D,'Modelling New'!P:P),"")</f>
        <v/>
      </c>
      <c r="AD347" s="233" t="str">
        <f>IFERROR(_xlfn.XLOOKUP($D347,'Modelling New'!$D:$D,'Modelling New'!T:T)*1000,"")</f>
        <v/>
      </c>
      <c r="AE347" s="243" t="str">
        <f>IFERROR(_xlfn.XLOOKUP($D347,'Modelling New'!$D:$D,'Modelling New'!$O:$O),"")</f>
        <v/>
      </c>
      <c r="AF347" s="243" t="str">
        <f>IFERROR(_xlfn.XLOOKUP($D347,'Modelling New'!$D:$D,'Modelling New'!$W:$W),"")</f>
        <v/>
      </c>
      <c r="AG347" s="243" t="str">
        <f>IFERROR(_xlfn.XLOOKUP($D347,'Modelling New'!$D:$D,'Modelling New'!$AE:$AE),"")</f>
        <v/>
      </c>
      <c r="AH347" s="243" t="str">
        <f>IFERROR(_xlfn.XLOOKUP($D347,'Modelling New'!$D:$D,'Modelling New'!$AF:$AF),"")</f>
        <v/>
      </c>
      <c r="AI347" s="234"/>
      <c r="AJ347" s="234"/>
      <c r="AK347" s="234"/>
      <c r="AL347" s="234"/>
      <c r="AM347" s="234"/>
      <c r="AN347" s="244"/>
      <c r="AO347" s="241"/>
      <c r="AP347" s="241"/>
      <c r="AQ347" s="241"/>
      <c r="AR347" s="233" t="e">
        <f>_xlfn.XLOOKUP($D347,'Modelling New'!$D:$D,'Modelling New'!$N:$N)</f>
        <v>#N/A</v>
      </c>
      <c r="AS347" s="233" t="str">
        <f t="shared" si="33"/>
        <v/>
      </c>
    </row>
    <row r="348" spans="1:45">
      <c r="A348" s="232">
        <f t="shared" si="34"/>
        <v>46185</v>
      </c>
      <c r="B348" s="233">
        <f>YEAR(Daily_KPI[[#This Row],[Date]])+IF(MONTH(Daily_KPI[[#This Row],[Date]])&gt;=4,1,0)</f>
        <v>2027</v>
      </c>
      <c r="C348" s="234">
        <f>YEAR(Daily_KPI[[#This Row],[Date]])</f>
        <v>2026</v>
      </c>
      <c r="D348" s="235">
        <f>Daily_KPI[[#This Row],[Date]]-DAY(Daily_KPI[[#This Row],[Date]])+1</f>
        <v>46174</v>
      </c>
      <c r="E348" s="234">
        <f t="shared" si="30"/>
        <v>30</v>
      </c>
      <c r="F348" s="236" t="str">
        <f>IFERROR(_xlfn.XLOOKUP($A348,Input_Raw!$A:$A,Input_Raw!$BM:$BM),"")</f>
        <v/>
      </c>
      <c r="G348" s="237" t="str">
        <f>IFERROR(_xlfn.XLOOKUP($A348,Input_Raw!$A:$A,Input_Raw!$AN:$AN),"")</f>
        <v/>
      </c>
      <c r="H348" s="237"/>
      <c r="I348" s="237" t="str">
        <f>IFERROR(_xlfn.XLOOKUP($A348,Input_Raw!$A:$A,Input_Raw!$AM:$AM),"")</f>
        <v/>
      </c>
      <c r="J348" s="237"/>
      <c r="K348" s="237" t="str">
        <f>IFERROR(_xlfn.XLOOKUP($A348,Input_Raw!$A:$A,Input_Raw!AO:AO),"")</f>
        <v/>
      </c>
      <c r="L348" s="237" t="str">
        <f>IFERROR(_xlfn.XLOOKUP($A348,Input_Raw!$A:$A,Input_Raw!AP:AP),"")</f>
        <v/>
      </c>
      <c r="M348" s="237" t="str">
        <f>IFERROR(_xlfn.XLOOKUP($A348,Input_Raw!$A:$A,Input_Raw!AS:AS),"")</f>
        <v/>
      </c>
      <c r="N348" s="237" t="str">
        <f>IFERROR(_xlfn.XLOOKUP($A348,Input_Raw!$A:$A,Input_Raw!AT:AT),"")</f>
        <v/>
      </c>
      <c r="O348" s="238" t="str">
        <f>IFERROR(1-(SUMIF(Plant_BD!$B:$B,$A348,Plant_BD!$AL:$AL)/($AA348+SUMIF(Plant_BD!$B:$B,$A348,Plant_BD!$AL:$AL))),"")</f>
        <v/>
      </c>
      <c r="P348" s="238"/>
      <c r="Q348" s="239"/>
      <c r="R348" s="238" t="str">
        <f>IFERROR(1-(SUMIF(Grid_BD!$B:$B,$A348,Grid_BD!$V:$V)/($AA348+SUMIF(Grid_BD!$B:$B,$A348,Grid_BD!$V:$V))),"")</f>
        <v/>
      </c>
      <c r="S348" s="234"/>
      <c r="T348" s="239"/>
      <c r="U348" s="240" t="str">
        <f t="shared" si="31"/>
        <v/>
      </c>
      <c r="V348" s="240" t="str">
        <f>IFERROR(_xlfn.XLOOKUP($A348,Input_Raw!$A:$A,Input_Raw!$BS:$BS),"")</f>
        <v/>
      </c>
      <c r="W348" s="241" t="str">
        <f t="shared" si="32"/>
        <v/>
      </c>
      <c r="X348" s="233" t="str">
        <f>IFERROR(_xlfn.XLOOKUP($A348,Input_Raw!$A:$A,Input_Raw!$AW:$AW),"")</f>
        <v/>
      </c>
      <c r="Y348" s="233" t="str">
        <f>IFERROR(_xlfn.XLOOKUP($A348,Input_Raw!$A:$A,Input_Raw!$BN:$BN),"")</f>
        <v/>
      </c>
      <c r="Z348" s="233"/>
      <c r="AA348" s="233" t="str">
        <f>IFERROR(_xlfn.XLOOKUP($A348,Input_Raw!$A:$A,Input_Raw!$BO:$BO),"")</f>
        <v/>
      </c>
      <c r="AB348" s="233" t="str">
        <f>IFERROR(_xlfn.XLOOKUP($A348,Input_Raw!$A:$A,Input_Raw!$BP:$BP),"")</f>
        <v/>
      </c>
      <c r="AC348" s="242" t="str">
        <f>IFERROR(_xlfn.XLOOKUP($D348,'Modelling New'!$D:$D,'Modelling New'!P:P),"")</f>
        <v/>
      </c>
      <c r="AD348" s="233" t="str">
        <f>IFERROR(_xlfn.XLOOKUP($D348,'Modelling New'!$D:$D,'Modelling New'!T:T)*1000,"")</f>
        <v/>
      </c>
      <c r="AE348" s="243" t="str">
        <f>IFERROR(_xlfn.XLOOKUP($D348,'Modelling New'!$D:$D,'Modelling New'!$O:$O),"")</f>
        <v/>
      </c>
      <c r="AF348" s="243" t="str">
        <f>IFERROR(_xlfn.XLOOKUP($D348,'Modelling New'!$D:$D,'Modelling New'!$W:$W),"")</f>
        <v/>
      </c>
      <c r="AG348" s="243" t="str">
        <f>IFERROR(_xlfn.XLOOKUP($D348,'Modelling New'!$D:$D,'Modelling New'!$AE:$AE),"")</f>
        <v/>
      </c>
      <c r="AH348" s="243" t="str">
        <f>IFERROR(_xlfn.XLOOKUP($D348,'Modelling New'!$D:$D,'Modelling New'!$AF:$AF),"")</f>
        <v/>
      </c>
      <c r="AI348" s="234"/>
      <c r="AJ348" s="234"/>
      <c r="AK348" s="234"/>
      <c r="AL348" s="234"/>
      <c r="AM348" s="234"/>
      <c r="AN348" s="244"/>
      <c r="AO348" s="241"/>
      <c r="AP348" s="241"/>
      <c r="AQ348" s="241"/>
      <c r="AR348" s="233" t="e">
        <f>_xlfn.XLOOKUP($D348,'Modelling New'!$D:$D,'Modelling New'!$N:$N)</f>
        <v>#N/A</v>
      </c>
      <c r="AS348" s="233" t="str">
        <f t="shared" si="33"/>
        <v/>
      </c>
    </row>
    <row r="349" spans="1:45">
      <c r="A349" s="232">
        <f t="shared" si="34"/>
        <v>46186</v>
      </c>
      <c r="B349" s="233">
        <f>YEAR(Daily_KPI[[#This Row],[Date]])+IF(MONTH(Daily_KPI[[#This Row],[Date]])&gt;=4,1,0)</f>
        <v>2027</v>
      </c>
      <c r="C349" s="234">
        <f>YEAR(Daily_KPI[[#This Row],[Date]])</f>
        <v>2026</v>
      </c>
      <c r="D349" s="235">
        <f>Daily_KPI[[#This Row],[Date]]-DAY(Daily_KPI[[#This Row],[Date]])+1</f>
        <v>46174</v>
      </c>
      <c r="E349" s="234">
        <f t="shared" si="30"/>
        <v>30</v>
      </c>
      <c r="F349" s="236" t="str">
        <f>IFERROR(_xlfn.XLOOKUP($A349,Input_Raw!$A:$A,Input_Raw!$BM:$BM),"")</f>
        <v/>
      </c>
      <c r="G349" s="237" t="str">
        <f>IFERROR(_xlfn.XLOOKUP($A349,Input_Raw!$A:$A,Input_Raw!$AN:$AN),"")</f>
        <v/>
      </c>
      <c r="H349" s="237"/>
      <c r="I349" s="237" t="str">
        <f>IFERROR(_xlfn.XLOOKUP($A349,Input_Raw!$A:$A,Input_Raw!$AM:$AM),"")</f>
        <v/>
      </c>
      <c r="J349" s="237"/>
      <c r="K349" s="237" t="str">
        <f>IFERROR(_xlfn.XLOOKUP($A349,Input_Raw!$A:$A,Input_Raw!AO:AO),"")</f>
        <v/>
      </c>
      <c r="L349" s="237" t="str">
        <f>IFERROR(_xlfn.XLOOKUP($A349,Input_Raw!$A:$A,Input_Raw!AP:AP),"")</f>
        <v/>
      </c>
      <c r="M349" s="237" t="str">
        <f>IFERROR(_xlfn.XLOOKUP($A349,Input_Raw!$A:$A,Input_Raw!AS:AS),"")</f>
        <v/>
      </c>
      <c r="N349" s="237" t="str">
        <f>IFERROR(_xlfn.XLOOKUP($A349,Input_Raw!$A:$A,Input_Raw!AT:AT),"")</f>
        <v/>
      </c>
      <c r="O349" s="238" t="str">
        <f>IFERROR(1-(SUMIF(Plant_BD!$B:$B,$A349,Plant_BD!$AL:$AL)/($AA349+SUMIF(Plant_BD!$B:$B,$A349,Plant_BD!$AL:$AL))),"")</f>
        <v/>
      </c>
      <c r="P349" s="238"/>
      <c r="Q349" s="239"/>
      <c r="R349" s="238" t="str">
        <f>IFERROR(1-(SUMIF(Grid_BD!$B:$B,$A349,Grid_BD!$V:$V)/($AA349+SUMIF(Grid_BD!$B:$B,$A349,Grid_BD!$V:$V))),"")</f>
        <v/>
      </c>
      <c r="S349" s="234"/>
      <c r="T349" s="239"/>
      <c r="U349" s="240" t="str">
        <f t="shared" si="31"/>
        <v/>
      </c>
      <c r="V349" s="240" t="str">
        <f>IFERROR(_xlfn.XLOOKUP($A349,Input_Raw!$A:$A,Input_Raw!$BS:$BS),"")</f>
        <v/>
      </c>
      <c r="W349" s="241" t="str">
        <f t="shared" si="32"/>
        <v/>
      </c>
      <c r="X349" s="233" t="str">
        <f>IFERROR(_xlfn.XLOOKUP($A349,Input_Raw!$A:$A,Input_Raw!$AW:$AW),"")</f>
        <v/>
      </c>
      <c r="Y349" s="233" t="str">
        <f>IFERROR(_xlfn.XLOOKUP($A349,Input_Raw!$A:$A,Input_Raw!$BN:$BN),"")</f>
        <v/>
      </c>
      <c r="Z349" s="233"/>
      <c r="AA349" s="233" t="str">
        <f>IFERROR(_xlfn.XLOOKUP($A349,Input_Raw!$A:$A,Input_Raw!$BO:$BO),"")</f>
        <v/>
      </c>
      <c r="AB349" s="233" t="str">
        <f>IFERROR(_xlfn.XLOOKUP($A349,Input_Raw!$A:$A,Input_Raw!$BP:$BP),"")</f>
        <v/>
      </c>
      <c r="AC349" s="242" t="str">
        <f>IFERROR(_xlfn.XLOOKUP($D349,'Modelling New'!$D:$D,'Modelling New'!P:P),"")</f>
        <v/>
      </c>
      <c r="AD349" s="233" t="str">
        <f>IFERROR(_xlfn.XLOOKUP($D349,'Modelling New'!$D:$D,'Modelling New'!T:T)*1000,"")</f>
        <v/>
      </c>
      <c r="AE349" s="243" t="str">
        <f>IFERROR(_xlfn.XLOOKUP($D349,'Modelling New'!$D:$D,'Modelling New'!$O:$O),"")</f>
        <v/>
      </c>
      <c r="AF349" s="243" t="str">
        <f>IFERROR(_xlfn.XLOOKUP($D349,'Modelling New'!$D:$D,'Modelling New'!$W:$W),"")</f>
        <v/>
      </c>
      <c r="AG349" s="243" t="str">
        <f>IFERROR(_xlfn.XLOOKUP($D349,'Modelling New'!$D:$D,'Modelling New'!$AE:$AE),"")</f>
        <v/>
      </c>
      <c r="AH349" s="243" t="str">
        <f>IFERROR(_xlfn.XLOOKUP($D349,'Modelling New'!$D:$D,'Modelling New'!$AF:$AF),"")</f>
        <v/>
      </c>
      <c r="AI349" s="234"/>
      <c r="AJ349" s="234"/>
      <c r="AK349" s="234"/>
      <c r="AL349" s="234"/>
      <c r="AM349" s="234"/>
      <c r="AN349" s="244"/>
      <c r="AO349" s="241"/>
      <c r="AP349" s="241"/>
      <c r="AQ349" s="241"/>
      <c r="AR349" s="233" t="e">
        <f>_xlfn.XLOOKUP($D349,'Modelling New'!$D:$D,'Modelling New'!$N:$N)</f>
        <v>#N/A</v>
      </c>
      <c r="AS349" s="233" t="str">
        <f t="shared" si="33"/>
        <v/>
      </c>
    </row>
    <row r="350" spans="1:45">
      <c r="A350" s="232">
        <f t="shared" si="34"/>
        <v>46187</v>
      </c>
      <c r="B350" s="233">
        <f>YEAR(Daily_KPI[[#This Row],[Date]])+IF(MONTH(Daily_KPI[[#This Row],[Date]])&gt;=4,1,0)</f>
        <v>2027</v>
      </c>
      <c r="C350" s="234">
        <f>YEAR(Daily_KPI[[#This Row],[Date]])</f>
        <v>2026</v>
      </c>
      <c r="D350" s="235">
        <f>Daily_KPI[[#This Row],[Date]]-DAY(Daily_KPI[[#This Row],[Date]])+1</f>
        <v>46174</v>
      </c>
      <c r="E350" s="234">
        <f t="shared" si="30"/>
        <v>30</v>
      </c>
      <c r="F350" s="236" t="str">
        <f>IFERROR(_xlfn.XLOOKUP($A350,Input_Raw!$A:$A,Input_Raw!$BM:$BM),"")</f>
        <v/>
      </c>
      <c r="G350" s="237" t="str">
        <f>IFERROR(_xlfn.XLOOKUP($A350,Input_Raw!$A:$A,Input_Raw!$AN:$AN),"")</f>
        <v/>
      </c>
      <c r="H350" s="237"/>
      <c r="I350" s="237" t="str">
        <f>IFERROR(_xlfn.XLOOKUP($A350,Input_Raw!$A:$A,Input_Raw!$AM:$AM),"")</f>
        <v/>
      </c>
      <c r="J350" s="237"/>
      <c r="K350" s="237" t="str">
        <f>IFERROR(_xlfn.XLOOKUP($A350,Input_Raw!$A:$A,Input_Raw!AO:AO),"")</f>
        <v/>
      </c>
      <c r="L350" s="237" t="str">
        <f>IFERROR(_xlfn.XLOOKUP($A350,Input_Raw!$A:$A,Input_Raw!AP:AP),"")</f>
        <v/>
      </c>
      <c r="M350" s="237" t="str">
        <f>IFERROR(_xlfn.XLOOKUP($A350,Input_Raw!$A:$A,Input_Raw!AS:AS),"")</f>
        <v/>
      </c>
      <c r="N350" s="237" t="str">
        <f>IFERROR(_xlfn.XLOOKUP($A350,Input_Raw!$A:$A,Input_Raw!AT:AT),"")</f>
        <v/>
      </c>
      <c r="O350" s="238" t="str">
        <f>IFERROR(1-(SUMIF(Plant_BD!$B:$B,$A350,Plant_BD!$AL:$AL)/($AA350+SUMIF(Plant_BD!$B:$B,$A350,Plant_BD!$AL:$AL))),"")</f>
        <v/>
      </c>
      <c r="P350" s="238"/>
      <c r="Q350" s="239"/>
      <c r="R350" s="238" t="str">
        <f>IFERROR(1-(SUMIF(Grid_BD!$B:$B,$A350,Grid_BD!$V:$V)/($AA350+SUMIF(Grid_BD!$B:$B,$A350,Grid_BD!$V:$V))),"")</f>
        <v/>
      </c>
      <c r="S350" s="234"/>
      <c r="T350" s="239"/>
      <c r="U350" s="240" t="str">
        <f t="shared" si="31"/>
        <v/>
      </c>
      <c r="V350" s="240" t="str">
        <f>IFERROR(_xlfn.XLOOKUP($A350,Input_Raw!$A:$A,Input_Raw!$BS:$BS),"")</f>
        <v/>
      </c>
      <c r="W350" s="241" t="str">
        <f t="shared" si="32"/>
        <v/>
      </c>
      <c r="X350" s="233" t="str">
        <f>IFERROR(_xlfn.XLOOKUP($A350,Input_Raw!$A:$A,Input_Raw!$AW:$AW),"")</f>
        <v/>
      </c>
      <c r="Y350" s="233" t="str">
        <f>IFERROR(_xlfn.XLOOKUP($A350,Input_Raw!$A:$A,Input_Raw!$BN:$BN),"")</f>
        <v/>
      </c>
      <c r="Z350" s="233"/>
      <c r="AA350" s="233" t="str">
        <f>IFERROR(_xlfn.XLOOKUP($A350,Input_Raw!$A:$A,Input_Raw!$BO:$BO),"")</f>
        <v/>
      </c>
      <c r="AB350" s="233" t="str">
        <f>IFERROR(_xlfn.XLOOKUP($A350,Input_Raw!$A:$A,Input_Raw!$BP:$BP),"")</f>
        <v/>
      </c>
      <c r="AC350" s="242" t="str">
        <f>IFERROR(_xlfn.XLOOKUP($D350,'Modelling New'!$D:$D,'Modelling New'!P:P),"")</f>
        <v/>
      </c>
      <c r="AD350" s="233" t="str">
        <f>IFERROR(_xlfn.XLOOKUP($D350,'Modelling New'!$D:$D,'Modelling New'!T:T)*1000,"")</f>
        <v/>
      </c>
      <c r="AE350" s="243" t="str">
        <f>IFERROR(_xlfn.XLOOKUP($D350,'Modelling New'!$D:$D,'Modelling New'!$O:$O),"")</f>
        <v/>
      </c>
      <c r="AF350" s="243" t="str">
        <f>IFERROR(_xlfn.XLOOKUP($D350,'Modelling New'!$D:$D,'Modelling New'!$W:$W),"")</f>
        <v/>
      </c>
      <c r="AG350" s="243" t="str">
        <f>IFERROR(_xlfn.XLOOKUP($D350,'Modelling New'!$D:$D,'Modelling New'!$AE:$AE),"")</f>
        <v/>
      </c>
      <c r="AH350" s="243" t="str">
        <f>IFERROR(_xlfn.XLOOKUP($D350,'Modelling New'!$D:$D,'Modelling New'!$AF:$AF),"")</f>
        <v/>
      </c>
      <c r="AI350" s="234"/>
      <c r="AJ350" s="234"/>
      <c r="AK350" s="234"/>
      <c r="AL350" s="234"/>
      <c r="AM350" s="234"/>
      <c r="AN350" s="244"/>
      <c r="AO350" s="241"/>
      <c r="AP350" s="241"/>
      <c r="AQ350" s="241"/>
      <c r="AR350" s="233" t="e">
        <f>_xlfn.XLOOKUP($D350,'Modelling New'!$D:$D,'Modelling New'!$N:$N)</f>
        <v>#N/A</v>
      </c>
      <c r="AS350" s="233" t="str">
        <f t="shared" si="33"/>
        <v/>
      </c>
    </row>
    <row r="351" spans="1:45">
      <c r="A351" s="232">
        <f t="shared" si="34"/>
        <v>46188</v>
      </c>
      <c r="B351" s="233">
        <f>YEAR(Daily_KPI[[#This Row],[Date]])+IF(MONTH(Daily_KPI[[#This Row],[Date]])&gt;=4,1,0)</f>
        <v>2027</v>
      </c>
      <c r="C351" s="234">
        <f>YEAR(Daily_KPI[[#This Row],[Date]])</f>
        <v>2026</v>
      </c>
      <c r="D351" s="235">
        <f>Daily_KPI[[#This Row],[Date]]-DAY(Daily_KPI[[#This Row],[Date]])+1</f>
        <v>46174</v>
      </c>
      <c r="E351" s="234">
        <f t="shared" si="30"/>
        <v>30</v>
      </c>
      <c r="F351" s="236" t="str">
        <f>IFERROR(_xlfn.XLOOKUP($A351,Input_Raw!$A:$A,Input_Raw!$BM:$BM),"")</f>
        <v/>
      </c>
      <c r="G351" s="237" t="str">
        <f>IFERROR(_xlfn.XLOOKUP($A351,Input_Raw!$A:$A,Input_Raw!$AN:$AN),"")</f>
        <v/>
      </c>
      <c r="H351" s="237"/>
      <c r="I351" s="237" t="str">
        <f>IFERROR(_xlfn.XLOOKUP($A351,Input_Raw!$A:$A,Input_Raw!$AM:$AM),"")</f>
        <v/>
      </c>
      <c r="J351" s="237"/>
      <c r="K351" s="237" t="str">
        <f>IFERROR(_xlfn.XLOOKUP($A351,Input_Raw!$A:$A,Input_Raw!AO:AO),"")</f>
        <v/>
      </c>
      <c r="L351" s="237" t="str">
        <f>IFERROR(_xlfn.XLOOKUP($A351,Input_Raw!$A:$A,Input_Raw!AP:AP),"")</f>
        <v/>
      </c>
      <c r="M351" s="237" t="str">
        <f>IFERROR(_xlfn.XLOOKUP($A351,Input_Raw!$A:$A,Input_Raw!AS:AS),"")</f>
        <v/>
      </c>
      <c r="N351" s="237" t="str">
        <f>IFERROR(_xlfn.XLOOKUP($A351,Input_Raw!$A:$A,Input_Raw!AT:AT),"")</f>
        <v/>
      </c>
      <c r="O351" s="238" t="str">
        <f>IFERROR(1-(SUMIF(Plant_BD!$B:$B,$A351,Plant_BD!$AL:$AL)/($AA351+SUMIF(Plant_BD!$B:$B,$A351,Plant_BD!$AL:$AL))),"")</f>
        <v/>
      </c>
      <c r="P351" s="238"/>
      <c r="Q351" s="239"/>
      <c r="R351" s="238" t="str">
        <f>IFERROR(1-(SUMIF(Grid_BD!$B:$B,$A351,Grid_BD!$V:$V)/($AA351+SUMIF(Grid_BD!$B:$B,$A351,Grid_BD!$V:$V))),"")</f>
        <v/>
      </c>
      <c r="S351" s="234"/>
      <c r="T351" s="239"/>
      <c r="U351" s="240" t="str">
        <f t="shared" si="31"/>
        <v/>
      </c>
      <c r="V351" s="240" t="str">
        <f>IFERROR(_xlfn.XLOOKUP($A351,Input_Raw!$A:$A,Input_Raw!$BS:$BS),"")</f>
        <v/>
      </c>
      <c r="W351" s="241" t="str">
        <f t="shared" si="32"/>
        <v/>
      </c>
      <c r="X351" s="233" t="str">
        <f>IFERROR(_xlfn.XLOOKUP($A351,Input_Raw!$A:$A,Input_Raw!$AW:$AW),"")</f>
        <v/>
      </c>
      <c r="Y351" s="233" t="str">
        <f>IFERROR(_xlfn.XLOOKUP($A351,Input_Raw!$A:$A,Input_Raw!$BN:$BN),"")</f>
        <v/>
      </c>
      <c r="Z351" s="233"/>
      <c r="AA351" s="233" t="str">
        <f>IFERROR(_xlfn.XLOOKUP($A351,Input_Raw!$A:$A,Input_Raw!$BO:$BO),"")</f>
        <v/>
      </c>
      <c r="AB351" s="233" t="str">
        <f>IFERROR(_xlfn.XLOOKUP($A351,Input_Raw!$A:$A,Input_Raw!$BP:$BP),"")</f>
        <v/>
      </c>
      <c r="AC351" s="242" t="str">
        <f>IFERROR(_xlfn.XLOOKUP($D351,'Modelling New'!$D:$D,'Modelling New'!P:P),"")</f>
        <v/>
      </c>
      <c r="AD351" s="233" t="str">
        <f>IFERROR(_xlfn.XLOOKUP($D351,'Modelling New'!$D:$D,'Modelling New'!T:T)*1000,"")</f>
        <v/>
      </c>
      <c r="AE351" s="243" t="str">
        <f>IFERROR(_xlfn.XLOOKUP($D351,'Modelling New'!$D:$D,'Modelling New'!$O:$O),"")</f>
        <v/>
      </c>
      <c r="AF351" s="243" t="str">
        <f>IFERROR(_xlfn.XLOOKUP($D351,'Modelling New'!$D:$D,'Modelling New'!$W:$W),"")</f>
        <v/>
      </c>
      <c r="AG351" s="243" t="str">
        <f>IFERROR(_xlfn.XLOOKUP($D351,'Modelling New'!$D:$D,'Modelling New'!$AE:$AE),"")</f>
        <v/>
      </c>
      <c r="AH351" s="243" t="str">
        <f>IFERROR(_xlfn.XLOOKUP($D351,'Modelling New'!$D:$D,'Modelling New'!$AF:$AF),"")</f>
        <v/>
      </c>
      <c r="AI351" s="234"/>
      <c r="AJ351" s="234"/>
      <c r="AK351" s="234"/>
      <c r="AL351" s="234"/>
      <c r="AM351" s="234"/>
      <c r="AN351" s="244"/>
      <c r="AO351" s="241"/>
      <c r="AP351" s="241"/>
      <c r="AQ351" s="241"/>
      <c r="AR351" s="233" t="e">
        <f>_xlfn.XLOOKUP($D351,'Modelling New'!$D:$D,'Modelling New'!$N:$N)</f>
        <v>#N/A</v>
      </c>
      <c r="AS351" s="233" t="str">
        <f t="shared" si="33"/>
        <v/>
      </c>
    </row>
    <row r="352" spans="1:45">
      <c r="A352" s="232">
        <f t="shared" si="34"/>
        <v>46189</v>
      </c>
      <c r="B352" s="233">
        <f>YEAR(Daily_KPI[[#This Row],[Date]])+IF(MONTH(Daily_KPI[[#This Row],[Date]])&gt;=4,1,0)</f>
        <v>2027</v>
      </c>
      <c r="C352" s="234">
        <f>YEAR(Daily_KPI[[#This Row],[Date]])</f>
        <v>2026</v>
      </c>
      <c r="D352" s="235">
        <f>Daily_KPI[[#This Row],[Date]]-DAY(Daily_KPI[[#This Row],[Date]])+1</f>
        <v>46174</v>
      </c>
      <c r="E352" s="234">
        <f t="shared" si="30"/>
        <v>30</v>
      </c>
      <c r="F352" s="236" t="str">
        <f>IFERROR(_xlfn.XLOOKUP($A352,Input_Raw!$A:$A,Input_Raw!$BM:$BM),"")</f>
        <v/>
      </c>
      <c r="G352" s="237" t="str">
        <f>IFERROR(_xlfn.XLOOKUP($A352,Input_Raw!$A:$A,Input_Raw!$AN:$AN),"")</f>
        <v/>
      </c>
      <c r="H352" s="237"/>
      <c r="I352" s="237" t="str">
        <f>IFERROR(_xlfn.XLOOKUP($A352,Input_Raw!$A:$A,Input_Raw!$AM:$AM),"")</f>
        <v/>
      </c>
      <c r="J352" s="237"/>
      <c r="K352" s="237" t="str">
        <f>IFERROR(_xlfn.XLOOKUP($A352,Input_Raw!$A:$A,Input_Raw!AO:AO),"")</f>
        <v/>
      </c>
      <c r="L352" s="237" t="str">
        <f>IFERROR(_xlfn.XLOOKUP($A352,Input_Raw!$A:$A,Input_Raw!AP:AP),"")</f>
        <v/>
      </c>
      <c r="M352" s="237" t="str">
        <f>IFERROR(_xlfn.XLOOKUP($A352,Input_Raw!$A:$A,Input_Raw!AS:AS),"")</f>
        <v/>
      </c>
      <c r="N352" s="237" t="str">
        <f>IFERROR(_xlfn.XLOOKUP($A352,Input_Raw!$A:$A,Input_Raw!AT:AT),"")</f>
        <v/>
      </c>
      <c r="O352" s="238" t="str">
        <f>IFERROR(1-(SUMIF(Plant_BD!$B:$B,$A352,Plant_BD!$AL:$AL)/($AA352+SUMIF(Plant_BD!$B:$B,$A352,Plant_BD!$AL:$AL))),"")</f>
        <v/>
      </c>
      <c r="P352" s="238"/>
      <c r="Q352" s="239"/>
      <c r="R352" s="238" t="str">
        <f>IFERROR(1-(SUMIF(Grid_BD!$B:$B,$A352,Grid_BD!$V:$V)/($AA352+SUMIF(Grid_BD!$B:$B,$A352,Grid_BD!$V:$V))),"")</f>
        <v/>
      </c>
      <c r="S352" s="234"/>
      <c r="T352" s="239"/>
      <c r="U352" s="240" t="str">
        <f t="shared" si="31"/>
        <v/>
      </c>
      <c r="V352" s="240" t="str">
        <f>IFERROR(_xlfn.XLOOKUP($A352,Input_Raw!$A:$A,Input_Raw!$BS:$BS),"")</f>
        <v/>
      </c>
      <c r="W352" s="241" t="str">
        <f t="shared" si="32"/>
        <v/>
      </c>
      <c r="X352" s="233" t="str">
        <f>IFERROR(_xlfn.XLOOKUP($A352,Input_Raw!$A:$A,Input_Raw!$AW:$AW),"")</f>
        <v/>
      </c>
      <c r="Y352" s="233" t="str">
        <f>IFERROR(_xlfn.XLOOKUP($A352,Input_Raw!$A:$A,Input_Raw!$BN:$BN),"")</f>
        <v/>
      </c>
      <c r="Z352" s="233"/>
      <c r="AA352" s="233" t="str">
        <f>IFERROR(_xlfn.XLOOKUP($A352,Input_Raw!$A:$A,Input_Raw!$BO:$BO),"")</f>
        <v/>
      </c>
      <c r="AB352" s="233" t="str">
        <f>IFERROR(_xlfn.XLOOKUP($A352,Input_Raw!$A:$A,Input_Raw!$BP:$BP),"")</f>
        <v/>
      </c>
      <c r="AC352" s="242" t="str">
        <f>IFERROR(_xlfn.XLOOKUP($D352,'Modelling New'!$D:$D,'Modelling New'!P:P),"")</f>
        <v/>
      </c>
      <c r="AD352" s="233" t="str">
        <f>IFERROR(_xlfn.XLOOKUP($D352,'Modelling New'!$D:$D,'Modelling New'!T:T)*1000,"")</f>
        <v/>
      </c>
      <c r="AE352" s="243" t="str">
        <f>IFERROR(_xlfn.XLOOKUP($D352,'Modelling New'!$D:$D,'Modelling New'!$O:$O),"")</f>
        <v/>
      </c>
      <c r="AF352" s="243" t="str">
        <f>IFERROR(_xlfn.XLOOKUP($D352,'Modelling New'!$D:$D,'Modelling New'!$W:$W),"")</f>
        <v/>
      </c>
      <c r="AG352" s="243" t="str">
        <f>IFERROR(_xlfn.XLOOKUP($D352,'Modelling New'!$D:$D,'Modelling New'!$AE:$AE),"")</f>
        <v/>
      </c>
      <c r="AH352" s="243" t="str">
        <f>IFERROR(_xlfn.XLOOKUP($D352,'Modelling New'!$D:$D,'Modelling New'!$AF:$AF),"")</f>
        <v/>
      </c>
      <c r="AI352" s="234"/>
      <c r="AJ352" s="234"/>
      <c r="AK352" s="234"/>
      <c r="AL352" s="234"/>
      <c r="AM352" s="234"/>
      <c r="AN352" s="244"/>
      <c r="AO352" s="241"/>
      <c r="AP352" s="241"/>
      <c r="AQ352" s="241"/>
      <c r="AR352" s="233" t="e">
        <f>_xlfn.XLOOKUP($D352,'Modelling New'!$D:$D,'Modelling New'!$N:$N)</f>
        <v>#N/A</v>
      </c>
      <c r="AS352" s="233" t="str">
        <f t="shared" si="33"/>
        <v/>
      </c>
    </row>
    <row r="353" spans="1:45">
      <c r="A353" s="232">
        <f t="shared" si="34"/>
        <v>46190</v>
      </c>
      <c r="B353" s="233">
        <f>YEAR(Daily_KPI[[#This Row],[Date]])+IF(MONTH(Daily_KPI[[#This Row],[Date]])&gt;=4,1,0)</f>
        <v>2027</v>
      </c>
      <c r="C353" s="234">
        <f>YEAR(Daily_KPI[[#This Row],[Date]])</f>
        <v>2026</v>
      </c>
      <c r="D353" s="235">
        <f>Daily_KPI[[#This Row],[Date]]-DAY(Daily_KPI[[#This Row],[Date]])+1</f>
        <v>46174</v>
      </c>
      <c r="E353" s="234">
        <f t="shared" si="30"/>
        <v>30</v>
      </c>
      <c r="F353" s="236" t="str">
        <f>IFERROR(_xlfn.XLOOKUP($A353,Input_Raw!$A:$A,Input_Raw!$BM:$BM),"")</f>
        <v/>
      </c>
      <c r="G353" s="237" t="str">
        <f>IFERROR(_xlfn.XLOOKUP($A353,Input_Raw!$A:$A,Input_Raw!$AN:$AN),"")</f>
        <v/>
      </c>
      <c r="H353" s="237"/>
      <c r="I353" s="237" t="str">
        <f>IFERROR(_xlfn.XLOOKUP($A353,Input_Raw!$A:$A,Input_Raw!$AM:$AM),"")</f>
        <v/>
      </c>
      <c r="J353" s="237"/>
      <c r="K353" s="237" t="str">
        <f>IFERROR(_xlfn.XLOOKUP($A353,Input_Raw!$A:$A,Input_Raw!AO:AO),"")</f>
        <v/>
      </c>
      <c r="L353" s="237" t="str">
        <f>IFERROR(_xlfn.XLOOKUP($A353,Input_Raw!$A:$A,Input_Raw!AP:AP),"")</f>
        <v/>
      </c>
      <c r="M353" s="237" t="str">
        <f>IFERROR(_xlfn.XLOOKUP($A353,Input_Raw!$A:$A,Input_Raw!AS:AS),"")</f>
        <v/>
      </c>
      <c r="N353" s="237" t="str">
        <f>IFERROR(_xlfn.XLOOKUP($A353,Input_Raw!$A:$A,Input_Raw!AT:AT),"")</f>
        <v/>
      </c>
      <c r="O353" s="238" t="str">
        <f>IFERROR(1-(SUMIF(Plant_BD!$B:$B,$A353,Plant_BD!$AL:$AL)/($AA353+SUMIF(Plant_BD!$B:$B,$A353,Plant_BD!$AL:$AL))),"")</f>
        <v/>
      </c>
      <c r="P353" s="238"/>
      <c r="Q353" s="239"/>
      <c r="R353" s="238" t="str">
        <f>IFERROR(1-(SUMIF(Grid_BD!$B:$B,$A353,Grid_BD!$V:$V)/($AA353+SUMIF(Grid_BD!$B:$B,$A353,Grid_BD!$V:$V))),"")</f>
        <v/>
      </c>
      <c r="S353" s="234"/>
      <c r="T353" s="239"/>
      <c r="U353" s="240" t="str">
        <f t="shared" si="31"/>
        <v/>
      </c>
      <c r="V353" s="240" t="str">
        <f>IFERROR(_xlfn.XLOOKUP($A353,Input_Raw!$A:$A,Input_Raw!$BS:$BS),"")</f>
        <v/>
      </c>
      <c r="W353" s="241" t="str">
        <f t="shared" si="32"/>
        <v/>
      </c>
      <c r="X353" s="233" t="str">
        <f>IFERROR(_xlfn.XLOOKUP($A353,Input_Raw!$A:$A,Input_Raw!$AW:$AW),"")</f>
        <v/>
      </c>
      <c r="Y353" s="233" t="str">
        <f>IFERROR(_xlfn.XLOOKUP($A353,Input_Raw!$A:$A,Input_Raw!$BN:$BN),"")</f>
        <v/>
      </c>
      <c r="Z353" s="233"/>
      <c r="AA353" s="233" t="str">
        <f>IFERROR(_xlfn.XLOOKUP($A353,Input_Raw!$A:$A,Input_Raw!$BO:$BO),"")</f>
        <v/>
      </c>
      <c r="AB353" s="233" t="str">
        <f>IFERROR(_xlfn.XLOOKUP($A353,Input_Raw!$A:$A,Input_Raw!$BP:$BP),"")</f>
        <v/>
      </c>
      <c r="AC353" s="242" t="str">
        <f>IFERROR(_xlfn.XLOOKUP($D353,'Modelling New'!$D:$D,'Modelling New'!P:P),"")</f>
        <v/>
      </c>
      <c r="AD353" s="233" t="str">
        <f>IFERROR(_xlfn.XLOOKUP($D353,'Modelling New'!$D:$D,'Modelling New'!T:T)*1000,"")</f>
        <v/>
      </c>
      <c r="AE353" s="243" t="str">
        <f>IFERROR(_xlfn.XLOOKUP($D353,'Modelling New'!$D:$D,'Modelling New'!$O:$O),"")</f>
        <v/>
      </c>
      <c r="AF353" s="243" t="str">
        <f>IFERROR(_xlfn.XLOOKUP($D353,'Modelling New'!$D:$D,'Modelling New'!$W:$W),"")</f>
        <v/>
      </c>
      <c r="AG353" s="243" t="str">
        <f>IFERROR(_xlfn.XLOOKUP($D353,'Modelling New'!$D:$D,'Modelling New'!$AE:$AE),"")</f>
        <v/>
      </c>
      <c r="AH353" s="243" t="str">
        <f>IFERROR(_xlfn.XLOOKUP($D353,'Modelling New'!$D:$D,'Modelling New'!$AF:$AF),"")</f>
        <v/>
      </c>
      <c r="AI353" s="234"/>
      <c r="AJ353" s="234"/>
      <c r="AK353" s="234"/>
      <c r="AL353" s="234"/>
      <c r="AM353" s="234"/>
      <c r="AN353" s="244"/>
      <c r="AO353" s="241"/>
      <c r="AP353" s="241"/>
      <c r="AQ353" s="241"/>
      <c r="AR353" s="233" t="e">
        <f>_xlfn.XLOOKUP($D353,'Modelling New'!$D:$D,'Modelling New'!$N:$N)</f>
        <v>#N/A</v>
      </c>
      <c r="AS353" s="233" t="str">
        <f t="shared" si="33"/>
        <v/>
      </c>
    </row>
    <row r="354" spans="1:45">
      <c r="A354" s="232">
        <f t="shared" si="34"/>
        <v>46191</v>
      </c>
      <c r="B354" s="233">
        <f>YEAR(Daily_KPI[[#This Row],[Date]])+IF(MONTH(Daily_KPI[[#This Row],[Date]])&gt;=4,1,0)</f>
        <v>2027</v>
      </c>
      <c r="C354" s="234">
        <f>YEAR(Daily_KPI[[#This Row],[Date]])</f>
        <v>2026</v>
      </c>
      <c r="D354" s="235">
        <f>Daily_KPI[[#This Row],[Date]]-DAY(Daily_KPI[[#This Row],[Date]])+1</f>
        <v>46174</v>
      </c>
      <c r="E354" s="234">
        <f t="shared" si="30"/>
        <v>30</v>
      </c>
      <c r="F354" s="236" t="str">
        <f>IFERROR(_xlfn.XLOOKUP($A354,Input_Raw!$A:$A,Input_Raw!$BM:$BM),"")</f>
        <v/>
      </c>
      <c r="G354" s="237" t="str">
        <f>IFERROR(_xlfn.XLOOKUP($A354,Input_Raw!$A:$A,Input_Raw!$AN:$AN),"")</f>
        <v/>
      </c>
      <c r="H354" s="237"/>
      <c r="I354" s="237" t="str">
        <f>IFERROR(_xlfn.XLOOKUP($A354,Input_Raw!$A:$A,Input_Raw!$AM:$AM),"")</f>
        <v/>
      </c>
      <c r="J354" s="237"/>
      <c r="K354" s="237" t="str">
        <f>IFERROR(_xlfn.XLOOKUP($A354,Input_Raw!$A:$A,Input_Raw!AO:AO),"")</f>
        <v/>
      </c>
      <c r="L354" s="237" t="str">
        <f>IFERROR(_xlfn.XLOOKUP($A354,Input_Raw!$A:$A,Input_Raw!AP:AP),"")</f>
        <v/>
      </c>
      <c r="M354" s="237" t="str">
        <f>IFERROR(_xlfn.XLOOKUP($A354,Input_Raw!$A:$A,Input_Raw!AS:AS),"")</f>
        <v/>
      </c>
      <c r="N354" s="237" t="str">
        <f>IFERROR(_xlfn.XLOOKUP($A354,Input_Raw!$A:$A,Input_Raw!AT:AT),"")</f>
        <v/>
      </c>
      <c r="O354" s="238" t="str">
        <f>IFERROR(1-(SUMIF(Plant_BD!$B:$B,$A354,Plant_BD!$AL:$AL)/($AA354+SUMIF(Plant_BD!$B:$B,$A354,Plant_BD!$AL:$AL))),"")</f>
        <v/>
      </c>
      <c r="P354" s="238"/>
      <c r="Q354" s="239"/>
      <c r="R354" s="238" t="str">
        <f>IFERROR(1-(SUMIF(Grid_BD!$B:$B,$A354,Grid_BD!$V:$V)/($AA354+SUMIF(Grid_BD!$B:$B,$A354,Grid_BD!$V:$V))),"")</f>
        <v/>
      </c>
      <c r="S354" s="234"/>
      <c r="T354" s="239"/>
      <c r="U354" s="240" t="str">
        <f t="shared" si="31"/>
        <v/>
      </c>
      <c r="V354" s="240" t="str">
        <f>IFERROR(_xlfn.XLOOKUP($A354,Input_Raw!$A:$A,Input_Raw!$BS:$BS),"")</f>
        <v/>
      </c>
      <c r="W354" s="241" t="str">
        <f t="shared" si="32"/>
        <v/>
      </c>
      <c r="X354" s="233" t="str">
        <f>IFERROR(_xlfn.XLOOKUP($A354,Input_Raw!$A:$A,Input_Raw!$AW:$AW),"")</f>
        <v/>
      </c>
      <c r="Y354" s="233" t="str">
        <f>IFERROR(_xlfn.XLOOKUP($A354,Input_Raw!$A:$A,Input_Raw!$BN:$BN),"")</f>
        <v/>
      </c>
      <c r="Z354" s="233"/>
      <c r="AA354" s="233" t="str">
        <f>IFERROR(_xlfn.XLOOKUP($A354,Input_Raw!$A:$A,Input_Raw!$BO:$BO),"")</f>
        <v/>
      </c>
      <c r="AB354" s="233" t="str">
        <f>IFERROR(_xlfn.XLOOKUP($A354,Input_Raw!$A:$A,Input_Raw!$BP:$BP),"")</f>
        <v/>
      </c>
      <c r="AC354" s="242" t="str">
        <f>IFERROR(_xlfn.XLOOKUP($D354,'Modelling New'!$D:$D,'Modelling New'!P:P),"")</f>
        <v/>
      </c>
      <c r="AD354" s="233" t="str">
        <f>IFERROR(_xlfn.XLOOKUP($D354,'Modelling New'!$D:$D,'Modelling New'!T:T)*1000,"")</f>
        <v/>
      </c>
      <c r="AE354" s="243" t="str">
        <f>IFERROR(_xlfn.XLOOKUP($D354,'Modelling New'!$D:$D,'Modelling New'!$O:$O),"")</f>
        <v/>
      </c>
      <c r="AF354" s="243" t="str">
        <f>IFERROR(_xlfn.XLOOKUP($D354,'Modelling New'!$D:$D,'Modelling New'!$W:$W),"")</f>
        <v/>
      </c>
      <c r="AG354" s="243" t="str">
        <f>IFERROR(_xlfn.XLOOKUP($D354,'Modelling New'!$D:$D,'Modelling New'!$AE:$AE),"")</f>
        <v/>
      </c>
      <c r="AH354" s="243" t="str">
        <f>IFERROR(_xlfn.XLOOKUP($D354,'Modelling New'!$D:$D,'Modelling New'!$AF:$AF),"")</f>
        <v/>
      </c>
      <c r="AI354" s="234"/>
      <c r="AJ354" s="234"/>
      <c r="AK354" s="234"/>
      <c r="AL354" s="234"/>
      <c r="AM354" s="234"/>
      <c r="AN354" s="244"/>
      <c r="AO354" s="241"/>
      <c r="AP354" s="241"/>
      <c r="AQ354" s="241"/>
      <c r="AR354" s="233" t="e">
        <f>_xlfn.XLOOKUP($D354,'Modelling New'!$D:$D,'Modelling New'!$N:$N)</f>
        <v>#N/A</v>
      </c>
      <c r="AS354" s="233" t="str">
        <f t="shared" si="33"/>
        <v/>
      </c>
    </row>
    <row r="355" spans="1:45">
      <c r="A355" s="232">
        <f t="shared" si="34"/>
        <v>46192</v>
      </c>
      <c r="B355" s="233">
        <f>YEAR(Daily_KPI[[#This Row],[Date]])+IF(MONTH(Daily_KPI[[#This Row],[Date]])&gt;=4,1,0)</f>
        <v>2027</v>
      </c>
      <c r="C355" s="234">
        <f>YEAR(Daily_KPI[[#This Row],[Date]])</f>
        <v>2026</v>
      </c>
      <c r="D355" s="235">
        <f>Daily_KPI[[#This Row],[Date]]-DAY(Daily_KPI[[#This Row],[Date]])+1</f>
        <v>46174</v>
      </c>
      <c r="E355" s="234">
        <f t="shared" si="30"/>
        <v>30</v>
      </c>
      <c r="F355" s="236" t="str">
        <f>IFERROR(_xlfn.XLOOKUP($A355,Input_Raw!$A:$A,Input_Raw!$BM:$BM),"")</f>
        <v/>
      </c>
      <c r="G355" s="237" t="str">
        <f>IFERROR(_xlfn.XLOOKUP($A355,Input_Raw!$A:$A,Input_Raw!$AN:$AN),"")</f>
        <v/>
      </c>
      <c r="H355" s="237"/>
      <c r="I355" s="237" t="str">
        <f>IFERROR(_xlfn.XLOOKUP($A355,Input_Raw!$A:$A,Input_Raw!$AM:$AM),"")</f>
        <v/>
      </c>
      <c r="J355" s="237"/>
      <c r="K355" s="237" t="str">
        <f>IFERROR(_xlfn.XLOOKUP($A355,Input_Raw!$A:$A,Input_Raw!AO:AO),"")</f>
        <v/>
      </c>
      <c r="L355" s="237" t="str">
        <f>IFERROR(_xlfn.XLOOKUP($A355,Input_Raw!$A:$A,Input_Raw!AP:AP),"")</f>
        <v/>
      </c>
      <c r="M355" s="237" t="str">
        <f>IFERROR(_xlfn.XLOOKUP($A355,Input_Raw!$A:$A,Input_Raw!AS:AS),"")</f>
        <v/>
      </c>
      <c r="N355" s="237" t="str">
        <f>IFERROR(_xlfn.XLOOKUP($A355,Input_Raw!$A:$A,Input_Raw!AT:AT),"")</f>
        <v/>
      </c>
      <c r="O355" s="238" t="str">
        <f>IFERROR(1-(SUMIF(Plant_BD!$B:$B,$A355,Plant_BD!$AL:$AL)/($AA355+SUMIF(Plant_BD!$B:$B,$A355,Plant_BD!$AL:$AL))),"")</f>
        <v/>
      </c>
      <c r="P355" s="238"/>
      <c r="Q355" s="239"/>
      <c r="R355" s="238" t="str">
        <f>IFERROR(1-(SUMIF(Grid_BD!$B:$B,$A355,Grid_BD!$V:$V)/($AA355+SUMIF(Grid_BD!$B:$B,$A355,Grid_BD!$V:$V))),"")</f>
        <v/>
      </c>
      <c r="S355" s="234"/>
      <c r="T355" s="239"/>
      <c r="U355" s="240" t="str">
        <f t="shared" si="31"/>
        <v/>
      </c>
      <c r="V355" s="240" t="str">
        <f>IFERROR(_xlfn.XLOOKUP($A355,Input_Raw!$A:$A,Input_Raw!$BS:$BS),"")</f>
        <v/>
      </c>
      <c r="W355" s="241" t="str">
        <f t="shared" si="32"/>
        <v/>
      </c>
      <c r="X355" s="233" t="str">
        <f>IFERROR(_xlfn.XLOOKUP($A355,Input_Raw!$A:$A,Input_Raw!$AW:$AW),"")</f>
        <v/>
      </c>
      <c r="Y355" s="233" t="str">
        <f>IFERROR(_xlfn.XLOOKUP($A355,Input_Raw!$A:$A,Input_Raw!$BN:$BN),"")</f>
        <v/>
      </c>
      <c r="Z355" s="233"/>
      <c r="AA355" s="233" t="str">
        <f>IFERROR(_xlfn.XLOOKUP($A355,Input_Raw!$A:$A,Input_Raw!$BO:$BO),"")</f>
        <v/>
      </c>
      <c r="AB355" s="233" t="str">
        <f>IFERROR(_xlfn.XLOOKUP($A355,Input_Raw!$A:$A,Input_Raw!$BP:$BP),"")</f>
        <v/>
      </c>
      <c r="AC355" s="242" t="str">
        <f>IFERROR(_xlfn.XLOOKUP($D355,'Modelling New'!$D:$D,'Modelling New'!P:P),"")</f>
        <v/>
      </c>
      <c r="AD355" s="233" t="str">
        <f>IFERROR(_xlfn.XLOOKUP($D355,'Modelling New'!$D:$D,'Modelling New'!T:T)*1000,"")</f>
        <v/>
      </c>
      <c r="AE355" s="243" t="str">
        <f>IFERROR(_xlfn.XLOOKUP($D355,'Modelling New'!$D:$D,'Modelling New'!$O:$O),"")</f>
        <v/>
      </c>
      <c r="AF355" s="243" t="str">
        <f>IFERROR(_xlfn.XLOOKUP($D355,'Modelling New'!$D:$D,'Modelling New'!$W:$W),"")</f>
        <v/>
      </c>
      <c r="AG355" s="243" t="str">
        <f>IFERROR(_xlfn.XLOOKUP($D355,'Modelling New'!$D:$D,'Modelling New'!$AE:$AE),"")</f>
        <v/>
      </c>
      <c r="AH355" s="243" t="str">
        <f>IFERROR(_xlfn.XLOOKUP($D355,'Modelling New'!$D:$D,'Modelling New'!$AF:$AF),"")</f>
        <v/>
      </c>
      <c r="AI355" s="234"/>
      <c r="AJ355" s="234"/>
      <c r="AK355" s="234"/>
      <c r="AL355" s="234"/>
      <c r="AM355" s="234"/>
      <c r="AN355" s="244"/>
      <c r="AO355" s="241"/>
      <c r="AP355" s="241"/>
      <c r="AQ355" s="241"/>
      <c r="AR355" s="233" t="e">
        <f>_xlfn.XLOOKUP($D355,'Modelling New'!$D:$D,'Modelling New'!$N:$N)</f>
        <v>#N/A</v>
      </c>
      <c r="AS355" s="233" t="str">
        <f t="shared" si="33"/>
        <v/>
      </c>
    </row>
    <row r="356" spans="1:45">
      <c r="A356" s="232">
        <f t="shared" si="34"/>
        <v>46193</v>
      </c>
      <c r="B356" s="233">
        <f>YEAR(Daily_KPI[[#This Row],[Date]])+IF(MONTH(Daily_KPI[[#This Row],[Date]])&gt;=4,1,0)</f>
        <v>2027</v>
      </c>
      <c r="C356" s="234">
        <f>YEAR(Daily_KPI[[#This Row],[Date]])</f>
        <v>2026</v>
      </c>
      <c r="D356" s="235">
        <f>Daily_KPI[[#This Row],[Date]]-DAY(Daily_KPI[[#This Row],[Date]])+1</f>
        <v>46174</v>
      </c>
      <c r="E356" s="234">
        <f t="shared" si="30"/>
        <v>30</v>
      </c>
      <c r="F356" s="236" t="str">
        <f>IFERROR(_xlfn.XLOOKUP($A356,Input_Raw!$A:$A,Input_Raw!$BM:$BM),"")</f>
        <v/>
      </c>
      <c r="G356" s="237" t="str">
        <f>IFERROR(_xlfn.XLOOKUP($A356,Input_Raw!$A:$A,Input_Raw!$AN:$AN),"")</f>
        <v/>
      </c>
      <c r="H356" s="237"/>
      <c r="I356" s="237" t="str">
        <f>IFERROR(_xlfn.XLOOKUP($A356,Input_Raw!$A:$A,Input_Raw!$AM:$AM),"")</f>
        <v/>
      </c>
      <c r="J356" s="237"/>
      <c r="K356" s="237" t="str">
        <f>IFERROR(_xlfn.XLOOKUP($A356,Input_Raw!$A:$A,Input_Raw!AO:AO),"")</f>
        <v/>
      </c>
      <c r="L356" s="237" t="str">
        <f>IFERROR(_xlfn.XLOOKUP($A356,Input_Raw!$A:$A,Input_Raw!AP:AP),"")</f>
        <v/>
      </c>
      <c r="M356" s="237" t="str">
        <f>IFERROR(_xlfn.XLOOKUP($A356,Input_Raw!$A:$A,Input_Raw!AS:AS),"")</f>
        <v/>
      </c>
      <c r="N356" s="237" t="str">
        <f>IFERROR(_xlfn.XLOOKUP($A356,Input_Raw!$A:$A,Input_Raw!AT:AT),"")</f>
        <v/>
      </c>
      <c r="O356" s="238" t="str">
        <f>IFERROR(1-(SUMIF(Plant_BD!$B:$B,$A356,Plant_BD!$AL:$AL)/($AA356+SUMIF(Plant_BD!$B:$B,$A356,Plant_BD!$AL:$AL))),"")</f>
        <v/>
      </c>
      <c r="P356" s="238"/>
      <c r="Q356" s="239"/>
      <c r="R356" s="238" t="str">
        <f>IFERROR(1-(SUMIF(Grid_BD!$B:$B,$A356,Grid_BD!$V:$V)/($AA356+SUMIF(Grid_BD!$B:$B,$A356,Grid_BD!$V:$V))),"")</f>
        <v/>
      </c>
      <c r="S356" s="234"/>
      <c r="T356" s="239"/>
      <c r="U356" s="240" t="str">
        <f t="shared" si="31"/>
        <v/>
      </c>
      <c r="V356" s="240" t="str">
        <f>IFERROR(_xlfn.XLOOKUP($A356,Input_Raw!$A:$A,Input_Raw!$BS:$BS),"")</f>
        <v/>
      </c>
      <c r="W356" s="241" t="str">
        <f t="shared" si="32"/>
        <v/>
      </c>
      <c r="X356" s="233" t="str">
        <f>IFERROR(_xlfn.XLOOKUP($A356,Input_Raw!$A:$A,Input_Raw!$AW:$AW),"")</f>
        <v/>
      </c>
      <c r="Y356" s="233" t="str">
        <f>IFERROR(_xlfn.XLOOKUP($A356,Input_Raw!$A:$A,Input_Raw!$BN:$BN),"")</f>
        <v/>
      </c>
      <c r="Z356" s="233"/>
      <c r="AA356" s="233" t="str">
        <f>IFERROR(_xlfn.XLOOKUP($A356,Input_Raw!$A:$A,Input_Raw!$BO:$BO),"")</f>
        <v/>
      </c>
      <c r="AB356" s="233" t="str">
        <f>IFERROR(_xlfn.XLOOKUP($A356,Input_Raw!$A:$A,Input_Raw!$BP:$BP),"")</f>
        <v/>
      </c>
      <c r="AC356" s="242" t="str">
        <f>IFERROR(_xlfn.XLOOKUP($D356,'Modelling New'!$D:$D,'Modelling New'!P:P),"")</f>
        <v/>
      </c>
      <c r="AD356" s="233" t="str">
        <f>IFERROR(_xlfn.XLOOKUP($D356,'Modelling New'!$D:$D,'Modelling New'!T:T)*1000,"")</f>
        <v/>
      </c>
      <c r="AE356" s="243" t="str">
        <f>IFERROR(_xlfn.XLOOKUP($D356,'Modelling New'!$D:$D,'Modelling New'!$O:$O),"")</f>
        <v/>
      </c>
      <c r="AF356" s="243" t="str">
        <f>IFERROR(_xlfn.XLOOKUP($D356,'Modelling New'!$D:$D,'Modelling New'!$W:$W),"")</f>
        <v/>
      </c>
      <c r="AG356" s="243" t="str">
        <f>IFERROR(_xlfn.XLOOKUP($D356,'Modelling New'!$D:$D,'Modelling New'!$AE:$AE),"")</f>
        <v/>
      </c>
      <c r="AH356" s="243" t="str">
        <f>IFERROR(_xlfn.XLOOKUP($D356,'Modelling New'!$D:$D,'Modelling New'!$AF:$AF),"")</f>
        <v/>
      </c>
      <c r="AI356" s="234"/>
      <c r="AJ356" s="234"/>
      <c r="AK356" s="234"/>
      <c r="AL356" s="234"/>
      <c r="AM356" s="234"/>
      <c r="AN356" s="244"/>
      <c r="AO356" s="241"/>
      <c r="AP356" s="241"/>
      <c r="AQ356" s="241"/>
      <c r="AR356" s="233" t="e">
        <f>_xlfn.XLOOKUP($D356,'Modelling New'!$D:$D,'Modelling New'!$N:$N)</f>
        <v>#N/A</v>
      </c>
      <c r="AS356" s="233" t="str">
        <f t="shared" si="33"/>
        <v/>
      </c>
    </row>
    <row r="357" spans="1:45">
      <c r="A357" s="232">
        <f t="shared" si="34"/>
        <v>46194</v>
      </c>
      <c r="B357" s="233">
        <f>YEAR(Daily_KPI[[#This Row],[Date]])+IF(MONTH(Daily_KPI[[#This Row],[Date]])&gt;=4,1,0)</f>
        <v>2027</v>
      </c>
      <c r="C357" s="234">
        <f>YEAR(Daily_KPI[[#This Row],[Date]])</f>
        <v>2026</v>
      </c>
      <c r="D357" s="235">
        <f>Daily_KPI[[#This Row],[Date]]-DAY(Daily_KPI[[#This Row],[Date]])+1</f>
        <v>46174</v>
      </c>
      <c r="E357" s="234">
        <f t="shared" si="30"/>
        <v>30</v>
      </c>
      <c r="F357" s="236" t="str">
        <f>IFERROR(_xlfn.XLOOKUP($A357,Input_Raw!$A:$A,Input_Raw!$BM:$BM),"")</f>
        <v/>
      </c>
      <c r="G357" s="237" t="str">
        <f>IFERROR(_xlfn.XLOOKUP($A357,Input_Raw!$A:$A,Input_Raw!$AN:$AN),"")</f>
        <v/>
      </c>
      <c r="H357" s="237"/>
      <c r="I357" s="237" t="str">
        <f>IFERROR(_xlfn.XLOOKUP($A357,Input_Raw!$A:$A,Input_Raw!$AM:$AM),"")</f>
        <v/>
      </c>
      <c r="J357" s="237"/>
      <c r="K357" s="237" t="str">
        <f>IFERROR(_xlfn.XLOOKUP($A357,Input_Raw!$A:$A,Input_Raw!AO:AO),"")</f>
        <v/>
      </c>
      <c r="L357" s="237" t="str">
        <f>IFERROR(_xlfn.XLOOKUP($A357,Input_Raw!$A:$A,Input_Raw!AP:AP),"")</f>
        <v/>
      </c>
      <c r="M357" s="237" t="str">
        <f>IFERROR(_xlfn.XLOOKUP($A357,Input_Raw!$A:$A,Input_Raw!AS:AS),"")</f>
        <v/>
      </c>
      <c r="N357" s="237" t="str">
        <f>IFERROR(_xlfn.XLOOKUP($A357,Input_Raw!$A:$A,Input_Raw!AT:AT),"")</f>
        <v/>
      </c>
      <c r="O357" s="238" t="str">
        <f>IFERROR(1-(SUMIF(Plant_BD!$B:$B,$A357,Plant_BD!$AL:$AL)/($AA357+SUMIF(Plant_BD!$B:$B,$A357,Plant_BD!$AL:$AL))),"")</f>
        <v/>
      </c>
      <c r="P357" s="238"/>
      <c r="Q357" s="239"/>
      <c r="R357" s="238" t="str">
        <f>IFERROR(1-(SUMIF(Grid_BD!$B:$B,$A357,Grid_BD!$V:$V)/($AA357+SUMIF(Grid_BD!$B:$B,$A357,Grid_BD!$V:$V))),"")</f>
        <v/>
      </c>
      <c r="S357" s="234"/>
      <c r="T357" s="239"/>
      <c r="U357" s="240" t="str">
        <f t="shared" si="31"/>
        <v/>
      </c>
      <c r="V357" s="240" t="str">
        <f>IFERROR(_xlfn.XLOOKUP($A357,Input_Raw!$A:$A,Input_Raw!$BS:$BS),"")</f>
        <v/>
      </c>
      <c r="W357" s="241" t="str">
        <f t="shared" si="32"/>
        <v/>
      </c>
      <c r="X357" s="233" t="str">
        <f>IFERROR(_xlfn.XLOOKUP($A357,Input_Raw!$A:$A,Input_Raw!$AW:$AW),"")</f>
        <v/>
      </c>
      <c r="Y357" s="233" t="str">
        <f>IFERROR(_xlfn.XLOOKUP($A357,Input_Raw!$A:$A,Input_Raw!$BN:$BN),"")</f>
        <v/>
      </c>
      <c r="Z357" s="233"/>
      <c r="AA357" s="233" t="str">
        <f>IFERROR(_xlfn.XLOOKUP($A357,Input_Raw!$A:$A,Input_Raw!$BO:$BO),"")</f>
        <v/>
      </c>
      <c r="AB357" s="233" t="str">
        <f>IFERROR(_xlfn.XLOOKUP($A357,Input_Raw!$A:$A,Input_Raw!$BP:$BP),"")</f>
        <v/>
      </c>
      <c r="AC357" s="242" t="str">
        <f>IFERROR(_xlfn.XLOOKUP($D357,'Modelling New'!$D:$D,'Modelling New'!P:P),"")</f>
        <v/>
      </c>
      <c r="AD357" s="233" t="str">
        <f>IFERROR(_xlfn.XLOOKUP($D357,'Modelling New'!$D:$D,'Modelling New'!T:T)*1000,"")</f>
        <v/>
      </c>
      <c r="AE357" s="243" t="str">
        <f>IFERROR(_xlfn.XLOOKUP($D357,'Modelling New'!$D:$D,'Modelling New'!$O:$O),"")</f>
        <v/>
      </c>
      <c r="AF357" s="243" t="str">
        <f>IFERROR(_xlfn.XLOOKUP($D357,'Modelling New'!$D:$D,'Modelling New'!$W:$W),"")</f>
        <v/>
      </c>
      <c r="AG357" s="243" t="str">
        <f>IFERROR(_xlfn.XLOOKUP($D357,'Modelling New'!$D:$D,'Modelling New'!$AE:$AE),"")</f>
        <v/>
      </c>
      <c r="AH357" s="243" t="str">
        <f>IFERROR(_xlfn.XLOOKUP($D357,'Modelling New'!$D:$D,'Modelling New'!$AF:$AF),"")</f>
        <v/>
      </c>
      <c r="AI357" s="234"/>
      <c r="AJ357" s="234"/>
      <c r="AK357" s="234"/>
      <c r="AL357" s="234"/>
      <c r="AM357" s="234"/>
      <c r="AN357" s="244"/>
      <c r="AO357" s="241"/>
      <c r="AP357" s="241"/>
      <c r="AQ357" s="241"/>
      <c r="AR357" s="233" t="e">
        <f>_xlfn.XLOOKUP($D357,'Modelling New'!$D:$D,'Modelling New'!$N:$N)</f>
        <v>#N/A</v>
      </c>
      <c r="AS357" s="233" t="str">
        <f t="shared" si="33"/>
        <v/>
      </c>
    </row>
    <row r="358" spans="1:45">
      <c r="A358" s="232">
        <f t="shared" si="34"/>
        <v>46195</v>
      </c>
      <c r="B358" s="233">
        <f>YEAR(Daily_KPI[[#This Row],[Date]])+IF(MONTH(Daily_KPI[[#This Row],[Date]])&gt;=4,1,0)</f>
        <v>2027</v>
      </c>
      <c r="C358" s="234">
        <f>YEAR(Daily_KPI[[#This Row],[Date]])</f>
        <v>2026</v>
      </c>
      <c r="D358" s="235">
        <f>Daily_KPI[[#This Row],[Date]]-DAY(Daily_KPI[[#This Row],[Date]])+1</f>
        <v>46174</v>
      </c>
      <c r="E358" s="234">
        <f t="shared" si="30"/>
        <v>30</v>
      </c>
      <c r="F358" s="236" t="str">
        <f>IFERROR(_xlfn.XLOOKUP($A358,Input_Raw!$A:$A,Input_Raw!$BM:$BM),"")</f>
        <v/>
      </c>
      <c r="G358" s="237" t="str">
        <f>IFERROR(_xlfn.XLOOKUP($A358,Input_Raw!$A:$A,Input_Raw!$AN:$AN),"")</f>
        <v/>
      </c>
      <c r="H358" s="237"/>
      <c r="I358" s="237" t="str">
        <f>IFERROR(_xlfn.XLOOKUP($A358,Input_Raw!$A:$A,Input_Raw!$AM:$AM),"")</f>
        <v/>
      </c>
      <c r="J358" s="237"/>
      <c r="K358" s="237" t="str">
        <f>IFERROR(_xlfn.XLOOKUP($A358,Input_Raw!$A:$A,Input_Raw!AO:AO),"")</f>
        <v/>
      </c>
      <c r="L358" s="237" t="str">
        <f>IFERROR(_xlfn.XLOOKUP($A358,Input_Raw!$A:$A,Input_Raw!AP:AP),"")</f>
        <v/>
      </c>
      <c r="M358" s="237" t="str">
        <f>IFERROR(_xlfn.XLOOKUP($A358,Input_Raw!$A:$A,Input_Raw!AS:AS),"")</f>
        <v/>
      </c>
      <c r="N358" s="237" t="str">
        <f>IFERROR(_xlfn.XLOOKUP($A358,Input_Raw!$A:$A,Input_Raw!AT:AT),"")</f>
        <v/>
      </c>
      <c r="O358" s="238" t="str">
        <f>IFERROR(1-(SUMIF(Plant_BD!$B:$B,$A358,Plant_BD!$AL:$AL)/($AA358+SUMIF(Plant_BD!$B:$B,$A358,Plant_BD!$AL:$AL))),"")</f>
        <v/>
      </c>
      <c r="P358" s="238"/>
      <c r="Q358" s="239"/>
      <c r="R358" s="238" t="str">
        <f>IFERROR(1-(SUMIF(Grid_BD!$B:$B,$A358,Grid_BD!$V:$V)/($AA358+SUMIF(Grid_BD!$B:$B,$A358,Grid_BD!$V:$V))),"")</f>
        <v/>
      </c>
      <c r="S358" s="234"/>
      <c r="T358" s="239"/>
      <c r="U358" s="240" t="str">
        <f t="shared" si="31"/>
        <v/>
      </c>
      <c r="V358" s="240" t="str">
        <f>IFERROR(_xlfn.XLOOKUP($A358,Input_Raw!$A:$A,Input_Raw!$BS:$BS),"")</f>
        <v/>
      </c>
      <c r="W358" s="241" t="str">
        <f t="shared" si="32"/>
        <v/>
      </c>
      <c r="X358" s="233" t="str">
        <f>IFERROR(_xlfn.XLOOKUP($A358,Input_Raw!$A:$A,Input_Raw!$AW:$AW),"")</f>
        <v/>
      </c>
      <c r="Y358" s="233" t="str">
        <f>IFERROR(_xlfn.XLOOKUP($A358,Input_Raw!$A:$A,Input_Raw!$BN:$BN),"")</f>
        <v/>
      </c>
      <c r="Z358" s="233"/>
      <c r="AA358" s="233" t="str">
        <f>IFERROR(_xlfn.XLOOKUP($A358,Input_Raw!$A:$A,Input_Raw!$BO:$BO),"")</f>
        <v/>
      </c>
      <c r="AB358" s="233" t="str">
        <f>IFERROR(_xlfn.XLOOKUP($A358,Input_Raw!$A:$A,Input_Raw!$BP:$BP),"")</f>
        <v/>
      </c>
      <c r="AC358" s="242" t="str">
        <f>IFERROR(_xlfn.XLOOKUP($D358,'Modelling New'!$D:$D,'Modelling New'!P:P),"")</f>
        <v/>
      </c>
      <c r="AD358" s="233" t="str">
        <f>IFERROR(_xlfn.XLOOKUP($D358,'Modelling New'!$D:$D,'Modelling New'!T:T)*1000,"")</f>
        <v/>
      </c>
      <c r="AE358" s="243" t="str">
        <f>IFERROR(_xlfn.XLOOKUP($D358,'Modelling New'!$D:$D,'Modelling New'!$O:$O),"")</f>
        <v/>
      </c>
      <c r="AF358" s="243" t="str">
        <f>IFERROR(_xlfn.XLOOKUP($D358,'Modelling New'!$D:$D,'Modelling New'!$W:$W),"")</f>
        <v/>
      </c>
      <c r="AG358" s="243" t="str">
        <f>IFERROR(_xlfn.XLOOKUP($D358,'Modelling New'!$D:$D,'Modelling New'!$AE:$AE),"")</f>
        <v/>
      </c>
      <c r="AH358" s="243" t="str">
        <f>IFERROR(_xlfn.XLOOKUP($D358,'Modelling New'!$D:$D,'Modelling New'!$AF:$AF),"")</f>
        <v/>
      </c>
      <c r="AI358" s="234"/>
      <c r="AJ358" s="234"/>
      <c r="AK358" s="234"/>
      <c r="AL358" s="234"/>
      <c r="AM358" s="234"/>
      <c r="AN358" s="244"/>
      <c r="AO358" s="241"/>
      <c r="AP358" s="241"/>
      <c r="AQ358" s="241"/>
      <c r="AR358" s="233" t="e">
        <f>_xlfn.XLOOKUP($D358,'Modelling New'!$D:$D,'Modelling New'!$N:$N)</f>
        <v>#N/A</v>
      </c>
      <c r="AS358" s="233" t="str">
        <f t="shared" si="33"/>
        <v/>
      </c>
    </row>
    <row r="359" spans="1:45">
      <c r="A359" s="232">
        <f t="shared" si="34"/>
        <v>46196</v>
      </c>
      <c r="B359" s="233">
        <f>YEAR(Daily_KPI[[#This Row],[Date]])+IF(MONTH(Daily_KPI[[#This Row],[Date]])&gt;=4,1,0)</f>
        <v>2027</v>
      </c>
      <c r="C359" s="234">
        <f>YEAR(Daily_KPI[[#This Row],[Date]])</f>
        <v>2026</v>
      </c>
      <c r="D359" s="235">
        <f>Daily_KPI[[#This Row],[Date]]-DAY(Daily_KPI[[#This Row],[Date]])+1</f>
        <v>46174</v>
      </c>
      <c r="E359" s="234">
        <f t="shared" si="30"/>
        <v>30</v>
      </c>
      <c r="F359" s="236" t="str">
        <f>IFERROR(_xlfn.XLOOKUP($A359,Input_Raw!$A:$A,Input_Raw!$BM:$BM),"")</f>
        <v/>
      </c>
      <c r="G359" s="237" t="str">
        <f>IFERROR(_xlfn.XLOOKUP($A359,Input_Raw!$A:$A,Input_Raw!$AN:$AN),"")</f>
        <v/>
      </c>
      <c r="H359" s="237"/>
      <c r="I359" s="237" t="str">
        <f>IFERROR(_xlfn.XLOOKUP($A359,Input_Raw!$A:$A,Input_Raw!$AM:$AM),"")</f>
        <v/>
      </c>
      <c r="J359" s="237"/>
      <c r="K359" s="237" t="str">
        <f>IFERROR(_xlfn.XLOOKUP($A359,Input_Raw!$A:$A,Input_Raw!AO:AO),"")</f>
        <v/>
      </c>
      <c r="L359" s="237" t="str">
        <f>IFERROR(_xlfn.XLOOKUP($A359,Input_Raw!$A:$A,Input_Raw!AP:AP),"")</f>
        <v/>
      </c>
      <c r="M359" s="237" t="str">
        <f>IFERROR(_xlfn.XLOOKUP($A359,Input_Raw!$A:$A,Input_Raw!AS:AS),"")</f>
        <v/>
      </c>
      <c r="N359" s="237" t="str">
        <f>IFERROR(_xlfn.XLOOKUP($A359,Input_Raw!$A:$A,Input_Raw!AT:AT),"")</f>
        <v/>
      </c>
      <c r="O359" s="238" t="str">
        <f>IFERROR(1-(SUMIF(Plant_BD!$B:$B,$A359,Plant_BD!$AL:$AL)/($AA359+SUMIF(Plant_BD!$B:$B,$A359,Plant_BD!$AL:$AL))),"")</f>
        <v/>
      </c>
      <c r="P359" s="238"/>
      <c r="Q359" s="239"/>
      <c r="R359" s="238" t="str">
        <f>IFERROR(1-(SUMIF(Grid_BD!$B:$B,$A359,Grid_BD!$V:$V)/($AA359+SUMIF(Grid_BD!$B:$B,$A359,Grid_BD!$V:$V))),"")</f>
        <v/>
      </c>
      <c r="S359" s="234"/>
      <c r="T359" s="239"/>
      <c r="U359" s="240" t="str">
        <f t="shared" si="31"/>
        <v/>
      </c>
      <c r="V359" s="240" t="str">
        <f>IFERROR(_xlfn.XLOOKUP($A359,Input_Raw!$A:$A,Input_Raw!$BS:$BS),"")</f>
        <v/>
      </c>
      <c r="W359" s="241" t="str">
        <f t="shared" si="32"/>
        <v/>
      </c>
      <c r="X359" s="233" t="str">
        <f>IFERROR(_xlfn.XLOOKUP($A359,Input_Raw!$A:$A,Input_Raw!$AW:$AW),"")</f>
        <v/>
      </c>
      <c r="Y359" s="233" t="str">
        <f>IFERROR(_xlfn.XLOOKUP($A359,Input_Raw!$A:$A,Input_Raw!$BN:$BN),"")</f>
        <v/>
      </c>
      <c r="Z359" s="233"/>
      <c r="AA359" s="233" t="str">
        <f>IFERROR(_xlfn.XLOOKUP($A359,Input_Raw!$A:$A,Input_Raw!$BO:$BO),"")</f>
        <v/>
      </c>
      <c r="AB359" s="233" t="str">
        <f>IFERROR(_xlfn.XLOOKUP($A359,Input_Raw!$A:$A,Input_Raw!$BP:$BP),"")</f>
        <v/>
      </c>
      <c r="AC359" s="242" t="str">
        <f>IFERROR(_xlfn.XLOOKUP($D359,'Modelling New'!$D:$D,'Modelling New'!P:P),"")</f>
        <v/>
      </c>
      <c r="AD359" s="233" t="str">
        <f>IFERROR(_xlfn.XLOOKUP($D359,'Modelling New'!$D:$D,'Modelling New'!T:T)*1000,"")</f>
        <v/>
      </c>
      <c r="AE359" s="243" t="str">
        <f>IFERROR(_xlfn.XLOOKUP($D359,'Modelling New'!$D:$D,'Modelling New'!$O:$O),"")</f>
        <v/>
      </c>
      <c r="AF359" s="243" t="str">
        <f>IFERROR(_xlfn.XLOOKUP($D359,'Modelling New'!$D:$D,'Modelling New'!$W:$W),"")</f>
        <v/>
      </c>
      <c r="AG359" s="243" t="str">
        <f>IFERROR(_xlfn.XLOOKUP($D359,'Modelling New'!$D:$D,'Modelling New'!$AE:$AE),"")</f>
        <v/>
      </c>
      <c r="AH359" s="243" t="str">
        <f>IFERROR(_xlfn.XLOOKUP($D359,'Modelling New'!$D:$D,'Modelling New'!$AF:$AF),"")</f>
        <v/>
      </c>
      <c r="AI359" s="234"/>
      <c r="AJ359" s="234"/>
      <c r="AK359" s="234"/>
      <c r="AL359" s="234"/>
      <c r="AM359" s="234"/>
      <c r="AN359" s="244"/>
      <c r="AO359" s="241"/>
      <c r="AP359" s="241"/>
      <c r="AQ359" s="241"/>
      <c r="AR359" s="233" t="e">
        <f>_xlfn.XLOOKUP($D359,'Modelling New'!$D:$D,'Modelling New'!$N:$N)</f>
        <v>#N/A</v>
      </c>
      <c r="AS359" s="233" t="str">
        <f t="shared" si="33"/>
        <v/>
      </c>
    </row>
    <row r="360" spans="1:45">
      <c r="A360" s="232">
        <f t="shared" si="34"/>
        <v>46197</v>
      </c>
      <c r="B360" s="233">
        <f>YEAR(Daily_KPI[[#This Row],[Date]])+IF(MONTH(Daily_KPI[[#This Row],[Date]])&gt;=4,1,0)</f>
        <v>2027</v>
      </c>
      <c r="C360" s="234">
        <f>YEAR(Daily_KPI[[#This Row],[Date]])</f>
        <v>2026</v>
      </c>
      <c r="D360" s="235">
        <f>Daily_KPI[[#This Row],[Date]]-DAY(Daily_KPI[[#This Row],[Date]])+1</f>
        <v>46174</v>
      </c>
      <c r="E360" s="234">
        <f t="shared" si="30"/>
        <v>30</v>
      </c>
      <c r="F360" s="236" t="str">
        <f>IFERROR(_xlfn.XLOOKUP($A360,Input_Raw!$A:$A,Input_Raw!$BM:$BM),"")</f>
        <v/>
      </c>
      <c r="G360" s="237" t="str">
        <f>IFERROR(_xlfn.XLOOKUP($A360,Input_Raw!$A:$A,Input_Raw!$AN:$AN),"")</f>
        <v/>
      </c>
      <c r="H360" s="237"/>
      <c r="I360" s="237" t="str">
        <f>IFERROR(_xlfn.XLOOKUP($A360,Input_Raw!$A:$A,Input_Raw!$AM:$AM),"")</f>
        <v/>
      </c>
      <c r="J360" s="237"/>
      <c r="K360" s="237" t="str">
        <f>IFERROR(_xlfn.XLOOKUP($A360,Input_Raw!$A:$A,Input_Raw!AO:AO),"")</f>
        <v/>
      </c>
      <c r="L360" s="237" t="str">
        <f>IFERROR(_xlfn.XLOOKUP($A360,Input_Raw!$A:$A,Input_Raw!AP:AP),"")</f>
        <v/>
      </c>
      <c r="M360" s="237" t="str">
        <f>IFERROR(_xlfn.XLOOKUP($A360,Input_Raw!$A:$A,Input_Raw!AS:AS),"")</f>
        <v/>
      </c>
      <c r="N360" s="237" t="str">
        <f>IFERROR(_xlfn.XLOOKUP($A360,Input_Raw!$A:$A,Input_Raw!AT:AT),"")</f>
        <v/>
      </c>
      <c r="O360" s="238" t="str">
        <f>IFERROR(1-(SUMIF(Plant_BD!$B:$B,$A360,Plant_BD!$AL:$AL)/($AA360+SUMIF(Plant_BD!$B:$B,$A360,Plant_BD!$AL:$AL))),"")</f>
        <v/>
      </c>
      <c r="P360" s="238"/>
      <c r="Q360" s="239"/>
      <c r="R360" s="238" t="str">
        <f>IFERROR(1-(SUMIF(Grid_BD!$B:$B,$A360,Grid_BD!$V:$V)/($AA360+SUMIF(Grid_BD!$B:$B,$A360,Grid_BD!$V:$V))),"")</f>
        <v/>
      </c>
      <c r="S360" s="234"/>
      <c r="T360" s="239"/>
      <c r="U360" s="240" t="str">
        <f t="shared" si="31"/>
        <v/>
      </c>
      <c r="V360" s="240" t="str">
        <f>IFERROR(_xlfn.XLOOKUP($A360,Input_Raw!$A:$A,Input_Raw!$BS:$BS),"")</f>
        <v/>
      </c>
      <c r="W360" s="241" t="str">
        <f t="shared" si="32"/>
        <v/>
      </c>
      <c r="X360" s="233" t="str">
        <f>IFERROR(_xlfn.XLOOKUP($A360,Input_Raw!$A:$A,Input_Raw!$AW:$AW),"")</f>
        <v/>
      </c>
      <c r="Y360" s="233" t="str">
        <f>IFERROR(_xlfn.XLOOKUP($A360,Input_Raw!$A:$A,Input_Raw!$BN:$BN),"")</f>
        <v/>
      </c>
      <c r="Z360" s="233"/>
      <c r="AA360" s="233" t="str">
        <f>IFERROR(_xlfn.XLOOKUP($A360,Input_Raw!$A:$A,Input_Raw!$BO:$BO),"")</f>
        <v/>
      </c>
      <c r="AB360" s="233" t="str">
        <f>IFERROR(_xlfn.XLOOKUP($A360,Input_Raw!$A:$A,Input_Raw!$BP:$BP),"")</f>
        <v/>
      </c>
      <c r="AC360" s="242" t="str">
        <f>IFERROR(_xlfn.XLOOKUP($D360,'Modelling New'!$D:$D,'Modelling New'!P:P),"")</f>
        <v/>
      </c>
      <c r="AD360" s="233" t="str">
        <f>IFERROR(_xlfn.XLOOKUP($D360,'Modelling New'!$D:$D,'Modelling New'!T:T)*1000,"")</f>
        <v/>
      </c>
      <c r="AE360" s="243" t="str">
        <f>IFERROR(_xlfn.XLOOKUP($D360,'Modelling New'!$D:$D,'Modelling New'!$O:$O),"")</f>
        <v/>
      </c>
      <c r="AF360" s="243" t="str">
        <f>IFERROR(_xlfn.XLOOKUP($D360,'Modelling New'!$D:$D,'Modelling New'!$W:$W),"")</f>
        <v/>
      </c>
      <c r="AG360" s="243" t="str">
        <f>IFERROR(_xlfn.XLOOKUP($D360,'Modelling New'!$D:$D,'Modelling New'!$AE:$AE),"")</f>
        <v/>
      </c>
      <c r="AH360" s="243" t="str">
        <f>IFERROR(_xlfn.XLOOKUP($D360,'Modelling New'!$D:$D,'Modelling New'!$AF:$AF),"")</f>
        <v/>
      </c>
      <c r="AI360" s="234"/>
      <c r="AJ360" s="234"/>
      <c r="AK360" s="234"/>
      <c r="AL360" s="234"/>
      <c r="AM360" s="234"/>
      <c r="AN360" s="244"/>
      <c r="AO360" s="241"/>
      <c r="AP360" s="241"/>
      <c r="AQ360" s="241"/>
      <c r="AR360" s="233" t="e">
        <f>_xlfn.XLOOKUP($D360,'Modelling New'!$D:$D,'Modelling New'!$N:$N)</f>
        <v>#N/A</v>
      </c>
      <c r="AS360" s="233" t="str">
        <f t="shared" si="33"/>
        <v/>
      </c>
    </row>
    <row r="361" spans="1:45">
      <c r="A361" s="232">
        <f t="shared" si="34"/>
        <v>46198</v>
      </c>
      <c r="B361" s="233">
        <f>YEAR(Daily_KPI[[#This Row],[Date]])+IF(MONTH(Daily_KPI[[#This Row],[Date]])&gt;=4,1,0)</f>
        <v>2027</v>
      </c>
      <c r="C361" s="234">
        <f>YEAR(Daily_KPI[[#This Row],[Date]])</f>
        <v>2026</v>
      </c>
      <c r="D361" s="235">
        <f>Daily_KPI[[#This Row],[Date]]-DAY(Daily_KPI[[#This Row],[Date]])+1</f>
        <v>46174</v>
      </c>
      <c r="E361" s="234">
        <f t="shared" si="30"/>
        <v>30</v>
      </c>
      <c r="F361" s="236" t="str">
        <f>IFERROR(_xlfn.XLOOKUP($A361,Input_Raw!$A:$A,Input_Raw!$BM:$BM),"")</f>
        <v/>
      </c>
      <c r="G361" s="237" t="str">
        <f>IFERROR(_xlfn.XLOOKUP($A361,Input_Raw!$A:$A,Input_Raw!$AN:$AN),"")</f>
        <v/>
      </c>
      <c r="H361" s="237"/>
      <c r="I361" s="237" t="str">
        <f>IFERROR(_xlfn.XLOOKUP($A361,Input_Raw!$A:$A,Input_Raw!$AM:$AM),"")</f>
        <v/>
      </c>
      <c r="J361" s="237"/>
      <c r="K361" s="237" t="str">
        <f>IFERROR(_xlfn.XLOOKUP($A361,Input_Raw!$A:$A,Input_Raw!AO:AO),"")</f>
        <v/>
      </c>
      <c r="L361" s="237" t="str">
        <f>IFERROR(_xlfn.XLOOKUP($A361,Input_Raw!$A:$A,Input_Raw!AP:AP),"")</f>
        <v/>
      </c>
      <c r="M361" s="237" t="str">
        <f>IFERROR(_xlfn.XLOOKUP($A361,Input_Raw!$A:$A,Input_Raw!AS:AS),"")</f>
        <v/>
      </c>
      <c r="N361" s="237" t="str">
        <f>IFERROR(_xlfn.XLOOKUP($A361,Input_Raw!$A:$A,Input_Raw!AT:AT),"")</f>
        <v/>
      </c>
      <c r="O361" s="238" t="str">
        <f>IFERROR(1-(SUMIF(Plant_BD!$B:$B,$A361,Plant_BD!$AL:$AL)/($AA361+SUMIF(Plant_BD!$B:$B,$A361,Plant_BD!$AL:$AL))),"")</f>
        <v/>
      </c>
      <c r="P361" s="238"/>
      <c r="Q361" s="239"/>
      <c r="R361" s="238" t="str">
        <f>IFERROR(1-(SUMIF(Grid_BD!$B:$B,$A361,Grid_BD!$V:$V)/($AA361+SUMIF(Grid_BD!$B:$B,$A361,Grid_BD!$V:$V))),"")</f>
        <v/>
      </c>
      <c r="S361" s="234"/>
      <c r="T361" s="239"/>
      <c r="U361" s="240" t="str">
        <f t="shared" si="31"/>
        <v/>
      </c>
      <c r="V361" s="240" t="str">
        <f>IFERROR(_xlfn.XLOOKUP($A361,Input_Raw!$A:$A,Input_Raw!$BS:$BS),"")</f>
        <v/>
      </c>
      <c r="W361" s="241" t="str">
        <f t="shared" si="32"/>
        <v/>
      </c>
      <c r="X361" s="233" t="str">
        <f>IFERROR(_xlfn.XLOOKUP($A361,Input_Raw!$A:$A,Input_Raw!$AW:$AW),"")</f>
        <v/>
      </c>
      <c r="Y361" s="233" t="str">
        <f>IFERROR(_xlfn.XLOOKUP($A361,Input_Raw!$A:$A,Input_Raw!$BN:$BN),"")</f>
        <v/>
      </c>
      <c r="Z361" s="233"/>
      <c r="AA361" s="233" t="str">
        <f>IFERROR(_xlfn.XLOOKUP($A361,Input_Raw!$A:$A,Input_Raw!$BO:$BO),"")</f>
        <v/>
      </c>
      <c r="AB361" s="233" t="str">
        <f>IFERROR(_xlfn.XLOOKUP($A361,Input_Raw!$A:$A,Input_Raw!$BP:$BP),"")</f>
        <v/>
      </c>
      <c r="AC361" s="242" t="str">
        <f>IFERROR(_xlfn.XLOOKUP($D361,'Modelling New'!$D:$D,'Modelling New'!P:P),"")</f>
        <v/>
      </c>
      <c r="AD361" s="233" t="str">
        <f>IFERROR(_xlfn.XLOOKUP($D361,'Modelling New'!$D:$D,'Modelling New'!T:T)*1000,"")</f>
        <v/>
      </c>
      <c r="AE361" s="243" t="str">
        <f>IFERROR(_xlfn.XLOOKUP($D361,'Modelling New'!$D:$D,'Modelling New'!$O:$O),"")</f>
        <v/>
      </c>
      <c r="AF361" s="243" t="str">
        <f>IFERROR(_xlfn.XLOOKUP($D361,'Modelling New'!$D:$D,'Modelling New'!$W:$W),"")</f>
        <v/>
      </c>
      <c r="AG361" s="243" t="str">
        <f>IFERROR(_xlfn.XLOOKUP($D361,'Modelling New'!$D:$D,'Modelling New'!$AE:$AE),"")</f>
        <v/>
      </c>
      <c r="AH361" s="243" t="str">
        <f>IFERROR(_xlfn.XLOOKUP($D361,'Modelling New'!$D:$D,'Modelling New'!$AF:$AF),"")</f>
        <v/>
      </c>
      <c r="AI361" s="234"/>
      <c r="AJ361" s="234"/>
      <c r="AK361" s="234"/>
      <c r="AL361" s="234"/>
      <c r="AM361" s="234"/>
      <c r="AN361" s="244"/>
      <c r="AO361" s="241"/>
      <c r="AP361" s="241"/>
      <c r="AQ361" s="241"/>
      <c r="AR361" s="233" t="e">
        <f>_xlfn.XLOOKUP($D361,'Modelling New'!$D:$D,'Modelling New'!$N:$N)</f>
        <v>#N/A</v>
      </c>
      <c r="AS361" s="233" t="str">
        <f t="shared" si="33"/>
        <v/>
      </c>
    </row>
    <row r="362" spans="1:45">
      <c r="A362" s="232">
        <f t="shared" si="34"/>
        <v>46199</v>
      </c>
      <c r="B362" s="233">
        <f>YEAR(Daily_KPI[[#This Row],[Date]])+IF(MONTH(Daily_KPI[[#This Row],[Date]])&gt;=4,1,0)</f>
        <v>2027</v>
      </c>
      <c r="C362" s="234">
        <f>YEAR(Daily_KPI[[#This Row],[Date]])</f>
        <v>2026</v>
      </c>
      <c r="D362" s="235">
        <f>Daily_KPI[[#This Row],[Date]]-DAY(Daily_KPI[[#This Row],[Date]])+1</f>
        <v>46174</v>
      </c>
      <c r="E362" s="234">
        <f t="shared" si="30"/>
        <v>30</v>
      </c>
      <c r="F362" s="236" t="str">
        <f>IFERROR(_xlfn.XLOOKUP($A362,Input_Raw!$A:$A,Input_Raw!$BM:$BM),"")</f>
        <v/>
      </c>
      <c r="G362" s="237" t="str">
        <f>IFERROR(_xlfn.XLOOKUP($A362,Input_Raw!$A:$A,Input_Raw!$AN:$AN),"")</f>
        <v/>
      </c>
      <c r="H362" s="237"/>
      <c r="I362" s="237" t="str">
        <f>IFERROR(_xlfn.XLOOKUP($A362,Input_Raw!$A:$A,Input_Raw!$AM:$AM),"")</f>
        <v/>
      </c>
      <c r="J362" s="237"/>
      <c r="K362" s="237" t="str">
        <f>IFERROR(_xlfn.XLOOKUP($A362,Input_Raw!$A:$A,Input_Raw!AO:AO),"")</f>
        <v/>
      </c>
      <c r="L362" s="237" t="str">
        <f>IFERROR(_xlfn.XLOOKUP($A362,Input_Raw!$A:$A,Input_Raw!AP:AP),"")</f>
        <v/>
      </c>
      <c r="M362" s="237" t="str">
        <f>IFERROR(_xlfn.XLOOKUP($A362,Input_Raw!$A:$A,Input_Raw!AS:AS),"")</f>
        <v/>
      </c>
      <c r="N362" s="237" t="str">
        <f>IFERROR(_xlfn.XLOOKUP($A362,Input_Raw!$A:$A,Input_Raw!AT:AT),"")</f>
        <v/>
      </c>
      <c r="O362" s="238" t="str">
        <f>IFERROR(1-(SUMIF(Plant_BD!$B:$B,$A362,Plant_BD!$AL:$AL)/($AA362+SUMIF(Plant_BD!$B:$B,$A362,Plant_BD!$AL:$AL))),"")</f>
        <v/>
      </c>
      <c r="P362" s="238"/>
      <c r="Q362" s="239"/>
      <c r="R362" s="238" t="str">
        <f>IFERROR(1-(SUMIF(Grid_BD!$B:$B,$A362,Grid_BD!$V:$V)/($AA362+SUMIF(Grid_BD!$B:$B,$A362,Grid_BD!$V:$V))),"")</f>
        <v/>
      </c>
      <c r="S362" s="234"/>
      <c r="T362" s="239"/>
      <c r="U362" s="240" t="str">
        <f t="shared" si="31"/>
        <v/>
      </c>
      <c r="V362" s="240" t="str">
        <f>IFERROR(_xlfn.XLOOKUP($A362,Input_Raw!$A:$A,Input_Raw!$BS:$BS),"")</f>
        <v/>
      </c>
      <c r="W362" s="241" t="str">
        <f t="shared" si="32"/>
        <v/>
      </c>
      <c r="X362" s="233" t="str">
        <f>IFERROR(_xlfn.XLOOKUP($A362,Input_Raw!$A:$A,Input_Raw!$AW:$AW),"")</f>
        <v/>
      </c>
      <c r="Y362" s="233" t="str">
        <f>IFERROR(_xlfn.XLOOKUP($A362,Input_Raw!$A:$A,Input_Raw!$BN:$BN),"")</f>
        <v/>
      </c>
      <c r="Z362" s="233"/>
      <c r="AA362" s="233" t="str">
        <f>IFERROR(_xlfn.XLOOKUP($A362,Input_Raw!$A:$A,Input_Raw!$BO:$BO),"")</f>
        <v/>
      </c>
      <c r="AB362" s="233" t="str">
        <f>IFERROR(_xlfn.XLOOKUP($A362,Input_Raw!$A:$A,Input_Raw!$BP:$BP),"")</f>
        <v/>
      </c>
      <c r="AC362" s="242" t="str">
        <f>IFERROR(_xlfn.XLOOKUP($D362,'Modelling New'!$D:$D,'Modelling New'!P:P),"")</f>
        <v/>
      </c>
      <c r="AD362" s="233" t="str">
        <f>IFERROR(_xlfn.XLOOKUP($D362,'Modelling New'!$D:$D,'Modelling New'!T:T)*1000,"")</f>
        <v/>
      </c>
      <c r="AE362" s="243" t="str">
        <f>IFERROR(_xlfn.XLOOKUP($D362,'Modelling New'!$D:$D,'Modelling New'!$O:$O),"")</f>
        <v/>
      </c>
      <c r="AF362" s="243" t="str">
        <f>IFERROR(_xlfn.XLOOKUP($D362,'Modelling New'!$D:$D,'Modelling New'!$W:$W),"")</f>
        <v/>
      </c>
      <c r="AG362" s="243" t="str">
        <f>IFERROR(_xlfn.XLOOKUP($D362,'Modelling New'!$D:$D,'Modelling New'!$AE:$AE),"")</f>
        <v/>
      </c>
      <c r="AH362" s="243" t="str">
        <f>IFERROR(_xlfn.XLOOKUP($D362,'Modelling New'!$D:$D,'Modelling New'!$AF:$AF),"")</f>
        <v/>
      </c>
      <c r="AI362" s="234"/>
      <c r="AJ362" s="234"/>
      <c r="AK362" s="234"/>
      <c r="AL362" s="234"/>
      <c r="AM362" s="234"/>
      <c r="AN362" s="244"/>
      <c r="AO362" s="241"/>
      <c r="AP362" s="241"/>
      <c r="AQ362" s="241"/>
      <c r="AR362" s="233" t="e">
        <f>_xlfn.XLOOKUP($D362,'Modelling New'!$D:$D,'Modelling New'!$N:$N)</f>
        <v>#N/A</v>
      </c>
      <c r="AS362" s="233" t="str">
        <f t="shared" si="33"/>
        <v/>
      </c>
    </row>
    <row r="363" spans="1:45">
      <c r="A363" s="232">
        <f t="shared" si="34"/>
        <v>46200</v>
      </c>
      <c r="B363" s="233">
        <f>YEAR(Daily_KPI[[#This Row],[Date]])+IF(MONTH(Daily_KPI[[#This Row],[Date]])&gt;=4,1,0)</f>
        <v>2027</v>
      </c>
      <c r="C363" s="234">
        <f>YEAR(Daily_KPI[[#This Row],[Date]])</f>
        <v>2026</v>
      </c>
      <c r="D363" s="235">
        <f>Daily_KPI[[#This Row],[Date]]-DAY(Daily_KPI[[#This Row],[Date]])+1</f>
        <v>46174</v>
      </c>
      <c r="E363" s="234">
        <f t="shared" si="30"/>
        <v>30</v>
      </c>
      <c r="F363" s="236" t="str">
        <f>IFERROR(_xlfn.XLOOKUP($A363,Input_Raw!$A:$A,Input_Raw!$BM:$BM),"")</f>
        <v/>
      </c>
      <c r="G363" s="237" t="str">
        <f>IFERROR(_xlfn.XLOOKUP($A363,Input_Raw!$A:$A,Input_Raw!$AN:$AN),"")</f>
        <v/>
      </c>
      <c r="H363" s="237"/>
      <c r="I363" s="237" t="str">
        <f>IFERROR(_xlfn.XLOOKUP($A363,Input_Raw!$A:$A,Input_Raw!$AM:$AM),"")</f>
        <v/>
      </c>
      <c r="J363" s="237"/>
      <c r="K363" s="237" t="str">
        <f>IFERROR(_xlfn.XLOOKUP($A363,Input_Raw!$A:$A,Input_Raw!AO:AO),"")</f>
        <v/>
      </c>
      <c r="L363" s="237" t="str">
        <f>IFERROR(_xlfn.XLOOKUP($A363,Input_Raw!$A:$A,Input_Raw!AP:AP),"")</f>
        <v/>
      </c>
      <c r="M363" s="237" t="str">
        <f>IFERROR(_xlfn.XLOOKUP($A363,Input_Raw!$A:$A,Input_Raw!AS:AS),"")</f>
        <v/>
      </c>
      <c r="N363" s="237" t="str">
        <f>IFERROR(_xlfn.XLOOKUP($A363,Input_Raw!$A:$A,Input_Raw!AT:AT),"")</f>
        <v/>
      </c>
      <c r="O363" s="238" t="str">
        <f>IFERROR(1-(SUMIF(Plant_BD!$B:$B,$A363,Plant_BD!$AL:$AL)/($AA363+SUMIF(Plant_BD!$B:$B,$A363,Plant_BD!$AL:$AL))),"")</f>
        <v/>
      </c>
      <c r="P363" s="238"/>
      <c r="Q363" s="239"/>
      <c r="R363" s="238" t="str">
        <f>IFERROR(1-(SUMIF(Grid_BD!$B:$B,$A363,Grid_BD!$V:$V)/($AA363+SUMIF(Grid_BD!$B:$B,$A363,Grid_BD!$V:$V))),"")</f>
        <v/>
      </c>
      <c r="S363" s="234"/>
      <c r="T363" s="239"/>
      <c r="U363" s="240" t="str">
        <f t="shared" si="31"/>
        <v/>
      </c>
      <c r="V363" s="240" t="str">
        <f>IFERROR(_xlfn.XLOOKUP($A363,Input_Raw!$A:$A,Input_Raw!$BS:$BS),"")</f>
        <v/>
      </c>
      <c r="W363" s="241" t="str">
        <f t="shared" si="32"/>
        <v/>
      </c>
      <c r="X363" s="233" t="str">
        <f>IFERROR(_xlfn.XLOOKUP($A363,Input_Raw!$A:$A,Input_Raw!$AW:$AW),"")</f>
        <v/>
      </c>
      <c r="Y363" s="233" t="str">
        <f>IFERROR(_xlfn.XLOOKUP($A363,Input_Raw!$A:$A,Input_Raw!$BN:$BN),"")</f>
        <v/>
      </c>
      <c r="Z363" s="233"/>
      <c r="AA363" s="233" t="str">
        <f>IFERROR(_xlfn.XLOOKUP($A363,Input_Raw!$A:$A,Input_Raw!$BO:$BO),"")</f>
        <v/>
      </c>
      <c r="AB363" s="233" t="str">
        <f>IFERROR(_xlfn.XLOOKUP($A363,Input_Raw!$A:$A,Input_Raw!$BP:$BP),"")</f>
        <v/>
      </c>
      <c r="AC363" s="242" t="str">
        <f>IFERROR(_xlfn.XLOOKUP($D363,'Modelling New'!$D:$D,'Modelling New'!P:P),"")</f>
        <v/>
      </c>
      <c r="AD363" s="233" t="str">
        <f>IFERROR(_xlfn.XLOOKUP($D363,'Modelling New'!$D:$D,'Modelling New'!T:T)*1000,"")</f>
        <v/>
      </c>
      <c r="AE363" s="243" t="str">
        <f>IFERROR(_xlfn.XLOOKUP($D363,'Modelling New'!$D:$D,'Modelling New'!$O:$O),"")</f>
        <v/>
      </c>
      <c r="AF363" s="243" t="str">
        <f>IFERROR(_xlfn.XLOOKUP($D363,'Modelling New'!$D:$D,'Modelling New'!$W:$W),"")</f>
        <v/>
      </c>
      <c r="AG363" s="243" t="str">
        <f>IFERROR(_xlfn.XLOOKUP($D363,'Modelling New'!$D:$D,'Modelling New'!$AE:$AE),"")</f>
        <v/>
      </c>
      <c r="AH363" s="243" t="str">
        <f>IFERROR(_xlfn.XLOOKUP($D363,'Modelling New'!$D:$D,'Modelling New'!$AF:$AF),"")</f>
        <v/>
      </c>
      <c r="AI363" s="234"/>
      <c r="AJ363" s="234"/>
      <c r="AK363" s="234"/>
      <c r="AL363" s="234"/>
      <c r="AM363" s="234"/>
      <c r="AN363" s="244"/>
      <c r="AO363" s="241"/>
      <c r="AP363" s="241"/>
      <c r="AQ363" s="241"/>
      <c r="AR363" s="233" t="e">
        <f>_xlfn.XLOOKUP($D363,'Modelling New'!$D:$D,'Modelling New'!$N:$N)</f>
        <v>#N/A</v>
      </c>
      <c r="AS363" s="233" t="str">
        <f t="shared" si="33"/>
        <v/>
      </c>
    </row>
    <row r="364" spans="1:45">
      <c r="A364" s="232">
        <f t="shared" si="34"/>
        <v>46201</v>
      </c>
      <c r="B364" s="233">
        <f>YEAR(Daily_KPI[[#This Row],[Date]])+IF(MONTH(Daily_KPI[[#This Row],[Date]])&gt;=4,1,0)</f>
        <v>2027</v>
      </c>
      <c r="C364" s="234">
        <f>YEAR(Daily_KPI[[#This Row],[Date]])</f>
        <v>2026</v>
      </c>
      <c r="D364" s="235">
        <f>Daily_KPI[[#This Row],[Date]]-DAY(Daily_KPI[[#This Row],[Date]])+1</f>
        <v>46174</v>
      </c>
      <c r="E364" s="234">
        <f t="shared" si="30"/>
        <v>30</v>
      </c>
      <c r="F364" s="236" t="str">
        <f>IFERROR(_xlfn.XLOOKUP($A364,Input_Raw!$A:$A,Input_Raw!$BM:$BM),"")</f>
        <v/>
      </c>
      <c r="G364" s="237" t="str">
        <f>IFERROR(_xlfn.XLOOKUP($A364,Input_Raw!$A:$A,Input_Raw!$AN:$AN),"")</f>
        <v/>
      </c>
      <c r="H364" s="237"/>
      <c r="I364" s="237" t="str">
        <f>IFERROR(_xlfn.XLOOKUP($A364,Input_Raw!$A:$A,Input_Raw!$AM:$AM),"")</f>
        <v/>
      </c>
      <c r="J364" s="237"/>
      <c r="K364" s="237" t="str">
        <f>IFERROR(_xlfn.XLOOKUP($A364,Input_Raw!$A:$A,Input_Raw!AO:AO),"")</f>
        <v/>
      </c>
      <c r="L364" s="237" t="str">
        <f>IFERROR(_xlfn.XLOOKUP($A364,Input_Raw!$A:$A,Input_Raw!AP:AP),"")</f>
        <v/>
      </c>
      <c r="M364" s="237" t="str">
        <f>IFERROR(_xlfn.XLOOKUP($A364,Input_Raw!$A:$A,Input_Raw!AS:AS),"")</f>
        <v/>
      </c>
      <c r="N364" s="237" t="str">
        <f>IFERROR(_xlfn.XLOOKUP($A364,Input_Raw!$A:$A,Input_Raw!AT:AT),"")</f>
        <v/>
      </c>
      <c r="O364" s="238" t="str">
        <f>IFERROR(1-(SUMIF(Plant_BD!$B:$B,$A364,Plant_BD!$AL:$AL)/($AA364+SUMIF(Plant_BD!$B:$B,$A364,Plant_BD!$AL:$AL))),"")</f>
        <v/>
      </c>
      <c r="P364" s="238"/>
      <c r="Q364" s="239"/>
      <c r="R364" s="238" t="str">
        <f>IFERROR(1-(SUMIF(Grid_BD!$B:$B,$A364,Grid_BD!$V:$V)/($AA364+SUMIF(Grid_BD!$B:$B,$A364,Grid_BD!$V:$V))),"")</f>
        <v/>
      </c>
      <c r="S364" s="234"/>
      <c r="T364" s="239"/>
      <c r="U364" s="240" t="str">
        <f t="shared" si="31"/>
        <v/>
      </c>
      <c r="V364" s="240" t="str">
        <f>IFERROR(_xlfn.XLOOKUP($A364,Input_Raw!$A:$A,Input_Raw!$BS:$BS),"")</f>
        <v/>
      </c>
      <c r="W364" s="241" t="str">
        <f t="shared" si="32"/>
        <v/>
      </c>
      <c r="X364" s="233" t="str">
        <f>IFERROR(_xlfn.XLOOKUP($A364,Input_Raw!$A:$A,Input_Raw!$AW:$AW),"")</f>
        <v/>
      </c>
      <c r="Y364" s="233" t="str">
        <f>IFERROR(_xlfn.XLOOKUP($A364,Input_Raw!$A:$A,Input_Raw!$BN:$BN),"")</f>
        <v/>
      </c>
      <c r="Z364" s="233"/>
      <c r="AA364" s="233" t="str">
        <f>IFERROR(_xlfn.XLOOKUP($A364,Input_Raw!$A:$A,Input_Raw!$BO:$BO),"")</f>
        <v/>
      </c>
      <c r="AB364" s="233" t="str">
        <f>IFERROR(_xlfn.XLOOKUP($A364,Input_Raw!$A:$A,Input_Raw!$BP:$BP),"")</f>
        <v/>
      </c>
      <c r="AC364" s="242" t="str">
        <f>IFERROR(_xlfn.XLOOKUP($D364,'Modelling New'!$D:$D,'Modelling New'!P:P),"")</f>
        <v/>
      </c>
      <c r="AD364" s="233" t="str">
        <f>IFERROR(_xlfn.XLOOKUP($D364,'Modelling New'!$D:$D,'Modelling New'!T:T)*1000,"")</f>
        <v/>
      </c>
      <c r="AE364" s="243" t="str">
        <f>IFERROR(_xlfn.XLOOKUP($D364,'Modelling New'!$D:$D,'Modelling New'!$O:$O),"")</f>
        <v/>
      </c>
      <c r="AF364" s="243" t="str">
        <f>IFERROR(_xlfn.XLOOKUP($D364,'Modelling New'!$D:$D,'Modelling New'!$W:$W),"")</f>
        <v/>
      </c>
      <c r="AG364" s="243" t="str">
        <f>IFERROR(_xlfn.XLOOKUP($D364,'Modelling New'!$D:$D,'Modelling New'!$AE:$AE),"")</f>
        <v/>
      </c>
      <c r="AH364" s="243" t="str">
        <f>IFERROR(_xlfn.XLOOKUP($D364,'Modelling New'!$D:$D,'Modelling New'!$AF:$AF),"")</f>
        <v/>
      </c>
      <c r="AI364" s="234"/>
      <c r="AJ364" s="234"/>
      <c r="AK364" s="234"/>
      <c r="AL364" s="234"/>
      <c r="AM364" s="234"/>
      <c r="AN364" s="244"/>
      <c r="AO364" s="241"/>
      <c r="AP364" s="241"/>
      <c r="AQ364" s="241"/>
      <c r="AR364" s="233" t="e">
        <f>_xlfn.XLOOKUP($D364,'Modelling New'!$D:$D,'Modelling New'!$N:$N)</f>
        <v>#N/A</v>
      </c>
      <c r="AS364" s="233" t="str">
        <f t="shared" si="33"/>
        <v/>
      </c>
    </row>
    <row r="365" spans="1:45">
      <c r="A365" s="232">
        <f t="shared" si="34"/>
        <v>46202</v>
      </c>
      <c r="B365" s="233">
        <f>YEAR(Daily_KPI[[#This Row],[Date]])+IF(MONTH(Daily_KPI[[#This Row],[Date]])&gt;=4,1,0)</f>
        <v>2027</v>
      </c>
      <c r="C365" s="234">
        <f>YEAR(Daily_KPI[[#This Row],[Date]])</f>
        <v>2026</v>
      </c>
      <c r="D365" s="235">
        <f>Daily_KPI[[#This Row],[Date]]-DAY(Daily_KPI[[#This Row],[Date]])+1</f>
        <v>46174</v>
      </c>
      <c r="E365" s="234">
        <f t="shared" si="30"/>
        <v>30</v>
      </c>
      <c r="F365" s="236" t="str">
        <f>IFERROR(_xlfn.XLOOKUP($A365,Input_Raw!$A:$A,Input_Raw!$BM:$BM),"")</f>
        <v/>
      </c>
      <c r="G365" s="237" t="str">
        <f>IFERROR(_xlfn.XLOOKUP($A365,Input_Raw!$A:$A,Input_Raw!$AN:$AN),"")</f>
        <v/>
      </c>
      <c r="H365" s="237"/>
      <c r="I365" s="237" t="str">
        <f>IFERROR(_xlfn.XLOOKUP($A365,Input_Raw!$A:$A,Input_Raw!$AM:$AM),"")</f>
        <v/>
      </c>
      <c r="J365" s="237"/>
      <c r="K365" s="237" t="str">
        <f>IFERROR(_xlfn.XLOOKUP($A365,Input_Raw!$A:$A,Input_Raw!AO:AO),"")</f>
        <v/>
      </c>
      <c r="L365" s="237" t="str">
        <f>IFERROR(_xlfn.XLOOKUP($A365,Input_Raw!$A:$A,Input_Raw!AP:AP),"")</f>
        <v/>
      </c>
      <c r="M365" s="237" t="str">
        <f>IFERROR(_xlfn.XLOOKUP($A365,Input_Raw!$A:$A,Input_Raw!AS:AS),"")</f>
        <v/>
      </c>
      <c r="N365" s="237" t="str">
        <f>IFERROR(_xlfn.XLOOKUP($A365,Input_Raw!$A:$A,Input_Raw!AT:AT),"")</f>
        <v/>
      </c>
      <c r="O365" s="238" t="str">
        <f>IFERROR(1-(SUMIF(Plant_BD!$B:$B,$A365,Plant_BD!$AL:$AL)/($AA365+SUMIF(Plant_BD!$B:$B,$A365,Plant_BD!$AL:$AL))),"")</f>
        <v/>
      </c>
      <c r="P365" s="238"/>
      <c r="Q365" s="239"/>
      <c r="R365" s="238" t="str">
        <f>IFERROR(1-(SUMIF(Grid_BD!$B:$B,$A365,Grid_BD!$V:$V)/($AA365+SUMIF(Grid_BD!$B:$B,$A365,Grid_BD!$V:$V))),"")</f>
        <v/>
      </c>
      <c r="S365" s="234"/>
      <c r="T365" s="239"/>
      <c r="U365" s="240" t="str">
        <f t="shared" si="31"/>
        <v/>
      </c>
      <c r="V365" s="240" t="str">
        <f>IFERROR(_xlfn.XLOOKUP($A365,Input_Raw!$A:$A,Input_Raw!$BS:$BS),"")</f>
        <v/>
      </c>
      <c r="W365" s="241" t="str">
        <f t="shared" si="32"/>
        <v/>
      </c>
      <c r="X365" s="233" t="str">
        <f>IFERROR(_xlfn.XLOOKUP($A365,Input_Raw!$A:$A,Input_Raw!$AW:$AW),"")</f>
        <v/>
      </c>
      <c r="Y365" s="233" t="str">
        <f>IFERROR(_xlfn.XLOOKUP($A365,Input_Raw!$A:$A,Input_Raw!$BN:$BN),"")</f>
        <v/>
      </c>
      <c r="Z365" s="233"/>
      <c r="AA365" s="233" t="str">
        <f>IFERROR(_xlfn.XLOOKUP($A365,Input_Raw!$A:$A,Input_Raw!$BO:$BO),"")</f>
        <v/>
      </c>
      <c r="AB365" s="233" t="str">
        <f>IFERROR(_xlfn.XLOOKUP($A365,Input_Raw!$A:$A,Input_Raw!$BP:$BP),"")</f>
        <v/>
      </c>
      <c r="AC365" s="242" t="str">
        <f>IFERROR(_xlfn.XLOOKUP($D365,'Modelling New'!$D:$D,'Modelling New'!P:P),"")</f>
        <v/>
      </c>
      <c r="AD365" s="233" t="str">
        <f>IFERROR(_xlfn.XLOOKUP($D365,'Modelling New'!$D:$D,'Modelling New'!T:T)*1000,"")</f>
        <v/>
      </c>
      <c r="AE365" s="243" t="str">
        <f>IFERROR(_xlfn.XLOOKUP($D365,'Modelling New'!$D:$D,'Modelling New'!$O:$O),"")</f>
        <v/>
      </c>
      <c r="AF365" s="243" t="str">
        <f>IFERROR(_xlfn.XLOOKUP($D365,'Modelling New'!$D:$D,'Modelling New'!$W:$W),"")</f>
        <v/>
      </c>
      <c r="AG365" s="243" t="str">
        <f>IFERROR(_xlfn.XLOOKUP($D365,'Modelling New'!$D:$D,'Modelling New'!$AE:$AE),"")</f>
        <v/>
      </c>
      <c r="AH365" s="243" t="str">
        <f>IFERROR(_xlfn.XLOOKUP($D365,'Modelling New'!$D:$D,'Modelling New'!$AF:$AF),"")</f>
        <v/>
      </c>
      <c r="AI365" s="234"/>
      <c r="AJ365" s="234"/>
      <c r="AK365" s="234"/>
      <c r="AL365" s="234"/>
      <c r="AM365" s="234"/>
      <c r="AN365" s="244"/>
      <c r="AO365" s="241"/>
      <c r="AP365" s="241"/>
      <c r="AQ365" s="241"/>
      <c r="AR365" s="233" t="e">
        <f>_xlfn.XLOOKUP($D365,'Modelling New'!$D:$D,'Modelling New'!$N:$N)</f>
        <v>#N/A</v>
      </c>
      <c r="AS365" s="233" t="str">
        <f t="shared" si="33"/>
        <v/>
      </c>
    </row>
    <row r="366" spans="1:45">
      <c r="A366" s="232">
        <f t="shared" si="34"/>
        <v>46203</v>
      </c>
      <c r="B366" s="233">
        <f>YEAR(Daily_KPI[[#This Row],[Date]])+IF(MONTH(Daily_KPI[[#This Row],[Date]])&gt;=4,1,0)</f>
        <v>2027</v>
      </c>
      <c r="C366" s="234">
        <f>YEAR(Daily_KPI[[#This Row],[Date]])</f>
        <v>2026</v>
      </c>
      <c r="D366" s="235">
        <f>Daily_KPI[[#This Row],[Date]]-DAY(Daily_KPI[[#This Row],[Date]])+1</f>
        <v>46174</v>
      </c>
      <c r="E366" s="234">
        <f t="shared" si="30"/>
        <v>30</v>
      </c>
      <c r="F366" s="236" t="str">
        <f>IFERROR(_xlfn.XLOOKUP($A366,Input_Raw!$A:$A,Input_Raw!$BM:$BM),"")</f>
        <v/>
      </c>
      <c r="G366" s="237" t="str">
        <f>IFERROR(_xlfn.XLOOKUP($A366,Input_Raw!$A:$A,Input_Raw!$AN:$AN),"")</f>
        <v/>
      </c>
      <c r="H366" s="237"/>
      <c r="I366" s="237" t="str">
        <f>IFERROR(_xlfn.XLOOKUP($A366,Input_Raw!$A:$A,Input_Raw!$AM:$AM),"")</f>
        <v/>
      </c>
      <c r="J366" s="237"/>
      <c r="K366" s="237" t="str">
        <f>IFERROR(_xlfn.XLOOKUP($A366,Input_Raw!$A:$A,Input_Raw!AO:AO),"")</f>
        <v/>
      </c>
      <c r="L366" s="237" t="str">
        <f>IFERROR(_xlfn.XLOOKUP($A366,Input_Raw!$A:$A,Input_Raw!AP:AP),"")</f>
        <v/>
      </c>
      <c r="M366" s="237" t="str">
        <f>IFERROR(_xlfn.XLOOKUP($A366,Input_Raw!$A:$A,Input_Raw!AS:AS),"")</f>
        <v/>
      </c>
      <c r="N366" s="237" t="str">
        <f>IFERROR(_xlfn.XLOOKUP($A366,Input_Raw!$A:$A,Input_Raw!AT:AT),"")</f>
        <v/>
      </c>
      <c r="O366" s="238" t="str">
        <f>IFERROR(1-(SUMIF(Plant_BD!$B:$B,$A366,Plant_BD!$AL:$AL)/($AA366+SUMIF(Plant_BD!$B:$B,$A366,Plant_BD!$AL:$AL))),"")</f>
        <v/>
      </c>
      <c r="P366" s="238"/>
      <c r="Q366" s="239"/>
      <c r="R366" s="238" t="str">
        <f>IFERROR(1-(SUMIF(Grid_BD!$B:$B,$A366,Grid_BD!$V:$V)/($AA366+SUMIF(Grid_BD!$B:$B,$A366,Grid_BD!$V:$V))),"")</f>
        <v/>
      </c>
      <c r="S366" s="234"/>
      <c r="T366" s="239"/>
      <c r="U366" s="240" t="str">
        <f t="shared" si="31"/>
        <v/>
      </c>
      <c r="V366" s="240" t="str">
        <f>IFERROR(_xlfn.XLOOKUP($A366,Input_Raw!$A:$A,Input_Raw!$BS:$BS),"")</f>
        <v/>
      </c>
      <c r="W366" s="241" t="str">
        <f t="shared" si="32"/>
        <v/>
      </c>
      <c r="X366" s="233" t="str">
        <f>IFERROR(_xlfn.XLOOKUP($A366,Input_Raw!$A:$A,Input_Raw!$AW:$AW),"")</f>
        <v/>
      </c>
      <c r="Y366" s="233" t="str">
        <f>IFERROR(_xlfn.XLOOKUP($A366,Input_Raw!$A:$A,Input_Raw!$BN:$BN),"")</f>
        <v/>
      </c>
      <c r="Z366" s="233"/>
      <c r="AA366" s="233" t="str">
        <f>IFERROR(_xlfn.XLOOKUP($A366,Input_Raw!$A:$A,Input_Raw!$BO:$BO),"")</f>
        <v/>
      </c>
      <c r="AB366" s="233" t="str">
        <f>IFERROR(_xlfn.XLOOKUP($A366,Input_Raw!$A:$A,Input_Raw!$BP:$BP),"")</f>
        <v/>
      </c>
      <c r="AC366" s="242" t="str">
        <f>IFERROR(_xlfn.XLOOKUP($D366,'Modelling New'!$D:$D,'Modelling New'!P:P),"")</f>
        <v/>
      </c>
      <c r="AD366" s="233" t="str">
        <f>IFERROR(_xlfn.XLOOKUP($D366,'Modelling New'!$D:$D,'Modelling New'!T:T)*1000,"")</f>
        <v/>
      </c>
      <c r="AE366" s="243" t="str">
        <f>IFERROR(_xlfn.XLOOKUP($D366,'Modelling New'!$D:$D,'Modelling New'!$O:$O),"")</f>
        <v/>
      </c>
      <c r="AF366" s="243" t="str">
        <f>IFERROR(_xlfn.XLOOKUP($D366,'Modelling New'!$D:$D,'Modelling New'!$W:$W),"")</f>
        <v/>
      </c>
      <c r="AG366" s="243" t="str">
        <f>IFERROR(_xlfn.XLOOKUP($D366,'Modelling New'!$D:$D,'Modelling New'!$AE:$AE),"")</f>
        <v/>
      </c>
      <c r="AH366" s="243" t="str">
        <f>IFERROR(_xlfn.XLOOKUP($D366,'Modelling New'!$D:$D,'Modelling New'!$AF:$AF),"")</f>
        <v/>
      </c>
      <c r="AI366" s="234"/>
      <c r="AJ366" s="234"/>
      <c r="AK366" s="234"/>
      <c r="AL366" s="234"/>
      <c r="AM366" s="234"/>
      <c r="AN366" s="244"/>
      <c r="AO366" s="241"/>
      <c r="AP366" s="241"/>
      <c r="AQ366" s="241"/>
      <c r="AR366" s="233" t="e">
        <f>_xlfn.XLOOKUP($D366,'Modelling New'!$D:$D,'Modelling New'!$N:$N)</f>
        <v>#N/A</v>
      </c>
      <c r="AS366" s="233" t="str">
        <f t="shared" si="33"/>
        <v/>
      </c>
    </row>
    <row r="367" spans="1:45">
      <c r="A367" s="232">
        <f t="shared" si="34"/>
        <v>46204</v>
      </c>
      <c r="B367" s="233">
        <f>YEAR(Daily_KPI[[#This Row],[Date]])+IF(MONTH(Daily_KPI[[#This Row],[Date]])&gt;=4,1,0)</f>
        <v>2027</v>
      </c>
      <c r="C367" s="234">
        <f>YEAR(Daily_KPI[[#This Row],[Date]])</f>
        <v>2026</v>
      </c>
      <c r="D367" s="235">
        <f>Daily_KPI[[#This Row],[Date]]-DAY(Daily_KPI[[#This Row],[Date]])+1</f>
        <v>46204</v>
      </c>
      <c r="E367" s="234">
        <f t="shared" si="30"/>
        <v>31</v>
      </c>
      <c r="F367" s="236" t="str">
        <f>IFERROR(_xlfn.XLOOKUP($A367,Input_Raw!$A:$A,Input_Raw!$BM:$BM),"")</f>
        <v/>
      </c>
      <c r="G367" s="237" t="str">
        <f>IFERROR(_xlfn.XLOOKUP($A367,Input_Raw!$A:$A,Input_Raw!$AN:$AN),"")</f>
        <v/>
      </c>
      <c r="H367" s="237"/>
      <c r="I367" s="237" t="str">
        <f>IFERROR(_xlfn.XLOOKUP($A367,Input_Raw!$A:$A,Input_Raw!$AM:$AM),"")</f>
        <v/>
      </c>
      <c r="J367" s="237"/>
      <c r="K367" s="237" t="str">
        <f>IFERROR(_xlfn.XLOOKUP($A367,Input_Raw!$A:$A,Input_Raw!AO:AO),"")</f>
        <v/>
      </c>
      <c r="L367" s="237" t="str">
        <f>IFERROR(_xlfn.XLOOKUP($A367,Input_Raw!$A:$A,Input_Raw!AP:AP),"")</f>
        <v/>
      </c>
      <c r="M367" s="237" t="str">
        <f>IFERROR(_xlfn.XLOOKUP($A367,Input_Raw!$A:$A,Input_Raw!AS:AS),"")</f>
        <v/>
      </c>
      <c r="N367" s="237" t="str">
        <f>IFERROR(_xlfn.XLOOKUP($A367,Input_Raw!$A:$A,Input_Raw!AT:AT),"")</f>
        <v/>
      </c>
      <c r="O367" s="238" t="str">
        <f>IFERROR(1-(SUMIF(Plant_BD!$B:$B,$A367,Plant_BD!$AL:$AL)/($AA367+SUMIF(Plant_BD!$B:$B,$A367,Plant_BD!$AL:$AL))),"")</f>
        <v/>
      </c>
      <c r="P367" s="238"/>
      <c r="Q367" s="239"/>
      <c r="R367" s="238" t="str">
        <f>IFERROR(1-(SUMIF(Grid_BD!$B:$B,$A367,Grid_BD!$V:$V)/($AA367+SUMIF(Grid_BD!$B:$B,$A367,Grid_BD!$V:$V))),"")</f>
        <v/>
      </c>
      <c r="S367" s="234"/>
      <c r="T367" s="239"/>
      <c r="U367" s="240" t="str">
        <f t="shared" si="31"/>
        <v/>
      </c>
      <c r="V367" s="240" t="str">
        <f>IFERROR(_xlfn.XLOOKUP($A367,Input_Raw!$A:$A,Input_Raw!$BS:$BS),"")</f>
        <v/>
      </c>
      <c r="W367" s="241" t="str">
        <f t="shared" si="32"/>
        <v/>
      </c>
      <c r="X367" s="233" t="str">
        <f>IFERROR(_xlfn.XLOOKUP($A367,Input_Raw!$A:$A,Input_Raw!$AW:$AW),"")</f>
        <v/>
      </c>
      <c r="Y367" s="233" t="str">
        <f>IFERROR(_xlfn.XLOOKUP($A367,Input_Raw!$A:$A,Input_Raw!$BN:$BN),"")</f>
        <v/>
      </c>
      <c r="Z367" s="233"/>
      <c r="AA367" s="233" t="str">
        <f>IFERROR(_xlfn.XLOOKUP($A367,Input_Raw!$A:$A,Input_Raw!$BO:$BO),"")</f>
        <v/>
      </c>
      <c r="AB367" s="233" t="str">
        <f>IFERROR(_xlfn.XLOOKUP($A367,Input_Raw!$A:$A,Input_Raw!$BP:$BP),"")</f>
        <v/>
      </c>
      <c r="AC367" s="242" t="str">
        <f>IFERROR(_xlfn.XLOOKUP($D367,'Modelling New'!$D:$D,'Modelling New'!P:P),"")</f>
        <v/>
      </c>
      <c r="AD367" s="233" t="str">
        <f>IFERROR(_xlfn.XLOOKUP($D367,'Modelling New'!$D:$D,'Modelling New'!T:T)*1000,"")</f>
        <v/>
      </c>
      <c r="AE367" s="243" t="str">
        <f>IFERROR(_xlfn.XLOOKUP($D367,'Modelling New'!$D:$D,'Modelling New'!$O:$O),"")</f>
        <v/>
      </c>
      <c r="AF367" s="243" t="str">
        <f>IFERROR(_xlfn.XLOOKUP($D367,'Modelling New'!$D:$D,'Modelling New'!$W:$W),"")</f>
        <v/>
      </c>
      <c r="AG367" s="243" t="str">
        <f>IFERROR(_xlfn.XLOOKUP($D367,'Modelling New'!$D:$D,'Modelling New'!$AE:$AE),"")</f>
        <v/>
      </c>
      <c r="AH367" s="243" t="str">
        <f>IFERROR(_xlfn.XLOOKUP($D367,'Modelling New'!$D:$D,'Modelling New'!$AF:$AF),"")</f>
        <v/>
      </c>
      <c r="AI367" s="234"/>
      <c r="AJ367" s="234"/>
      <c r="AK367" s="234"/>
      <c r="AL367" s="234"/>
      <c r="AM367" s="234"/>
      <c r="AN367" s="244"/>
      <c r="AO367" s="241"/>
      <c r="AP367" s="241"/>
      <c r="AQ367" s="241"/>
      <c r="AR367" s="233" t="e">
        <f>_xlfn.XLOOKUP($D367,'Modelling New'!$D:$D,'Modelling New'!$N:$N)</f>
        <v>#N/A</v>
      </c>
      <c r="AS367" s="233" t="str">
        <f t="shared" si="33"/>
        <v/>
      </c>
    </row>
    <row r="368" spans="1:45">
      <c r="A368" s="232">
        <f t="shared" si="34"/>
        <v>46205</v>
      </c>
      <c r="B368" s="233">
        <f>YEAR(Daily_KPI[[#This Row],[Date]])+IF(MONTH(Daily_KPI[[#This Row],[Date]])&gt;=4,1,0)</f>
        <v>2027</v>
      </c>
      <c r="C368" s="234">
        <f>YEAR(Daily_KPI[[#This Row],[Date]])</f>
        <v>2026</v>
      </c>
      <c r="D368" s="235">
        <f>Daily_KPI[[#This Row],[Date]]-DAY(Daily_KPI[[#This Row],[Date]])+1</f>
        <v>46204</v>
      </c>
      <c r="E368" s="234">
        <f t="shared" si="30"/>
        <v>31</v>
      </c>
      <c r="F368" s="236" t="str">
        <f>IFERROR(_xlfn.XLOOKUP($A368,Input_Raw!$A:$A,Input_Raw!$BM:$BM),"")</f>
        <v/>
      </c>
      <c r="G368" s="237" t="str">
        <f>IFERROR(_xlfn.XLOOKUP($A368,Input_Raw!$A:$A,Input_Raw!$AN:$AN),"")</f>
        <v/>
      </c>
      <c r="H368" s="237"/>
      <c r="I368" s="237" t="str">
        <f>IFERROR(_xlfn.XLOOKUP($A368,Input_Raw!$A:$A,Input_Raw!$AM:$AM),"")</f>
        <v/>
      </c>
      <c r="J368" s="237"/>
      <c r="K368" s="237" t="str">
        <f>IFERROR(_xlfn.XLOOKUP($A368,Input_Raw!$A:$A,Input_Raw!AO:AO),"")</f>
        <v/>
      </c>
      <c r="L368" s="237" t="str">
        <f>IFERROR(_xlfn.XLOOKUP($A368,Input_Raw!$A:$A,Input_Raw!AP:AP),"")</f>
        <v/>
      </c>
      <c r="M368" s="237" t="str">
        <f>IFERROR(_xlfn.XLOOKUP($A368,Input_Raw!$A:$A,Input_Raw!AS:AS),"")</f>
        <v/>
      </c>
      <c r="N368" s="237" t="str">
        <f>IFERROR(_xlfn.XLOOKUP($A368,Input_Raw!$A:$A,Input_Raw!AT:AT),"")</f>
        <v/>
      </c>
      <c r="O368" s="238" t="str">
        <f>IFERROR(1-(SUMIF(Plant_BD!$B:$B,$A368,Plant_BD!$AL:$AL)/($AA368+SUMIF(Plant_BD!$B:$B,$A368,Plant_BD!$AL:$AL))),"")</f>
        <v/>
      </c>
      <c r="P368" s="238"/>
      <c r="Q368" s="239"/>
      <c r="R368" s="238" t="str">
        <f>IFERROR(1-(SUMIF(Grid_BD!$B:$B,$A368,Grid_BD!$V:$V)/($AA368+SUMIF(Grid_BD!$B:$B,$A368,Grid_BD!$V:$V))),"")</f>
        <v/>
      </c>
      <c r="S368" s="234"/>
      <c r="T368" s="239"/>
      <c r="U368" s="240" t="str">
        <f t="shared" si="31"/>
        <v/>
      </c>
      <c r="V368" s="240" t="str">
        <f>IFERROR(_xlfn.XLOOKUP($A368,Input_Raw!$A:$A,Input_Raw!$BS:$BS),"")</f>
        <v/>
      </c>
      <c r="W368" s="241" t="str">
        <f t="shared" si="32"/>
        <v/>
      </c>
      <c r="X368" s="233" t="str">
        <f>IFERROR(_xlfn.XLOOKUP($A368,Input_Raw!$A:$A,Input_Raw!$AW:$AW),"")</f>
        <v/>
      </c>
      <c r="Y368" s="233" t="str">
        <f>IFERROR(_xlfn.XLOOKUP($A368,Input_Raw!$A:$A,Input_Raw!$BN:$BN),"")</f>
        <v/>
      </c>
      <c r="Z368" s="233"/>
      <c r="AA368" s="233" t="str">
        <f>IFERROR(_xlfn.XLOOKUP($A368,Input_Raw!$A:$A,Input_Raw!$BO:$BO),"")</f>
        <v/>
      </c>
      <c r="AB368" s="233" t="str">
        <f>IFERROR(_xlfn.XLOOKUP($A368,Input_Raw!$A:$A,Input_Raw!$BP:$BP),"")</f>
        <v/>
      </c>
      <c r="AC368" s="242" t="str">
        <f>IFERROR(_xlfn.XLOOKUP($D368,'Modelling New'!$D:$D,'Modelling New'!P:P),"")</f>
        <v/>
      </c>
      <c r="AD368" s="233" t="str">
        <f>IFERROR(_xlfn.XLOOKUP($D368,'Modelling New'!$D:$D,'Modelling New'!T:T)*1000,"")</f>
        <v/>
      </c>
      <c r="AE368" s="243" t="str">
        <f>IFERROR(_xlfn.XLOOKUP($D368,'Modelling New'!$D:$D,'Modelling New'!$O:$O),"")</f>
        <v/>
      </c>
      <c r="AF368" s="243" t="str">
        <f>IFERROR(_xlfn.XLOOKUP($D368,'Modelling New'!$D:$D,'Modelling New'!$W:$W),"")</f>
        <v/>
      </c>
      <c r="AG368" s="243" t="str">
        <f>IFERROR(_xlfn.XLOOKUP($D368,'Modelling New'!$D:$D,'Modelling New'!$AE:$AE),"")</f>
        <v/>
      </c>
      <c r="AH368" s="243" t="str">
        <f>IFERROR(_xlfn.XLOOKUP($D368,'Modelling New'!$D:$D,'Modelling New'!$AF:$AF),"")</f>
        <v/>
      </c>
      <c r="AI368" s="234"/>
      <c r="AJ368" s="234"/>
      <c r="AK368" s="234"/>
      <c r="AL368" s="234"/>
      <c r="AM368" s="234"/>
      <c r="AN368" s="244"/>
      <c r="AO368" s="241"/>
      <c r="AP368" s="241"/>
      <c r="AQ368" s="241"/>
      <c r="AR368" s="233" t="e">
        <f>_xlfn.XLOOKUP($D368,'Modelling New'!$D:$D,'Modelling New'!$N:$N)</f>
        <v>#N/A</v>
      </c>
      <c r="AS368" s="233" t="str">
        <f t="shared" si="33"/>
        <v/>
      </c>
    </row>
    <row r="369" spans="1:45">
      <c r="A369" s="232">
        <f t="shared" si="34"/>
        <v>46206</v>
      </c>
      <c r="B369" s="233">
        <f>YEAR(Daily_KPI[[#This Row],[Date]])+IF(MONTH(Daily_KPI[[#This Row],[Date]])&gt;=4,1,0)</f>
        <v>2027</v>
      </c>
      <c r="C369" s="234">
        <f>YEAR(Daily_KPI[[#This Row],[Date]])</f>
        <v>2026</v>
      </c>
      <c r="D369" s="235">
        <f>Daily_KPI[[#This Row],[Date]]-DAY(Daily_KPI[[#This Row],[Date]])+1</f>
        <v>46204</v>
      </c>
      <c r="E369" s="234">
        <f t="shared" si="30"/>
        <v>31</v>
      </c>
      <c r="F369" s="236" t="str">
        <f>IFERROR(_xlfn.XLOOKUP($A369,Input_Raw!$A:$A,Input_Raw!$BM:$BM),"")</f>
        <v/>
      </c>
      <c r="G369" s="237" t="str">
        <f>IFERROR(_xlfn.XLOOKUP($A369,Input_Raw!$A:$A,Input_Raw!$AN:$AN),"")</f>
        <v/>
      </c>
      <c r="H369" s="237"/>
      <c r="I369" s="237" t="str">
        <f>IFERROR(_xlfn.XLOOKUP($A369,Input_Raw!$A:$A,Input_Raw!$AM:$AM),"")</f>
        <v/>
      </c>
      <c r="J369" s="237"/>
      <c r="K369" s="237" t="str">
        <f>IFERROR(_xlfn.XLOOKUP($A369,Input_Raw!$A:$A,Input_Raw!AO:AO),"")</f>
        <v/>
      </c>
      <c r="L369" s="237" t="str">
        <f>IFERROR(_xlfn.XLOOKUP($A369,Input_Raw!$A:$A,Input_Raw!AP:AP),"")</f>
        <v/>
      </c>
      <c r="M369" s="237" t="str">
        <f>IFERROR(_xlfn.XLOOKUP($A369,Input_Raw!$A:$A,Input_Raw!AS:AS),"")</f>
        <v/>
      </c>
      <c r="N369" s="237" t="str">
        <f>IFERROR(_xlfn.XLOOKUP($A369,Input_Raw!$A:$A,Input_Raw!AT:AT),"")</f>
        <v/>
      </c>
      <c r="O369" s="238" t="str">
        <f>IFERROR(1-(SUMIF(Plant_BD!$B:$B,$A369,Plant_BD!$AL:$AL)/($AA369+SUMIF(Plant_BD!$B:$B,$A369,Plant_BD!$AL:$AL))),"")</f>
        <v/>
      </c>
      <c r="P369" s="238"/>
      <c r="Q369" s="239"/>
      <c r="R369" s="238" t="str">
        <f>IFERROR(1-(SUMIF(Grid_BD!$B:$B,$A369,Grid_BD!$V:$V)/($AA369+SUMIF(Grid_BD!$B:$B,$A369,Grid_BD!$V:$V))),"")</f>
        <v/>
      </c>
      <c r="S369" s="234"/>
      <c r="T369" s="239"/>
      <c r="U369" s="240" t="str">
        <f t="shared" si="31"/>
        <v/>
      </c>
      <c r="V369" s="240" t="str">
        <f>IFERROR(_xlfn.XLOOKUP($A369,Input_Raw!$A:$A,Input_Raw!$BS:$BS),"")</f>
        <v/>
      </c>
      <c r="W369" s="241" t="str">
        <f t="shared" si="32"/>
        <v/>
      </c>
      <c r="X369" s="233" t="str">
        <f>IFERROR(_xlfn.XLOOKUP($A369,Input_Raw!$A:$A,Input_Raw!$AW:$AW),"")</f>
        <v/>
      </c>
      <c r="Y369" s="233" t="str">
        <f>IFERROR(_xlfn.XLOOKUP($A369,Input_Raw!$A:$A,Input_Raw!$BN:$BN),"")</f>
        <v/>
      </c>
      <c r="Z369" s="233"/>
      <c r="AA369" s="233" t="str">
        <f>IFERROR(_xlfn.XLOOKUP($A369,Input_Raw!$A:$A,Input_Raw!$BO:$BO),"")</f>
        <v/>
      </c>
      <c r="AB369" s="233" t="str">
        <f>IFERROR(_xlfn.XLOOKUP($A369,Input_Raw!$A:$A,Input_Raw!$BP:$BP),"")</f>
        <v/>
      </c>
      <c r="AC369" s="242" t="str">
        <f>IFERROR(_xlfn.XLOOKUP($D369,'Modelling New'!$D:$D,'Modelling New'!P:P),"")</f>
        <v/>
      </c>
      <c r="AD369" s="233" t="str">
        <f>IFERROR(_xlfn.XLOOKUP($D369,'Modelling New'!$D:$D,'Modelling New'!T:T)*1000,"")</f>
        <v/>
      </c>
      <c r="AE369" s="243" t="str">
        <f>IFERROR(_xlfn.XLOOKUP($D369,'Modelling New'!$D:$D,'Modelling New'!$O:$O),"")</f>
        <v/>
      </c>
      <c r="AF369" s="243" t="str">
        <f>IFERROR(_xlfn.XLOOKUP($D369,'Modelling New'!$D:$D,'Modelling New'!$W:$W),"")</f>
        <v/>
      </c>
      <c r="AG369" s="243" t="str">
        <f>IFERROR(_xlfn.XLOOKUP($D369,'Modelling New'!$D:$D,'Modelling New'!$AE:$AE),"")</f>
        <v/>
      </c>
      <c r="AH369" s="243" t="str">
        <f>IFERROR(_xlfn.XLOOKUP($D369,'Modelling New'!$D:$D,'Modelling New'!$AF:$AF),"")</f>
        <v/>
      </c>
      <c r="AI369" s="234"/>
      <c r="AJ369" s="234"/>
      <c r="AK369" s="234"/>
      <c r="AL369" s="234"/>
      <c r="AM369" s="234"/>
      <c r="AN369" s="244"/>
      <c r="AO369" s="241"/>
      <c r="AP369" s="241"/>
      <c r="AQ369" s="241"/>
      <c r="AR369" s="233" t="e">
        <f>_xlfn.XLOOKUP($D369,'Modelling New'!$D:$D,'Modelling New'!$N:$N)</f>
        <v>#N/A</v>
      </c>
      <c r="AS369" s="233" t="str">
        <f t="shared" si="33"/>
        <v/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S282"/>
  <sheetViews>
    <sheetView zoomScale="85" zoomScaleNormal="85" workbookViewId="0">
      <pane xSplit="5" ySplit="4" topLeftCell="Z267" activePane="bottomRight" state="frozen"/>
      <selection pane="topRight" activeCell="F1" sqref="F1"/>
      <selection pane="bottomLeft" activeCell="A5" sqref="A5"/>
      <selection pane="bottomRight" activeCell="H4" sqref="H4:AD4"/>
    </sheetView>
  </sheetViews>
  <sheetFormatPr defaultColWidth="8.81640625" defaultRowHeight="14.5"/>
  <cols>
    <col min="1" max="1" width="11.453125" style="192" customWidth="1"/>
    <col min="2" max="2" width="11.1796875" style="193" customWidth="1"/>
    <col min="3" max="3" width="12.453125" style="193" customWidth="1"/>
    <col min="4" max="4" width="15.453125" style="193" customWidth="1"/>
    <col min="5" max="5" width="8.81640625" style="193"/>
    <col min="6" max="6" width="13.453125" style="193" bestFit="1" customWidth="1"/>
    <col min="7" max="7" width="11.453125" style="192" customWidth="1"/>
    <col min="8" max="8" width="9.453125" style="193" customWidth="1"/>
    <col min="9" max="9" width="10.1796875" style="193" customWidth="1"/>
    <col min="10" max="38" width="9.453125" style="193" customWidth="1"/>
    <col min="39" max="39" width="10.1796875" style="193" customWidth="1"/>
    <col min="40" max="44" width="8.81640625" style="193" customWidth="1"/>
    <col min="45" max="48" width="11.453125" style="193" customWidth="1"/>
    <col min="49" max="50" width="12.1796875" style="192" customWidth="1"/>
    <col min="51" max="51" width="12" style="192" customWidth="1"/>
    <col min="52" max="55" width="10.1796875" style="193" customWidth="1"/>
    <col min="56" max="56" width="11.453125" style="193" bestFit="1" customWidth="1"/>
    <col min="57" max="57" width="9.453125" style="193" bestFit="1" customWidth="1"/>
    <col min="58" max="58" width="9.453125" style="193" customWidth="1"/>
    <col min="59" max="59" width="12.453125" style="193" bestFit="1" customWidth="1"/>
    <col min="60" max="60" width="13.453125" style="193" bestFit="1" customWidth="1"/>
    <col min="61" max="61" width="13.453125" style="193" customWidth="1"/>
    <col min="62" max="62" width="11" style="193" customWidth="1"/>
    <col min="63" max="63" width="14" style="193" bestFit="1" customWidth="1"/>
    <col min="64" max="64" width="11.453125" style="192" customWidth="1"/>
    <col min="65" max="65" width="14.81640625" style="193" bestFit="1" customWidth="1"/>
    <col min="66" max="66" width="17.1796875" style="193" bestFit="1" customWidth="1"/>
    <col min="67" max="67" width="17.1796875" style="192" bestFit="1" customWidth="1"/>
    <col min="68" max="68" width="11.453125" style="192" customWidth="1"/>
    <col min="69" max="16384" width="8.81640625" style="193"/>
  </cols>
  <sheetData>
    <row r="1" spans="1:71">
      <c r="A1" s="192">
        <v>1</v>
      </c>
      <c r="B1" s="193">
        <f>A1+1</f>
        <v>2</v>
      </c>
      <c r="C1" s="193">
        <f t="shared" ref="C1:F1" si="0">B1+1</f>
        <v>3</v>
      </c>
      <c r="D1" s="193">
        <f t="shared" si="0"/>
        <v>4</v>
      </c>
      <c r="E1" s="193">
        <f t="shared" si="0"/>
        <v>5</v>
      </c>
      <c r="F1" s="193">
        <f t="shared" si="0"/>
        <v>6</v>
      </c>
      <c r="G1" s="193">
        <f t="shared" ref="G1" si="1">F1+1</f>
        <v>7</v>
      </c>
      <c r="H1" s="193">
        <f t="shared" ref="H1" si="2">G1+1</f>
        <v>8</v>
      </c>
      <c r="I1" s="193">
        <f t="shared" ref="I1" si="3">H1+1</f>
        <v>9</v>
      </c>
      <c r="J1" s="193">
        <f t="shared" ref="J1" si="4">I1+1</f>
        <v>10</v>
      </c>
      <c r="K1" s="193">
        <f t="shared" ref="K1" si="5">J1+1</f>
        <v>11</v>
      </c>
      <c r="L1" s="193">
        <f t="shared" ref="L1" si="6">K1+1</f>
        <v>12</v>
      </c>
      <c r="M1" s="193">
        <f t="shared" ref="M1" si="7">L1+1</f>
        <v>13</v>
      </c>
      <c r="N1" s="193">
        <f t="shared" ref="N1" si="8">M1+1</f>
        <v>14</v>
      </c>
      <c r="O1" s="193">
        <f t="shared" ref="O1" si="9">N1+1</f>
        <v>15</v>
      </c>
      <c r="P1" s="193">
        <f t="shared" ref="P1" si="10">O1+1</f>
        <v>16</v>
      </c>
      <c r="Q1" s="193">
        <f t="shared" ref="Q1" si="11">P1+1</f>
        <v>17</v>
      </c>
      <c r="R1" s="193">
        <f t="shared" ref="R1" si="12">Q1+1</f>
        <v>18</v>
      </c>
      <c r="S1" s="193">
        <f t="shared" ref="S1" si="13">R1+1</f>
        <v>19</v>
      </c>
      <c r="T1" s="193">
        <f t="shared" ref="T1" si="14">S1+1</f>
        <v>20</v>
      </c>
      <c r="U1" s="193">
        <f t="shared" ref="U1" si="15">T1+1</f>
        <v>21</v>
      </c>
      <c r="V1" s="193">
        <f t="shared" ref="V1" si="16">U1+1</f>
        <v>22</v>
      </c>
      <c r="W1" s="193">
        <f t="shared" ref="W1" si="17">V1+1</f>
        <v>23</v>
      </c>
      <c r="X1" s="193">
        <f t="shared" ref="X1" si="18">W1+1</f>
        <v>24</v>
      </c>
      <c r="Y1" s="193">
        <f t="shared" ref="Y1" si="19">X1+1</f>
        <v>25</v>
      </c>
      <c r="Z1" s="193">
        <f t="shared" ref="Z1" si="20">Y1+1</f>
        <v>26</v>
      </c>
      <c r="AA1" s="193">
        <f t="shared" ref="AA1" si="21">Z1+1</f>
        <v>27</v>
      </c>
      <c r="AB1" s="193">
        <f t="shared" ref="AB1" si="22">AA1+1</f>
        <v>28</v>
      </c>
      <c r="AC1" s="193">
        <f t="shared" ref="AC1" si="23">AB1+1</f>
        <v>29</v>
      </c>
      <c r="AD1" s="193">
        <f t="shared" ref="AD1" si="24">AC1+1</f>
        <v>30</v>
      </c>
      <c r="AE1" s="193">
        <f t="shared" ref="AE1" si="25">AD1+1</f>
        <v>31</v>
      </c>
      <c r="AF1" s="193">
        <f t="shared" ref="AF1" si="26">AE1+1</f>
        <v>32</v>
      </c>
      <c r="AG1" s="193">
        <f t="shared" ref="AG1" si="27">AF1+1</f>
        <v>33</v>
      </c>
      <c r="AH1" s="193">
        <f t="shared" ref="AH1" si="28">AG1+1</f>
        <v>34</v>
      </c>
      <c r="AI1" s="193">
        <f t="shared" ref="AI1" si="29">AH1+1</f>
        <v>35</v>
      </c>
      <c r="AJ1" s="193">
        <f t="shared" ref="AJ1" si="30">AI1+1</f>
        <v>36</v>
      </c>
      <c r="AK1" s="193">
        <f t="shared" ref="AK1" si="31">AJ1+1</f>
        <v>37</v>
      </c>
      <c r="AL1" s="193">
        <f t="shared" ref="AL1" si="32">AK1+1</f>
        <v>38</v>
      </c>
      <c r="AM1" s="193">
        <f t="shared" ref="AM1" si="33">AL1+1</f>
        <v>39</v>
      </c>
      <c r="AN1" s="193">
        <f t="shared" ref="AN1" si="34">AM1+1</f>
        <v>40</v>
      </c>
      <c r="AO1" s="193">
        <f t="shared" ref="AO1" si="35">AN1+1</f>
        <v>41</v>
      </c>
      <c r="AP1" s="193">
        <f t="shared" ref="AP1" si="36">AO1+1</f>
        <v>42</v>
      </c>
      <c r="AQ1" s="193">
        <f t="shared" ref="AQ1" si="37">AP1+1</f>
        <v>43</v>
      </c>
      <c r="AR1" s="193">
        <f t="shared" ref="AR1" si="38">AQ1+1</f>
        <v>44</v>
      </c>
      <c r="AS1" s="193">
        <f t="shared" ref="AS1" si="39">AR1+1</f>
        <v>45</v>
      </c>
      <c r="AT1" s="193">
        <f t="shared" ref="AT1" si="40">AS1+1</f>
        <v>46</v>
      </c>
      <c r="AU1" s="193">
        <f t="shared" ref="AU1" si="41">AT1+1</f>
        <v>47</v>
      </c>
      <c r="AV1" s="193">
        <f t="shared" ref="AV1" si="42">AU1+1</f>
        <v>48</v>
      </c>
      <c r="AW1" s="193">
        <f t="shared" ref="AW1" si="43">AV1+1</f>
        <v>49</v>
      </c>
      <c r="AX1" s="193">
        <f t="shared" ref="AX1" si="44">AW1+1</f>
        <v>50</v>
      </c>
      <c r="AY1" s="193">
        <f t="shared" ref="AY1" si="45">AX1+1</f>
        <v>51</v>
      </c>
      <c r="AZ1" s="193">
        <f t="shared" ref="AZ1" si="46">AY1+1</f>
        <v>52</v>
      </c>
      <c r="BA1" s="193">
        <f t="shared" ref="BA1" si="47">AZ1+1</f>
        <v>53</v>
      </c>
      <c r="BB1" s="193">
        <f t="shared" ref="BB1" si="48">BA1+1</f>
        <v>54</v>
      </c>
      <c r="BC1" s="193">
        <f t="shared" ref="BC1" si="49">BB1+1</f>
        <v>55</v>
      </c>
      <c r="BD1" s="193">
        <f t="shared" ref="BD1" si="50">BC1+1</f>
        <v>56</v>
      </c>
      <c r="BE1" s="193">
        <f t="shared" ref="BE1" si="51">BD1+1</f>
        <v>57</v>
      </c>
      <c r="BF1" s="193">
        <f t="shared" ref="BF1" si="52">BE1+1</f>
        <v>58</v>
      </c>
      <c r="BG1" s="193">
        <f t="shared" ref="BG1" si="53">BF1+1</f>
        <v>59</v>
      </c>
      <c r="BH1" s="193">
        <f t="shared" ref="BH1" si="54">BG1+1</f>
        <v>60</v>
      </c>
      <c r="BI1" s="193">
        <f t="shared" ref="BI1" si="55">BH1+1</f>
        <v>61</v>
      </c>
      <c r="BJ1" s="193">
        <f t="shared" ref="BJ1" si="56">BI1+1</f>
        <v>62</v>
      </c>
      <c r="BK1" s="193">
        <f t="shared" ref="BK1" si="57">BJ1+1</f>
        <v>63</v>
      </c>
      <c r="BL1" s="193">
        <f t="shared" ref="BL1" si="58">BK1+1</f>
        <v>64</v>
      </c>
      <c r="BM1" s="193">
        <f t="shared" ref="BM1" si="59">BL1+1</f>
        <v>65</v>
      </c>
      <c r="BN1" s="193">
        <f t="shared" ref="BN1" si="60">BM1+1</f>
        <v>66</v>
      </c>
      <c r="BO1" s="193">
        <f t="shared" ref="BO1" si="61">BN1+1</f>
        <v>67</v>
      </c>
      <c r="BP1" s="193">
        <f t="shared" ref="BP1" si="62">BO1+1</f>
        <v>68</v>
      </c>
      <c r="BQ1" s="193">
        <f t="shared" ref="BQ1" si="63">BP1+1</f>
        <v>69</v>
      </c>
      <c r="BR1" s="193">
        <f t="shared" ref="BR1" si="64">BQ1+1</f>
        <v>70</v>
      </c>
      <c r="BS1" s="193">
        <f t="shared" ref="BS1" si="65">BR1+1</f>
        <v>71</v>
      </c>
    </row>
    <row r="2" spans="1:71">
      <c r="F2" s="192"/>
      <c r="H2" s="192" t="s">
        <v>622</v>
      </c>
      <c r="I2" s="192" t="s">
        <v>622</v>
      </c>
      <c r="J2" s="192" t="s">
        <v>622</v>
      </c>
      <c r="K2" s="192" t="s">
        <v>622</v>
      </c>
      <c r="L2" s="192" t="s">
        <v>622</v>
      </c>
      <c r="M2" s="192" t="s">
        <v>622</v>
      </c>
      <c r="N2" s="192" t="s">
        <v>622</v>
      </c>
      <c r="O2" s="192" t="s">
        <v>622</v>
      </c>
      <c r="P2" s="192" t="s">
        <v>622</v>
      </c>
      <c r="Q2" s="192" t="s">
        <v>622</v>
      </c>
      <c r="R2" s="192" t="s">
        <v>622</v>
      </c>
      <c r="S2" s="192" t="s">
        <v>622</v>
      </c>
      <c r="T2" s="192" t="s">
        <v>622</v>
      </c>
      <c r="U2" s="192" t="s">
        <v>622</v>
      </c>
      <c r="V2" s="192" t="s">
        <v>622</v>
      </c>
      <c r="W2" s="192" t="s">
        <v>622</v>
      </c>
      <c r="X2" s="192" t="s">
        <v>622</v>
      </c>
      <c r="Y2" s="192" t="s">
        <v>623</v>
      </c>
      <c r="Z2" s="192" t="s">
        <v>623</v>
      </c>
      <c r="AA2" s="192" t="s">
        <v>623</v>
      </c>
      <c r="AB2" s="192" t="s">
        <v>623</v>
      </c>
      <c r="AC2" s="192" t="s">
        <v>623</v>
      </c>
      <c r="AD2" s="192" t="s">
        <v>623</v>
      </c>
      <c r="AE2" s="192"/>
      <c r="AF2" s="192"/>
      <c r="AG2" s="192"/>
      <c r="AH2" s="192"/>
      <c r="AI2" s="192"/>
      <c r="AJ2" s="192"/>
      <c r="AK2" s="192"/>
      <c r="AL2" s="192"/>
      <c r="AX2" s="192">
        <v>0</v>
      </c>
      <c r="AY2" s="192">
        <v>0.17799999999999999</v>
      </c>
    </row>
    <row r="3" spans="1:71">
      <c r="F3" s="192"/>
      <c r="H3" s="193">
        <v>1</v>
      </c>
      <c r="I3" s="193">
        <v>1</v>
      </c>
      <c r="J3" s="193">
        <v>2</v>
      </c>
      <c r="AA3" s="193">
        <v>3</v>
      </c>
      <c r="AB3" s="193">
        <v>4</v>
      </c>
      <c r="AZ3" s="318"/>
      <c r="BA3" s="318"/>
      <c r="BB3" s="318"/>
      <c r="BC3" s="318"/>
      <c r="BD3" s="318"/>
      <c r="BE3" s="318"/>
      <c r="BF3" s="318"/>
      <c r="BG3" s="318"/>
      <c r="BH3" s="318"/>
      <c r="BI3" s="318"/>
      <c r="BJ3" s="318"/>
    </row>
    <row r="4" spans="1:71" ht="48">
      <c r="A4" s="55" t="s">
        <v>77</v>
      </c>
      <c r="B4" s="53" t="s">
        <v>121</v>
      </c>
      <c r="C4" s="54" t="s">
        <v>122</v>
      </c>
      <c r="D4" s="54" t="s">
        <v>80</v>
      </c>
      <c r="E4" s="54" t="s">
        <v>40</v>
      </c>
      <c r="F4" s="29" t="s">
        <v>123</v>
      </c>
      <c r="G4" s="29" t="s">
        <v>124</v>
      </c>
      <c r="H4" s="195" t="s">
        <v>469</v>
      </c>
      <c r="I4" s="195" t="s">
        <v>471</v>
      </c>
      <c r="J4" s="195" t="s">
        <v>473</v>
      </c>
      <c r="K4" s="195" t="s">
        <v>476</v>
      </c>
      <c r="L4" s="195" t="s">
        <v>478</v>
      </c>
      <c r="M4" s="195" t="s">
        <v>480</v>
      </c>
      <c r="N4" s="195" t="s">
        <v>482</v>
      </c>
      <c r="O4" s="195" t="s">
        <v>485</v>
      </c>
      <c r="P4" s="195" t="s">
        <v>487</v>
      </c>
      <c r="Q4" s="195" t="s">
        <v>489</v>
      </c>
      <c r="R4" s="195" t="s">
        <v>607</v>
      </c>
      <c r="S4" s="195" t="s">
        <v>608</v>
      </c>
      <c r="T4" s="195" t="s">
        <v>609</v>
      </c>
      <c r="U4" s="195" t="s">
        <v>621</v>
      </c>
      <c r="V4" s="195" t="s">
        <v>491</v>
      </c>
      <c r="W4" s="195" t="s">
        <v>493</v>
      </c>
      <c r="X4" s="195" t="s">
        <v>495</v>
      </c>
      <c r="Y4" s="195" t="s">
        <v>610</v>
      </c>
      <c r="Z4" s="195" t="s">
        <v>611</v>
      </c>
      <c r="AA4" s="195" t="s">
        <v>612</v>
      </c>
      <c r="AB4" s="195" t="s">
        <v>613</v>
      </c>
      <c r="AC4" s="195" t="s">
        <v>614</v>
      </c>
      <c r="AD4" s="195" t="s">
        <v>615</v>
      </c>
      <c r="AE4" s="14" t="s">
        <v>639</v>
      </c>
      <c r="AF4" s="14" t="s">
        <v>640</v>
      </c>
      <c r="AG4" s="14" t="s">
        <v>641</v>
      </c>
      <c r="AH4" s="14" t="s">
        <v>642</v>
      </c>
      <c r="AI4" s="14" t="s">
        <v>643</v>
      </c>
      <c r="AJ4" s="14" t="s">
        <v>644</v>
      </c>
      <c r="AK4" s="14" t="s">
        <v>645</v>
      </c>
      <c r="AL4" s="14" t="s">
        <v>646</v>
      </c>
      <c r="AM4" s="57" t="s">
        <v>624</v>
      </c>
      <c r="AN4" s="57" t="s">
        <v>625</v>
      </c>
      <c r="AO4" s="57" t="s">
        <v>626</v>
      </c>
      <c r="AP4" s="57" t="s">
        <v>627</v>
      </c>
      <c r="AQ4" s="57" t="s">
        <v>628</v>
      </c>
      <c r="AR4" s="57" t="s">
        <v>629</v>
      </c>
      <c r="AS4" s="57" t="s">
        <v>630</v>
      </c>
      <c r="AT4" s="57" t="s">
        <v>631</v>
      </c>
      <c r="AU4" s="57" t="s">
        <v>622</v>
      </c>
      <c r="AV4" s="57" t="s">
        <v>632</v>
      </c>
      <c r="AW4" s="57" t="s">
        <v>132</v>
      </c>
      <c r="AX4" s="56" t="s">
        <v>633</v>
      </c>
      <c r="AY4" s="56" t="s">
        <v>634</v>
      </c>
      <c r="AZ4" s="56" t="s">
        <v>635</v>
      </c>
      <c r="BA4" s="56" t="s">
        <v>636</v>
      </c>
      <c r="BB4" s="56" t="s">
        <v>637</v>
      </c>
      <c r="BC4" s="56" t="s">
        <v>638</v>
      </c>
      <c r="BD4" s="56" t="s">
        <v>647</v>
      </c>
      <c r="BE4" s="56" t="s">
        <v>648</v>
      </c>
      <c r="BF4" s="56" t="s">
        <v>649</v>
      </c>
      <c r="BG4" s="56" t="s">
        <v>651</v>
      </c>
      <c r="BH4" s="56" t="s">
        <v>652</v>
      </c>
      <c r="BI4" s="56" t="s">
        <v>653</v>
      </c>
      <c r="BJ4" s="56" t="s">
        <v>650</v>
      </c>
      <c r="BK4" s="56" t="s">
        <v>133</v>
      </c>
      <c r="BL4" s="56" t="s">
        <v>134</v>
      </c>
      <c r="BM4" s="61" t="s">
        <v>81</v>
      </c>
      <c r="BN4" s="61" t="s">
        <v>135</v>
      </c>
      <c r="BO4" s="61" t="s">
        <v>136</v>
      </c>
      <c r="BP4" s="29" t="s">
        <v>137</v>
      </c>
      <c r="BQ4" s="29" t="s">
        <v>138</v>
      </c>
      <c r="BR4" s="29" t="s">
        <v>139</v>
      </c>
      <c r="BS4" s="61" t="s">
        <v>140</v>
      </c>
    </row>
    <row r="5" spans="1:71">
      <c r="A5" s="147">
        <v>45839</v>
      </c>
      <c r="B5" s="150">
        <f>YEAR(RD[[#This Row],[Date]])+IF(MONTH(RD[[#This Row],[Date]])&gt;=4,1,0)</f>
        <v>2026</v>
      </c>
      <c r="C5" s="150">
        <f>YEAR(RD[[#This Row],[Date]])</f>
        <v>2025</v>
      </c>
      <c r="D5" s="151">
        <f t="shared" ref="D5:D12" si="66">A5-DAY(A5)+1</f>
        <v>45839</v>
      </c>
      <c r="E5" s="150">
        <f>DAY(EOMONTH(RD[[#This Row],[Date]],0))</f>
        <v>31</v>
      </c>
      <c r="F5" s="121"/>
      <c r="G5" s="121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37"/>
      <c r="AD5" s="137"/>
      <c r="AE5" s="166"/>
      <c r="AF5" s="166"/>
      <c r="AG5" s="166"/>
      <c r="AH5" s="166"/>
      <c r="AI5" s="166"/>
      <c r="AJ5" s="166"/>
      <c r="AK5" s="166"/>
      <c r="AL5" s="166"/>
      <c r="AM5" s="58"/>
      <c r="AN5" s="58"/>
      <c r="AO5" s="58"/>
      <c r="AP5" s="58"/>
      <c r="AQ5" s="58"/>
      <c r="AR5" s="58"/>
      <c r="AS5" s="58"/>
      <c r="AT5" s="58"/>
      <c r="AU5" s="60">
        <f>SUM(RD[[#This Row],[IS2Inv1M1]:[IS4Inv1M3]])</f>
        <v>0</v>
      </c>
      <c r="AV5" s="60">
        <f>SUM(RD[[#This Row],[IS5Inv1M1]:[IS5Inv2M3]])</f>
        <v>0</v>
      </c>
      <c r="AW5" s="60">
        <f>SUM(RD[[#This Row],[O2RE9]:[O2RE192]])</f>
        <v>0</v>
      </c>
      <c r="AX5" s="152"/>
      <c r="AY5" s="152"/>
      <c r="AZ5" s="152"/>
      <c r="BA5" s="152"/>
      <c r="BB5" s="152"/>
      <c r="BC5" s="152"/>
      <c r="BD5" s="153">
        <v>0</v>
      </c>
      <c r="BE5" s="153">
        <v>0</v>
      </c>
      <c r="BF5" s="153">
        <v>0</v>
      </c>
      <c r="BG5" s="153">
        <v>0</v>
      </c>
      <c r="BH5" s="153">
        <v>0</v>
      </c>
      <c r="BI5" s="153">
        <v>0</v>
      </c>
      <c r="BJ5" s="153">
        <v>0</v>
      </c>
      <c r="BK5" s="153">
        <f>SUM(RD[[#This Row],[33kV_OG1_O2RE9_Energy (KWh)]],RD[[#This Row],[33kV_OG2_O2RE19_Energy (KWh)]])</f>
        <v>0</v>
      </c>
      <c r="BL5" s="62" t="str">
        <f>IFERROR(RD[[#This Row],[33 kV Total Export (KWH)]]/RD[[#This Row],[Inv Total Gneration (MWh)]]-1,"")</f>
        <v/>
      </c>
      <c r="BM5" s="63">
        <f>IFERROR((RD[[#This Row],[Sunset Time (POA&lt;20 W/m2)]]-RD[[#This Row],[Sunrise Time (POA&gt;20 W/m2)]])*24,0)</f>
        <v>0</v>
      </c>
      <c r="BN5" s="64">
        <f>SUM(RD[[#This Row],[33kV_OG1_O2RE9_Energy (KWh)]],RD[[#This Row],[33kV_OG2_O2RE19_Energy (KWh)]])</f>
        <v>0</v>
      </c>
      <c r="BO5" s="64">
        <f>IFERROR(RD[[#This Row],[ Export (33 kV)]]*(1-RD[[#This Row],[33 kV Line Loss (%)]]),RD[[#This Row],[ Export (33 kV)]])</f>
        <v>0</v>
      </c>
      <c r="BP5" s="216"/>
      <c r="BQ5" s="121"/>
      <c r="BR5" s="121"/>
      <c r="BS5" t="str">
        <f>IFERROR(RD[[#This Row],[E_AC (WPR)]]/RD[[#This Row],[E_DC (WPR)]],"")</f>
        <v/>
      </c>
    </row>
    <row r="6" spans="1:71">
      <c r="A6" s="147">
        <f t="shared" ref="A6:A14" si="67">A5+1</f>
        <v>45840</v>
      </c>
      <c r="B6" s="150">
        <f>YEAR(RD[[#This Row],[Date]])+IF(MONTH(RD[[#This Row],[Date]])&gt;=4,1,0)</f>
        <v>2026</v>
      </c>
      <c r="C6" s="150">
        <f>YEAR(RD[[#This Row],[Date]])</f>
        <v>2025</v>
      </c>
      <c r="D6" s="151">
        <f t="shared" si="66"/>
        <v>45839</v>
      </c>
      <c r="E6" s="150">
        <f>DAY(EOMONTH(RD[[#This Row],[Date]],0))</f>
        <v>31</v>
      </c>
      <c r="F6" s="121"/>
      <c r="G6" s="121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66"/>
      <c r="AF6" s="166"/>
      <c r="AG6" s="166"/>
      <c r="AH6" s="166"/>
      <c r="AI6" s="166"/>
      <c r="AJ6" s="166"/>
      <c r="AK6" s="166"/>
      <c r="AL6" s="166"/>
      <c r="AM6" s="58"/>
      <c r="AN6" s="58"/>
      <c r="AO6" s="58"/>
      <c r="AP6" s="58"/>
      <c r="AQ6" s="58"/>
      <c r="AR6" s="58"/>
      <c r="AS6" s="58"/>
      <c r="AT6" s="58"/>
      <c r="AU6" s="60">
        <f>SUM(RD[[#This Row],[IS2Inv1M1]:[IS4Inv1M3]])</f>
        <v>0</v>
      </c>
      <c r="AV6" s="60">
        <f>SUM(RD[[#This Row],[IS5Inv1M1]:[IS5Inv2M3]])</f>
        <v>0</v>
      </c>
      <c r="AW6" s="60">
        <f>SUM(RD[[#This Row],[O2RE9]:[O2RE192]])</f>
        <v>0</v>
      </c>
      <c r="AX6" s="152"/>
      <c r="AY6" s="152"/>
      <c r="AZ6" s="152"/>
      <c r="BA6" s="152"/>
      <c r="BB6" s="152"/>
      <c r="BC6" s="152"/>
      <c r="BD6" s="153" t="str">
        <f>IF((RD[[#This Row],[33 kV_F1_Ex (O2RE9)]]-AX5)*150000&lt;=0,"",(RD[[#This Row],[33 kV_F1_Ex (O2RE9)]]-AX5)*150000)</f>
        <v/>
      </c>
      <c r="BE6" s="153">
        <f>IF((RD[[#This Row],[33kV_OG1_Ex (O2RE9)]]-AY5)*1000&lt;=0,0,(RD[[#This Row],[33kV_OG1_Ex (O2RE9)]]-AY5)*1000)</f>
        <v>0</v>
      </c>
      <c r="BF6" s="153">
        <f>IF((RD[[#This Row],[33kV_Aux1_Im (O2RE9)]]-AZ5)*1000&lt;0,"",(RD[[#This Row],[33kV_Aux1_Im (O2RE9)]]-AZ5)*1000)</f>
        <v>0</v>
      </c>
      <c r="BG6" s="153" t="str">
        <f>IF((RD[[#This Row],[33 kV_F2_Ex (O2RE19)]]-BA5)*150000&lt;=0,"",(RD[[#This Row],[33 kV_F2_Ex (O2RE19)]]-BA5)*150000)</f>
        <v/>
      </c>
      <c r="BH6" s="153">
        <f>IF((RD[[#This Row],[33kV_OG2_Ex (O2RE19)]]-BB5)*1000&lt;=0,0,(RD[[#This Row],[33kV_OG2_Ex (O2RE19)]]-BB5)*1000)</f>
        <v>0</v>
      </c>
      <c r="BI6" s="153">
        <f>IF((RD[[#This Row],[33kV_Aux2_Im (O2RE19)]]-BC5)*1000&lt;0,"",(RD[[#This Row],[33kV_Aux2_Im (O2RE19)]]-BC5)*1000)</f>
        <v>0</v>
      </c>
      <c r="BJ6" s="153">
        <f>IF((RD[[#This Row],[33kV_Aux1_Im (O2RE9)]]-AZ5)*1000&lt;0,"",(RD[[#This Row],[33kV_Aux1_Im (O2RE9)]]-AZ5)*1000)</f>
        <v>0</v>
      </c>
      <c r="BK6" s="153">
        <f>SUM(RD[[#This Row],[33kV_OG1_O2RE9_Energy (KWh)]],RD[[#This Row],[33kV_OG2_O2RE19_Energy (KWh)]])</f>
        <v>0</v>
      </c>
      <c r="BL6" s="62" t="str">
        <f>IFERROR(RD[[#This Row],[33 kV Total Export (KWH)]]/RD[[#This Row],[Inv Total Gneration (MWh)]]-1,"")</f>
        <v/>
      </c>
      <c r="BM6" s="63">
        <f>IFERROR((RD[[#This Row],[Sunset Time (POA&lt;20 W/m2)]]-RD[[#This Row],[Sunrise Time (POA&gt;20 W/m2)]])*24,0)</f>
        <v>0</v>
      </c>
      <c r="BN6" s="64">
        <f>SUM(RD[[#This Row],[33kV_OG1_O2RE9_Energy (KWh)]],RD[[#This Row],[33kV_OG2_O2RE19_Energy (KWh)]])</f>
        <v>0</v>
      </c>
      <c r="BO6" s="64">
        <f>IFERROR(RD[[#This Row],[ Export (33 kV)]]*(1-RD[[#This Row],[33 kV Line Loss (%)]]),RD[[#This Row],[ Export (33 kV)]])</f>
        <v>0</v>
      </c>
      <c r="BP6" s="216"/>
      <c r="BQ6" s="121"/>
      <c r="BR6" s="121"/>
      <c r="BS6" t="str">
        <f>IFERROR(RD[[#This Row],[E_AC (WPR)]]/RD[[#This Row],[E_DC (WPR)]],"")</f>
        <v/>
      </c>
    </row>
    <row r="7" spans="1:71">
      <c r="A7" s="147">
        <f t="shared" si="67"/>
        <v>45841</v>
      </c>
      <c r="B7" s="150">
        <f>YEAR(RD[[#This Row],[Date]])+IF(MONTH(RD[[#This Row],[Date]])&gt;=4,1,0)</f>
        <v>2026</v>
      </c>
      <c r="C7" s="150">
        <f>YEAR(RD[[#This Row],[Date]])</f>
        <v>2025</v>
      </c>
      <c r="D7" s="151">
        <f t="shared" si="66"/>
        <v>45839</v>
      </c>
      <c r="E7" s="150">
        <f>DAY(EOMONTH(RD[[#This Row],[Date]],0))</f>
        <v>31</v>
      </c>
      <c r="F7" s="121"/>
      <c r="G7" s="121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66"/>
      <c r="AF7" s="166"/>
      <c r="AG7" s="166"/>
      <c r="AH7" s="166"/>
      <c r="AI7" s="166"/>
      <c r="AJ7" s="166"/>
      <c r="AK7" s="166"/>
      <c r="AL7" s="166"/>
      <c r="AM7" s="58"/>
      <c r="AN7" s="58"/>
      <c r="AO7" s="58"/>
      <c r="AP7" s="58"/>
      <c r="AQ7" s="58"/>
      <c r="AR7" s="58"/>
      <c r="AS7" s="58"/>
      <c r="AT7" s="58"/>
      <c r="AU7" s="60">
        <f>SUM(RD[[#This Row],[IS2Inv1M1]:[IS4Inv1M3]])</f>
        <v>0</v>
      </c>
      <c r="AV7" s="60">
        <f>SUM(RD[[#This Row],[IS5Inv1M1]:[IS5Inv2M3]])</f>
        <v>0</v>
      </c>
      <c r="AW7" s="60">
        <f>SUM(RD[[#This Row],[O2RE9]:[O2RE192]])</f>
        <v>0</v>
      </c>
      <c r="AX7" s="152"/>
      <c r="AY7" s="152"/>
      <c r="AZ7" s="152"/>
      <c r="BA7" s="152"/>
      <c r="BB7" s="152"/>
      <c r="BC7" s="152"/>
      <c r="BD7" s="153" t="str">
        <f>IF((RD[[#This Row],[33 kV_F1_Ex (O2RE9)]]-AX6)*150000&lt;=0,"",(RD[[#This Row],[33 kV_F1_Ex (O2RE9)]]-AX6)*150000)</f>
        <v/>
      </c>
      <c r="BE7" s="153">
        <f>IF((RD[[#This Row],[33kV_OG1_Ex (O2RE9)]]-AY6)*1000&lt;=0,0,(RD[[#This Row],[33kV_OG1_Ex (O2RE9)]]-AY6)*1000)</f>
        <v>0</v>
      </c>
      <c r="BF7" s="153"/>
      <c r="BG7" s="153" t="str">
        <f>IF((RD[[#This Row],[33 kV_F2_Ex (O2RE19)]]-BA6)*150000&lt;=0,"",(RD[[#This Row],[33 kV_F2_Ex (O2RE19)]]-BA6)*150000)</f>
        <v/>
      </c>
      <c r="BH7" s="153">
        <f>IF((RD[[#This Row],[33kV_OG2_Ex (O2RE19)]]-BB6)*1000&lt;=0,0,(RD[[#This Row],[33kV_OG2_Ex (O2RE19)]]-BB6)*1000)</f>
        <v>0</v>
      </c>
      <c r="BI7" s="153">
        <f>IF((RD[[#This Row],[33kV_Aux2_Im (O2RE19)]]-BC6)*1000&lt;0,"",(RD[[#This Row],[33kV_Aux2_Im (O2RE19)]]-BC6)*1000)</f>
        <v>0</v>
      </c>
      <c r="BJ7" s="153">
        <f>IF((RD[[#This Row],[33kV_Aux1_Im (O2RE9)]]-AZ6)*1000&lt;0,"",(RD[[#This Row],[33kV_Aux1_Im (O2RE9)]]-AZ6)*1000)</f>
        <v>0</v>
      </c>
      <c r="BK7" s="153">
        <f>SUM(RD[[#This Row],[33kV_OG1_O2RE9_Energy (KWh)]],RD[[#This Row],[33kV_OG2_O2RE19_Energy (KWh)]])</f>
        <v>0</v>
      </c>
      <c r="BL7" s="62" t="str">
        <f>IFERROR(RD[[#This Row],[33 kV Total Export (KWH)]]/RD[[#This Row],[Inv Total Gneration (MWh)]]-1,"")</f>
        <v/>
      </c>
      <c r="BM7" s="63">
        <f>IFERROR((RD[[#This Row],[Sunset Time (POA&lt;20 W/m2)]]-RD[[#This Row],[Sunrise Time (POA&gt;20 W/m2)]])*24,0)</f>
        <v>0</v>
      </c>
      <c r="BN7" s="64">
        <f>SUM(RD[[#This Row],[33kV_OG1_O2RE9_Energy (KWh)]],RD[[#This Row],[33kV_OG2_O2RE19_Energy (KWh)]])</f>
        <v>0</v>
      </c>
      <c r="BO7" s="64">
        <f>IFERROR(RD[[#This Row],[ Export (33 kV)]]*(1-RD[[#This Row],[33 kV Line Loss (%)]]),RD[[#This Row],[ Export (33 kV)]])</f>
        <v>0</v>
      </c>
      <c r="BP7" s="216"/>
      <c r="BQ7" s="121"/>
      <c r="BR7" s="121"/>
      <c r="BS7" t="str">
        <f>IFERROR(RD[[#This Row],[E_AC (WPR)]]/RD[[#This Row],[E_DC (WPR)]],"")</f>
        <v/>
      </c>
    </row>
    <row r="8" spans="1:71">
      <c r="A8" s="147">
        <f t="shared" si="67"/>
        <v>45842</v>
      </c>
      <c r="B8" s="150">
        <f>YEAR(RD[[#This Row],[Date]])+IF(MONTH(RD[[#This Row],[Date]])&gt;=4,1,0)</f>
        <v>2026</v>
      </c>
      <c r="C8" s="150">
        <f>YEAR(RD[[#This Row],[Date]])</f>
        <v>2025</v>
      </c>
      <c r="D8" s="151">
        <f t="shared" si="66"/>
        <v>45839</v>
      </c>
      <c r="E8" s="150">
        <f>DAY(EOMONTH(RD[[#This Row],[Date]],0))</f>
        <v>31</v>
      </c>
      <c r="F8" s="121"/>
      <c r="G8" s="121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66"/>
      <c r="AF8" s="166"/>
      <c r="AG8" s="166"/>
      <c r="AH8" s="166"/>
      <c r="AI8" s="166"/>
      <c r="AJ8" s="166"/>
      <c r="AK8" s="166"/>
      <c r="AL8" s="166"/>
      <c r="AM8" s="58"/>
      <c r="AN8" s="58"/>
      <c r="AO8" s="58"/>
      <c r="AP8" s="58"/>
      <c r="AQ8" s="58"/>
      <c r="AR8" s="58"/>
      <c r="AS8" s="58"/>
      <c r="AT8" s="58"/>
      <c r="AU8" s="60">
        <f>SUM(RD[[#This Row],[IS2Inv1M1]:[IS4Inv1M3]])</f>
        <v>0</v>
      </c>
      <c r="AV8" s="60">
        <f>SUM(RD[[#This Row],[IS5Inv1M1]:[IS5Inv2M3]])</f>
        <v>0</v>
      </c>
      <c r="AW8" s="60">
        <f>SUM(RD[[#This Row],[O2RE9]:[O2RE192]])</f>
        <v>0</v>
      </c>
      <c r="AX8" s="152"/>
      <c r="AY8" s="152"/>
      <c r="AZ8" s="152"/>
      <c r="BA8" s="152"/>
      <c r="BB8" s="152"/>
      <c r="BC8" s="152"/>
      <c r="BD8" s="153" t="str">
        <f>IF((RD[[#This Row],[33 kV_F1_Ex (O2RE9)]]-AX7)*150000&lt;=0,"",(RD[[#This Row],[33 kV_F1_Ex (O2RE9)]]-AX7)*150000)</f>
        <v/>
      </c>
      <c r="BE8" s="153">
        <f>IF((RD[[#This Row],[33kV_OG1_Ex (O2RE9)]]-AY7)*1000&lt;=0,0,(RD[[#This Row],[33kV_OG1_Ex (O2RE9)]]-AY7)*1000)</f>
        <v>0</v>
      </c>
      <c r="BF8" s="153"/>
      <c r="BG8" s="153" t="str">
        <f>IF((RD[[#This Row],[33 kV_F2_Ex (O2RE19)]]-BA7)*150000&lt;=0,"",(RD[[#This Row],[33 kV_F2_Ex (O2RE19)]]-BA7)*150000)</f>
        <v/>
      </c>
      <c r="BH8" s="153">
        <f>IF((RD[[#This Row],[33kV_OG2_Ex (O2RE19)]]-BB7)*1000&lt;=0,0,(RD[[#This Row],[33kV_OG2_Ex (O2RE19)]]-BB7)*1000)</f>
        <v>0</v>
      </c>
      <c r="BI8" s="153">
        <f>IF((RD[[#This Row],[33kV_Aux2_Im (O2RE19)]]-BC7)*1000&lt;0,"",(RD[[#This Row],[33kV_Aux2_Im (O2RE19)]]-BC7)*1000)</f>
        <v>0</v>
      </c>
      <c r="BJ8" s="153">
        <f>IF((RD[[#This Row],[33kV_Aux1_Im (O2RE9)]]-AZ7)*1000&lt;0,"",(RD[[#This Row],[33kV_Aux1_Im (O2RE9)]]-AZ7)*1000)</f>
        <v>0</v>
      </c>
      <c r="BK8" s="153">
        <f>SUM(RD[[#This Row],[33kV_OG1_O2RE9_Energy (KWh)]],RD[[#This Row],[33kV_OG2_O2RE19_Energy (KWh)]])</f>
        <v>0</v>
      </c>
      <c r="BL8" s="62" t="str">
        <f>IFERROR(RD[[#This Row],[33 kV Total Export (KWH)]]/RD[[#This Row],[Inv Total Gneration (MWh)]]-1,"")</f>
        <v/>
      </c>
      <c r="BM8" s="63">
        <f>IFERROR((RD[[#This Row],[Sunset Time (POA&lt;20 W/m2)]]-RD[[#This Row],[Sunrise Time (POA&gt;20 W/m2)]])*24,0)</f>
        <v>0</v>
      </c>
      <c r="BN8" s="64">
        <f>SUM(RD[[#This Row],[33kV_OG1_O2RE9_Energy (KWh)]],RD[[#This Row],[33kV_OG2_O2RE19_Energy (KWh)]])</f>
        <v>0</v>
      </c>
      <c r="BO8" s="64">
        <f>IFERROR(RD[[#This Row],[ Export (33 kV)]]*(1-RD[[#This Row],[33 kV Line Loss (%)]]),RD[[#This Row],[ Export (33 kV)]])</f>
        <v>0</v>
      </c>
      <c r="BP8" s="216"/>
      <c r="BQ8" s="121"/>
      <c r="BR8" s="121"/>
      <c r="BS8" t="str">
        <f>IFERROR(RD[[#This Row],[E_AC (WPR)]]/RD[[#This Row],[E_DC (WPR)]],"")</f>
        <v/>
      </c>
    </row>
    <row r="9" spans="1:71">
      <c r="A9" s="147">
        <f t="shared" si="67"/>
        <v>45843</v>
      </c>
      <c r="B9" s="150">
        <f>YEAR(RD[[#This Row],[Date]])+IF(MONTH(RD[[#This Row],[Date]])&gt;=4,1,0)</f>
        <v>2026</v>
      </c>
      <c r="C9" s="150">
        <f>YEAR(RD[[#This Row],[Date]])</f>
        <v>2025</v>
      </c>
      <c r="D9" s="151">
        <f t="shared" si="66"/>
        <v>45839</v>
      </c>
      <c r="E9" s="150">
        <f>DAY(EOMONTH(RD[[#This Row],[Date]],0))</f>
        <v>31</v>
      </c>
      <c r="F9" s="121"/>
      <c r="G9" s="121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66"/>
      <c r="AF9" s="166"/>
      <c r="AG9" s="166"/>
      <c r="AH9" s="166"/>
      <c r="AI9" s="166"/>
      <c r="AJ9" s="166"/>
      <c r="AK9" s="166"/>
      <c r="AL9" s="166"/>
      <c r="AM9" s="58"/>
      <c r="AN9" s="58"/>
      <c r="AO9" s="58"/>
      <c r="AP9" s="58"/>
      <c r="AQ9" s="58"/>
      <c r="AR9" s="58"/>
      <c r="AS9" s="58"/>
      <c r="AT9" s="58"/>
      <c r="AU9" s="60">
        <f>SUM(RD[[#This Row],[IS2Inv1M1]:[IS4Inv1M3]])</f>
        <v>0</v>
      </c>
      <c r="AV9" s="60">
        <f>SUM(RD[[#This Row],[IS5Inv1M1]:[IS5Inv2M3]])</f>
        <v>0</v>
      </c>
      <c r="AW9" s="60">
        <f>SUM(RD[[#This Row],[O2RE9]:[O2RE192]])</f>
        <v>0</v>
      </c>
      <c r="AX9" s="152"/>
      <c r="AY9" s="152"/>
      <c r="AZ9" s="152"/>
      <c r="BA9" s="152"/>
      <c r="BB9" s="152"/>
      <c r="BC9" s="152"/>
      <c r="BD9" s="153" t="str">
        <f>IF((RD[[#This Row],[33 kV_F1_Ex (O2RE9)]]-AX8)*150000&lt;=0,"",(RD[[#This Row],[33 kV_F1_Ex (O2RE9)]]-AX8)*150000)</f>
        <v/>
      </c>
      <c r="BE9" s="153">
        <f>IF((RD[[#This Row],[33kV_OG1_Ex (O2RE9)]]-AY8)*1000&lt;=0,0,(RD[[#This Row],[33kV_OG1_Ex (O2RE9)]]-AY8)*1000)</f>
        <v>0</v>
      </c>
      <c r="BF9" s="153"/>
      <c r="BG9" s="153" t="str">
        <f>IF((RD[[#This Row],[33 kV_F2_Ex (O2RE19)]]-BA8)*150000&lt;=0,"",(RD[[#This Row],[33 kV_F2_Ex (O2RE19)]]-BA8)*150000)</f>
        <v/>
      </c>
      <c r="BH9" s="153">
        <f>IF((RD[[#This Row],[33kV_OG2_Ex (O2RE19)]]-BB8)*1000&lt;=0,0,(RD[[#This Row],[33kV_OG2_Ex (O2RE19)]]-BB8)*1000)</f>
        <v>0</v>
      </c>
      <c r="BI9" s="153">
        <f>IF((RD[[#This Row],[33kV_Aux2_Im (O2RE19)]]-BC8)*1000&lt;0,"",(RD[[#This Row],[33kV_Aux2_Im (O2RE19)]]-BC8)*1000)</f>
        <v>0</v>
      </c>
      <c r="BJ9" s="153">
        <f>IF((RD[[#This Row],[33kV_Aux1_Im (O2RE9)]]-AZ8)*1000&lt;0,"",(RD[[#This Row],[33kV_Aux1_Im (O2RE9)]]-AZ8)*1000)</f>
        <v>0</v>
      </c>
      <c r="BK9" s="153">
        <f>SUM(RD[[#This Row],[33kV_OG1_O2RE9_Energy (KWh)]],RD[[#This Row],[33kV_OG2_O2RE19_Energy (KWh)]])</f>
        <v>0</v>
      </c>
      <c r="BL9" s="62" t="str">
        <f>IFERROR(RD[[#This Row],[33 kV Total Export (KWH)]]/RD[[#This Row],[Inv Total Gneration (MWh)]]-1,"")</f>
        <v/>
      </c>
      <c r="BM9" s="63">
        <f>IFERROR((RD[[#This Row],[Sunset Time (POA&lt;20 W/m2)]]-RD[[#This Row],[Sunrise Time (POA&gt;20 W/m2)]])*24,0)</f>
        <v>0</v>
      </c>
      <c r="BN9" s="64">
        <f>SUM(RD[[#This Row],[33kV_OG1_O2RE9_Energy (KWh)]],RD[[#This Row],[33kV_OG2_O2RE19_Energy (KWh)]])</f>
        <v>0</v>
      </c>
      <c r="BO9" s="64">
        <f>IFERROR(RD[[#This Row],[ Export (33 kV)]]*(1-RD[[#This Row],[33 kV Line Loss (%)]]),RD[[#This Row],[ Export (33 kV)]])</f>
        <v>0</v>
      </c>
      <c r="BP9" s="216"/>
      <c r="BQ9" s="121"/>
      <c r="BR9" s="121"/>
      <c r="BS9" t="str">
        <f>IFERROR(RD[[#This Row],[E_AC (WPR)]]/RD[[#This Row],[E_DC (WPR)]],"")</f>
        <v/>
      </c>
    </row>
    <row r="10" spans="1:71">
      <c r="A10" s="147">
        <f t="shared" si="67"/>
        <v>45844</v>
      </c>
      <c r="B10" s="150">
        <f>YEAR(RD[[#This Row],[Date]])+IF(MONTH(RD[[#This Row],[Date]])&gt;=4,1,0)</f>
        <v>2026</v>
      </c>
      <c r="C10" s="150">
        <f>YEAR(RD[[#This Row],[Date]])</f>
        <v>2025</v>
      </c>
      <c r="D10" s="151">
        <f t="shared" si="66"/>
        <v>45839</v>
      </c>
      <c r="E10" s="150">
        <f>DAY(EOMONTH(RD[[#This Row],[Date]],0))</f>
        <v>31</v>
      </c>
      <c r="F10" s="121"/>
      <c r="G10" s="121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66"/>
      <c r="AF10" s="166"/>
      <c r="AG10" s="166"/>
      <c r="AH10" s="166"/>
      <c r="AI10" s="166"/>
      <c r="AJ10" s="166"/>
      <c r="AK10" s="166"/>
      <c r="AL10" s="166"/>
      <c r="AM10" s="58"/>
      <c r="AN10" s="58"/>
      <c r="AO10" s="58"/>
      <c r="AP10" s="58"/>
      <c r="AQ10" s="58"/>
      <c r="AR10" s="58"/>
      <c r="AS10" s="58"/>
      <c r="AT10" s="58"/>
      <c r="AU10" s="60">
        <f>SUM(RD[[#This Row],[IS2Inv1M1]:[IS4Inv1M3]])</f>
        <v>0</v>
      </c>
      <c r="AV10" s="60">
        <f>SUM(RD[[#This Row],[IS5Inv1M1]:[IS5Inv2M3]])</f>
        <v>0</v>
      </c>
      <c r="AW10" s="60">
        <f>SUM(RD[[#This Row],[O2RE9]:[O2RE192]])</f>
        <v>0</v>
      </c>
      <c r="AX10" s="152"/>
      <c r="AY10" s="152"/>
      <c r="AZ10" s="152"/>
      <c r="BA10" s="152"/>
      <c r="BB10" s="152"/>
      <c r="BC10" s="152"/>
      <c r="BD10" s="153" t="str">
        <f>IF((RD[[#This Row],[33 kV_F1_Ex (O2RE9)]]-AX9)*150000&lt;=0,"",(RD[[#This Row],[33 kV_F1_Ex (O2RE9)]]-AX9)*150000)</f>
        <v/>
      </c>
      <c r="BE10" s="153">
        <f>IF((RD[[#This Row],[33kV_OG1_Ex (O2RE9)]]-AY9)*1000&lt;=0,0,(RD[[#This Row],[33kV_OG1_Ex (O2RE9)]]-AY9)*1000)</f>
        <v>0</v>
      </c>
      <c r="BF10" s="153"/>
      <c r="BG10" s="153" t="str">
        <f>IF((RD[[#This Row],[33 kV_F2_Ex (O2RE19)]]-BA9)*150000&lt;=0,"",(RD[[#This Row],[33 kV_F2_Ex (O2RE19)]]-BA9)*150000)</f>
        <v/>
      </c>
      <c r="BH10" s="153">
        <f>IF((RD[[#This Row],[33kV_OG2_Ex (O2RE19)]]-BB9)*1000&lt;=0,0,(RD[[#This Row],[33kV_OG2_Ex (O2RE19)]]-BB9)*1000)</f>
        <v>0</v>
      </c>
      <c r="BI10" s="153">
        <f>IF((RD[[#This Row],[33kV_Aux2_Im (O2RE19)]]-BC9)*1000&lt;0,"",(RD[[#This Row],[33kV_Aux2_Im (O2RE19)]]-BC9)*1000)</f>
        <v>0</v>
      </c>
      <c r="BJ10" s="153">
        <f>IF((RD[[#This Row],[33kV_Aux1_Im (O2RE9)]]-AZ9)*1000&lt;0,"",(RD[[#This Row],[33kV_Aux1_Im (O2RE9)]]-AZ9)*1000)</f>
        <v>0</v>
      </c>
      <c r="BK10" s="153">
        <f>SUM(RD[[#This Row],[33kV_OG1_O2RE9_Energy (KWh)]],RD[[#This Row],[33kV_OG2_O2RE19_Energy (KWh)]])</f>
        <v>0</v>
      </c>
      <c r="BL10" s="62" t="str">
        <f>IFERROR(RD[[#This Row],[33 kV Total Export (KWH)]]/RD[[#This Row],[Inv Total Gneration (MWh)]]-1,"")</f>
        <v/>
      </c>
      <c r="BM10" s="63">
        <f>IFERROR((RD[[#This Row],[Sunset Time (POA&lt;20 W/m2)]]-RD[[#This Row],[Sunrise Time (POA&gt;20 W/m2)]])*24,0)</f>
        <v>0</v>
      </c>
      <c r="BN10" s="64">
        <f>SUM(RD[[#This Row],[33kV_OG1_O2RE9_Energy (KWh)]],RD[[#This Row],[33kV_OG2_O2RE19_Energy (KWh)]])</f>
        <v>0</v>
      </c>
      <c r="BO10" s="64">
        <f>IFERROR(RD[[#This Row],[ Export (33 kV)]]*(1-RD[[#This Row],[33 kV Line Loss (%)]]),RD[[#This Row],[ Export (33 kV)]])</f>
        <v>0</v>
      </c>
      <c r="BP10" s="216"/>
      <c r="BQ10" s="121"/>
      <c r="BR10" s="121"/>
      <c r="BS10" t="str">
        <f>IFERROR(RD[[#This Row],[E_AC (WPR)]]/RD[[#This Row],[E_DC (WPR)]],"")</f>
        <v/>
      </c>
    </row>
    <row r="11" spans="1:71">
      <c r="A11" s="147">
        <f t="shared" si="67"/>
        <v>45845</v>
      </c>
      <c r="B11" s="150">
        <f>YEAR(RD[[#This Row],[Date]])+IF(MONTH(RD[[#This Row],[Date]])&gt;=4,1,0)</f>
        <v>2026</v>
      </c>
      <c r="C11" s="150">
        <f>YEAR(RD[[#This Row],[Date]])</f>
        <v>2025</v>
      </c>
      <c r="D11" s="151">
        <f t="shared" si="66"/>
        <v>45839</v>
      </c>
      <c r="E11" s="150">
        <f>DAY(EOMONTH(RD[[#This Row],[Date]],0))</f>
        <v>31</v>
      </c>
      <c r="F11" s="121"/>
      <c r="G11" s="121"/>
      <c r="H11" s="137"/>
      <c r="I11" s="137"/>
      <c r="J11" s="137"/>
      <c r="K11" s="137"/>
      <c r="L11" s="137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66"/>
      <c r="AF11" s="166"/>
      <c r="AG11" s="166"/>
      <c r="AH11" s="166"/>
      <c r="AI11" s="166"/>
      <c r="AJ11" s="166"/>
      <c r="AK11" s="166"/>
      <c r="AL11" s="166"/>
      <c r="AM11" s="58"/>
      <c r="AN11" s="58"/>
      <c r="AO11" s="58"/>
      <c r="AP11" s="58"/>
      <c r="AQ11" s="58"/>
      <c r="AR11" s="58"/>
      <c r="AS11" s="58"/>
      <c r="AT11" s="58"/>
      <c r="AU11" s="60">
        <f>SUM(RD[[#This Row],[IS2Inv1M1]:[IS4Inv1M3]])</f>
        <v>0</v>
      </c>
      <c r="AV11" s="60">
        <f>SUM(RD[[#This Row],[IS5Inv1M1]:[IS5Inv2M3]])</f>
        <v>0</v>
      </c>
      <c r="AW11" s="60">
        <f>SUM(RD[[#This Row],[O2RE9]:[O2RE192]])</f>
        <v>0</v>
      </c>
      <c r="AX11" s="152"/>
      <c r="AY11" s="152"/>
      <c r="AZ11" s="152"/>
      <c r="BA11" s="152"/>
      <c r="BB11" s="152"/>
      <c r="BC11" s="152"/>
      <c r="BD11" s="153" t="str">
        <f>IF((RD[[#This Row],[33 kV_F1_Ex (O2RE9)]]-AX10)*150000&lt;=0,"",(RD[[#This Row],[33 kV_F1_Ex (O2RE9)]]-AX10)*150000)</f>
        <v/>
      </c>
      <c r="BE11" s="153">
        <f>IF((RD[[#This Row],[33kV_OG1_Ex (O2RE9)]]-AY10)*1000&lt;=0,0,(RD[[#This Row],[33kV_OG1_Ex (O2RE9)]]-AY10)*1000)</f>
        <v>0</v>
      </c>
      <c r="BF11" s="153"/>
      <c r="BG11" s="153" t="str">
        <f>IF((RD[[#This Row],[33 kV_F2_Ex (O2RE19)]]-BA10)*150000&lt;=0,"",(RD[[#This Row],[33 kV_F2_Ex (O2RE19)]]-BA10)*150000)</f>
        <v/>
      </c>
      <c r="BH11" s="153">
        <f>IF((RD[[#This Row],[33kV_OG2_Ex (O2RE19)]]-BB10)*1000&lt;=0,0,(RD[[#This Row],[33kV_OG2_Ex (O2RE19)]]-BB10)*1000)</f>
        <v>0</v>
      </c>
      <c r="BI11" s="153">
        <f>IF((RD[[#This Row],[33kV_Aux2_Im (O2RE19)]]-BC10)*1000&lt;0,"",(RD[[#This Row],[33kV_Aux2_Im (O2RE19)]]-BC10)*1000)</f>
        <v>0</v>
      </c>
      <c r="BJ11" s="153">
        <f>IF((RD[[#This Row],[33kV_Aux1_Im (O2RE9)]]-AZ10)*1000&lt;0,"",(RD[[#This Row],[33kV_Aux1_Im (O2RE9)]]-AZ10)*1000)</f>
        <v>0</v>
      </c>
      <c r="BK11" s="153">
        <f>SUM(RD[[#This Row],[33kV_OG1_O2RE9_Energy (KWh)]],RD[[#This Row],[33kV_OG2_O2RE19_Energy (KWh)]])</f>
        <v>0</v>
      </c>
      <c r="BL11" s="62" t="str">
        <f>IFERROR(RD[[#This Row],[33 kV Total Export (KWH)]]/RD[[#This Row],[Inv Total Gneration (MWh)]]-1,"")</f>
        <v/>
      </c>
      <c r="BM11" s="63">
        <f>IFERROR((RD[[#This Row],[Sunset Time (POA&lt;20 W/m2)]]-RD[[#This Row],[Sunrise Time (POA&gt;20 W/m2)]])*24,0)</f>
        <v>0</v>
      </c>
      <c r="BN11" s="64">
        <f>SUM(RD[[#This Row],[33kV_OG1_O2RE9_Energy (KWh)]],RD[[#This Row],[33kV_OG2_O2RE19_Energy (KWh)]])</f>
        <v>0</v>
      </c>
      <c r="BO11" s="64">
        <f>IFERROR(RD[[#This Row],[ Export (33 kV)]]*(1-RD[[#This Row],[33 kV Line Loss (%)]]),RD[[#This Row],[ Export (33 kV)]])</f>
        <v>0</v>
      </c>
      <c r="BP11" s="216"/>
      <c r="BQ11" s="121"/>
      <c r="BR11" s="121"/>
      <c r="BS11" t="str">
        <f>IFERROR(RD[[#This Row],[E_AC (WPR)]]/RD[[#This Row],[E_DC (WPR)]],"")</f>
        <v/>
      </c>
    </row>
    <row r="12" spans="1:71">
      <c r="A12" s="147">
        <f t="shared" si="67"/>
        <v>45846</v>
      </c>
      <c r="B12" s="150">
        <f>YEAR(RD[[#This Row],[Date]])+IF(MONTH(RD[[#This Row],[Date]])&gt;=4,1,0)</f>
        <v>2026</v>
      </c>
      <c r="C12" s="150">
        <f>YEAR(RD[[#This Row],[Date]])</f>
        <v>2025</v>
      </c>
      <c r="D12" s="151">
        <f t="shared" si="66"/>
        <v>45839</v>
      </c>
      <c r="E12" s="150">
        <f>DAY(EOMONTH(RD[[#This Row],[Date]],0))</f>
        <v>31</v>
      </c>
      <c r="F12" s="121"/>
      <c r="G12" s="121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66"/>
      <c r="AF12" s="166"/>
      <c r="AG12" s="166"/>
      <c r="AH12" s="166"/>
      <c r="AI12" s="166"/>
      <c r="AJ12" s="166"/>
      <c r="AK12" s="166"/>
      <c r="AL12" s="166"/>
      <c r="AM12" s="58"/>
      <c r="AN12" s="58"/>
      <c r="AO12" s="58"/>
      <c r="AP12" s="58"/>
      <c r="AQ12" s="58"/>
      <c r="AR12" s="58"/>
      <c r="AS12" s="58"/>
      <c r="AT12" s="58"/>
      <c r="AU12" s="60">
        <f>SUM(RD[[#This Row],[IS2Inv1M1]:[IS4Inv1M3]])</f>
        <v>0</v>
      </c>
      <c r="AV12" s="60">
        <f>SUM(RD[[#This Row],[IS5Inv1M1]:[IS5Inv2M3]])</f>
        <v>0</v>
      </c>
      <c r="AW12" s="60">
        <f>SUM(RD[[#This Row],[O2RE9]:[O2RE192]])</f>
        <v>0</v>
      </c>
      <c r="AX12" s="152"/>
      <c r="AY12" s="152"/>
      <c r="AZ12" s="152"/>
      <c r="BA12" s="152"/>
      <c r="BB12" s="152"/>
      <c r="BC12" s="152"/>
      <c r="BD12" s="153" t="str">
        <f>IF((RD[[#This Row],[33 kV_F1_Ex (O2RE9)]]-AX11)*150000&lt;=0,"",(RD[[#This Row],[33 kV_F1_Ex (O2RE9)]]-AX11)*150000)</f>
        <v/>
      </c>
      <c r="BE12" s="153">
        <f>IF((RD[[#This Row],[33kV_OG1_Ex (O2RE9)]]-AY11)*1000&lt;=0,0,(RD[[#This Row],[33kV_OG1_Ex (O2RE9)]]-AY11)*1000)</f>
        <v>0</v>
      </c>
      <c r="BF12" s="153"/>
      <c r="BG12" s="153" t="str">
        <f>IF((RD[[#This Row],[33 kV_F2_Ex (O2RE19)]]-BA11)*150000&lt;=0,"",(RD[[#This Row],[33 kV_F2_Ex (O2RE19)]]-BA11)*150000)</f>
        <v/>
      </c>
      <c r="BH12" s="153">
        <f>IF((RD[[#This Row],[33kV_OG2_Ex (O2RE19)]]-BB11)*1000&lt;=0,0,(RD[[#This Row],[33kV_OG2_Ex (O2RE19)]]-BB11)*1000)</f>
        <v>0</v>
      </c>
      <c r="BI12" s="153">
        <f>IF((RD[[#This Row],[33kV_Aux2_Im (O2RE19)]]-BC11)*1000&lt;0,"",(RD[[#This Row],[33kV_Aux2_Im (O2RE19)]]-BC11)*1000)</f>
        <v>0</v>
      </c>
      <c r="BJ12" s="153">
        <f>IF((RD[[#This Row],[33kV_Aux1_Im (O2RE9)]]-AZ11)*1000&lt;0,"",(RD[[#This Row],[33kV_Aux1_Im (O2RE9)]]-AZ11)*1000)</f>
        <v>0</v>
      </c>
      <c r="BK12" s="153">
        <f>SUM(RD[[#This Row],[33kV_OG1_O2RE9_Energy (KWh)]],RD[[#This Row],[33kV_OG2_O2RE19_Energy (KWh)]])</f>
        <v>0</v>
      </c>
      <c r="BL12" s="62" t="str">
        <f>IFERROR(RD[[#This Row],[33 kV Total Export (KWH)]]/RD[[#This Row],[Inv Total Gneration (MWh)]]-1,"")</f>
        <v/>
      </c>
      <c r="BM12" s="63">
        <f>IFERROR((RD[[#This Row],[Sunset Time (POA&lt;20 W/m2)]]-RD[[#This Row],[Sunrise Time (POA&gt;20 W/m2)]])*24,0)</f>
        <v>0</v>
      </c>
      <c r="BN12" s="64">
        <f>SUM(RD[[#This Row],[33kV_OG1_O2RE9_Energy (KWh)]],RD[[#This Row],[33kV_OG2_O2RE19_Energy (KWh)]])</f>
        <v>0</v>
      </c>
      <c r="BO12" s="64">
        <f>IFERROR(RD[[#This Row],[ Export (33 kV)]]*(1-RD[[#This Row],[33 kV Line Loss (%)]]),RD[[#This Row],[ Export (33 kV)]])</f>
        <v>0</v>
      </c>
      <c r="BP12" s="216"/>
      <c r="BQ12" s="121"/>
      <c r="BR12" s="121"/>
      <c r="BS12" t="str">
        <f>IFERROR(RD[[#This Row],[E_AC (WPR)]]/RD[[#This Row],[E_DC (WPR)]],"")</f>
        <v/>
      </c>
    </row>
    <row r="13" spans="1:71">
      <c r="A13" s="147">
        <f t="shared" si="67"/>
        <v>45847</v>
      </c>
      <c r="B13" s="150">
        <f>YEAR(RD[[#This Row],[Date]])+IF(MONTH(RD[[#This Row],[Date]])&gt;=4,1,0)</f>
        <v>2026</v>
      </c>
      <c r="C13" s="150">
        <f>YEAR(RD[[#This Row],[Date]])</f>
        <v>2025</v>
      </c>
      <c r="D13" s="151">
        <f t="shared" ref="D13:D76" si="68">A13-DAY(A13)+1</f>
        <v>45839</v>
      </c>
      <c r="E13" s="150">
        <f>DAY(EOMONTH(RD[[#This Row],[Date]],0))</f>
        <v>31</v>
      </c>
      <c r="F13" s="121"/>
      <c r="G13" s="121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66"/>
      <c r="AF13" s="166"/>
      <c r="AG13" s="166"/>
      <c r="AH13" s="166"/>
      <c r="AI13" s="166"/>
      <c r="AJ13" s="166"/>
      <c r="AK13" s="166"/>
      <c r="AL13" s="166"/>
      <c r="AM13" s="58"/>
      <c r="AN13" s="58"/>
      <c r="AO13" s="58"/>
      <c r="AP13" s="58"/>
      <c r="AQ13" s="58"/>
      <c r="AR13" s="58"/>
      <c r="AS13" s="58"/>
      <c r="AT13" s="58"/>
      <c r="AU13" s="60">
        <f>SUM(RD[[#This Row],[IS2Inv1M1]:[IS4Inv1M3]])</f>
        <v>0</v>
      </c>
      <c r="AV13" s="60">
        <f>SUM(RD[[#This Row],[IS5Inv1M1]:[IS5Inv2M3]])</f>
        <v>0</v>
      </c>
      <c r="AW13" s="60">
        <f>SUM(RD[[#This Row],[O2RE9]:[O2RE192]])</f>
        <v>0</v>
      </c>
      <c r="AX13" s="152"/>
      <c r="AY13" s="152"/>
      <c r="AZ13" s="152"/>
      <c r="BA13" s="152"/>
      <c r="BB13" s="152"/>
      <c r="BC13" s="152"/>
      <c r="BD13" s="153" t="str">
        <f>IF((RD[[#This Row],[33 kV_F1_Ex (O2RE9)]]-AX12)*150000&lt;=0,"",(RD[[#This Row],[33 kV_F1_Ex (O2RE9)]]-AX12)*150000)</f>
        <v/>
      </c>
      <c r="BE13" s="153">
        <f>IF((RD[[#This Row],[33kV_OG1_Ex (O2RE9)]]-AY12)*1000&lt;=0,0,(RD[[#This Row],[33kV_OG1_Ex (O2RE9)]]-AY12)*1000)</f>
        <v>0</v>
      </c>
      <c r="BF13" s="153"/>
      <c r="BG13" s="153" t="str">
        <f>IF((RD[[#This Row],[33 kV_F2_Ex (O2RE19)]]-BA12)*150000&lt;=0,"",(RD[[#This Row],[33 kV_F2_Ex (O2RE19)]]-BA12)*150000)</f>
        <v/>
      </c>
      <c r="BH13" s="153">
        <f>IF((RD[[#This Row],[33kV_OG2_Ex (O2RE19)]]-BB12)*1000&lt;=0,0,(RD[[#This Row],[33kV_OG2_Ex (O2RE19)]]-BB12)*1000)</f>
        <v>0</v>
      </c>
      <c r="BI13" s="153">
        <f>IF((RD[[#This Row],[33kV_Aux2_Im (O2RE19)]]-BC12)*1000&lt;0,"",(RD[[#This Row],[33kV_Aux2_Im (O2RE19)]]-BC12)*1000)</f>
        <v>0</v>
      </c>
      <c r="BJ13" s="153">
        <f>IF((RD[[#This Row],[33kV_Aux1_Im (O2RE9)]]-AZ12)*1000&lt;0,"",(RD[[#This Row],[33kV_Aux1_Im (O2RE9)]]-AZ12)*1000)</f>
        <v>0</v>
      </c>
      <c r="BK13" s="153">
        <f>SUM(RD[[#This Row],[33kV_OG1_O2RE9_Energy (KWh)]],RD[[#This Row],[33kV_OG2_O2RE19_Energy (KWh)]])</f>
        <v>0</v>
      </c>
      <c r="BL13" s="62" t="str">
        <f>IFERROR(RD[[#This Row],[33 kV Total Export (KWH)]]/RD[[#This Row],[Inv Total Gneration (MWh)]]-1,"")</f>
        <v/>
      </c>
      <c r="BM13" s="63">
        <f>IFERROR((RD[[#This Row],[Sunset Time (POA&lt;20 W/m2)]]-RD[[#This Row],[Sunrise Time (POA&gt;20 W/m2)]])*24,0)</f>
        <v>0</v>
      </c>
      <c r="BN13" s="64">
        <f>SUM(RD[[#This Row],[33kV_OG1_O2RE9_Energy (KWh)]],RD[[#This Row],[33kV_OG2_O2RE19_Energy (KWh)]])</f>
        <v>0</v>
      </c>
      <c r="BO13" s="64">
        <f>IFERROR(RD[[#This Row],[ Export (33 kV)]]*(1-RD[[#This Row],[33 kV Line Loss (%)]]),RD[[#This Row],[ Export (33 kV)]])</f>
        <v>0</v>
      </c>
      <c r="BP13" s="216"/>
      <c r="BQ13" s="121"/>
      <c r="BR13" s="121"/>
      <c r="BS13" t="str">
        <f>IFERROR(RD[[#This Row],[E_AC (WPR)]]/RD[[#This Row],[E_DC (WPR)]],"")</f>
        <v/>
      </c>
    </row>
    <row r="14" spans="1:71">
      <c r="A14" s="147">
        <f t="shared" si="67"/>
        <v>45848</v>
      </c>
      <c r="B14" s="150">
        <f>YEAR(RD[[#This Row],[Date]])+IF(MONTH(RD[[#This Row],[Date]])&gt;=4,1,0)</f>
        <v>2026</v>
      </c>
      <c r="C14" s="150">
        <f>YEAR(RD[[#This Row],[Date]])</f>
        <v>2025</v>
      </c>
      <c r="D14" s="151">
        <f t="shared" si="68"/>
        <v>45839</v>
      </c>
      <c r="E14" s="150">
        <f>DAY(EOMONTH(RD[[#This Row],[Date]],0))</f>
        <v>31</v>
      </c>
      <c r="F14" s="121"/>
      <c r="G14" s="121"/>
      <c r="H14" s="137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66"/>
      <c r="AF14" s="166"/>
      <c r="AG14" s="166"/>
      <c r="AH14" s="166"/>
      <c r="AI14" s="166"/>
      <c r="AJ14" s="166"/>
      <c r="AK14" s="166"/>
      <c r="AL14" s="166"/>
      <c r="AM14" s="58"/>
      <c r="AN14" s="58"/>
      <c r="AO14" s="58"/>
      <c r="AP14" s="58"/>
      <c r="AQ14" s="58"/>
      <c r="AR14" s="58"/>
      <c r="AS14" s="58"/>
      <c r="AT14" s="58"/>
      <c r="AU14" s="60">
        <f>SUM(RD[[#This Row],[IS2Inv1M1]:[IS4Inv1M3]])</f>
        <v>0</v>
      </c>
      <c r="AV14" s="60">
        <f>SUM(RD[[#This Row],[IS5Inv1M1]:[IS5Inv2M3]])</f>
        <v>0</v>
      </c>
      <c r="AW14" s="60">
        <f>SUM(RD[[#This Row],[O2RE9]:[O2RE192]])</f>
        <v>0</v>
      </c>
      <c r="AX14" s="152"/>
      <c r="AY14" s="152"/>
      <c r="AZ14" s="152"/>
      <c r="BA14" s="152"/>
      <c r="BB14" s="152"/>
      <c r="BC14" s="152"/>
      <c r="BD14" s="153" t="str">
        <f>IF((RD[[#This Row],[33 kV_F1_Ex (O2RE9)]]-AX13)*150000&lt;=0,"",(RD[[#This Row],[33 kV_F1_Ex (O2RE9)]]-AX13)*150000)</f>
        <v/>
      </c>
      <c r="BE14" s="153">
        <f>IF((RD[[#This Row],[33kV_OG1_Ex (O2RE9)]]-AY13)*1000&lt;=0,0,(RD[[#This Row],[33kV_OG1_Ex (O2RE9)]]-AY13)*1000)</f>
        <v>0</v>
      </c>
      <c r="BF14" s="153"/>
      <c r="BG14" s="153" t="str">
        <f>IF((RD[[#This Row],[33 kV_F2_Ex (O2RE19)]]-BA13)*150000&lt;=0,"",(RD[[#This Row],[33 kV_F2_Ex (O2RE19)]]-BA13)*150000)</f>
        <v/>
      </c>
      <c r="BH14" s="153">
        <f>IF((RD[[#This Row],[33kV_OG2_Ex (O2RE19)]]-BB13)*1000&lt;=0,0,(RD[[#This Row],[33kV_OG2_Ex (O2RE19)]]-BB13)*1000)</f>
        <v>0</v>
      </c>
      <c r="BI14" s="153">
        <f>IF((RD[[#This Row],[33kV_Aux2_Im (O2RE19)]]-BC13)*1000&lt;0,"",(RD[[#This Row],[33kV_Aux2_Im (O2RE19)]]-BC13)*1000)</f>
        <v>0</v>
      </c>
      <c r="BJ14" s="153">
        <f>IF((RD[[#This Row],[33kV_Aux1_Im (O2RE9)]]-AZ13)*1000&lt;0,"",(RD[[#This Row],[33kV_Aux1_Im (O2RE9)]]-AZ13)*1000)</f>
        <v>0</v>
      </c>
      <c r="BK14" s="153">
        <f>SUM(RD[[#This Row],[33kV_OG1_O2RE9_Energy (KWh)]],RD[[#This Row],[33kV_OG2_O2RE19_Energy (KWh)]])</f>
        <v>0</v>
      </c>
      <c r="BL14" s="62" t="str">
        <f>IFERROR(RD[[#This Row],[33 kV Total Export (KWH)]]/RD[[#This Row],[Inv Total Gneration (MWh)]]-1,"")</f>
        <v/>
      </c>
      <c r="BM14" s="63">
        <f>IFERROR((RD[[#This Row],[Sunset Time (POA&lt;20 W/m2)]]-RD[[#This Row],[Sunrise Time (POA&gt;20 W/m2)]])*24,0)</f>
        <v>0</v>
      </c>
      <c r="BN14" s="64">
        <f>SUM(RD[[#This Row],[33kV_OG1_O2RE9_Energy (KWh)]],RD[[#This Row],[33kV_OG2_O2RE19_Energy (KWh)]])</f>
        <v>0</v>
      </c>
      <c r="BO14" s="64">
        <f>IFERROR(RD[[#This Row],[ Export (33 kV)]]*(1-RD[[#This Row],[33 kV Line Loss (%)]]),RD[[#This Row],[ Export (33 kV)]])</f>
        <v>0</v>
      </c>
      <c r="BP14" s="216"/>
      <c r="BQ14" s="121"/>
      <c r="BR14" s="121"/>
      <c r="BS14" t="str">
        <f>IFERROR(RD[[#This Row],[E_AC (WPR)]]/RD[[#This Row],[E_DC (WPR)]],"")</f>
        <v/>
      </c>
    </row>
    <row r="15" spans="1:71">
      <c r="A15" s="147">
        <f t="shared" ref="A15:A78" si="69">A14+1</f>
        <v>45849</v>
      </c>
      <c r="B15" s="150">
        <f>YEAR(RD[[#This Row],[Date]])+IF(MONTH(RD[[#This Row],[Date]])&gt;=4,1,0)</f>
        <v>2026</v>
      </c>
      <c r="C15" s="150">
        <f>YEAR(RD[[#This Row],[Date]])</f>
        <v>2025</v>
      </c>
      <c r="D15" s="151">
        <f t="shared" si="68"/>
        <v>45839</v>
      </c>
      <c r="E15" s="150">
        <f>DAY(EOMONTH(RD[[#This Row],[Date]],0))</f>
        <v>31</v>
      </c>
      <c r="F15" s="121"/>
      <c r="G15" s="121"/>
      <c r="H15" s="137"/>
      <c r="I15" s="137"/>
      <c r="J15" s="137"/>
      <c r="K15" s="137"/>
      <c r="L15" s="137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66"/>
      <c r="AF15" s="166"/>
      <c r="AG15" s="166"/>
      <c r="AH15" s="166"/>
      <c r="AI15" s="166"/>
      <c r="AJ15" s="166"/>
      <c r="AK15" s="166"/>
      <c r="AL15" s="166"/>
      <c r="AM15" s="58"/>
      <c r="AN15" s="58"/>
      <c r="AO15" s="58"/>
      <c r="AP15" s="58"/>
      <c r="AQ15" s="58"/>
      <c r="AR15" s="58"/>
      <c r="AS15" s="58"/>
      <c r="AT15" s="58"/>
      <c r="AU15" s="60">
        <f>SUM(RD[[#This Row],[IS2Inv1M1]:[IS4Inv1M3]])</f>
        <v>0</v>
      </c>
      <c r="AV15" s="60">
        <f>SUM(RD[[#This Row],[IS5Inv1M1]:[IS5Inv2M3]])</f>
        <v>0</v>
      </c>
      <c r="AW15" s="60">
        <f>SUM(RD[[#This Row],[O2RE9]:[O2RE192]])</f>
        <v>0</v>
      </c>
      <c r="AX15" s="152">
        <v>83</v>
      </c>
      <c r="AY15" s="152"/>
      <c r="AZ15" s="152">
        <v>30</v>
      </c>
      <c r="BA15" s="152">
        <v>69</v>
      </c>
      <c r="BB15" s="152"/>
      <c r="BC15" s="152">
        <v>32</v>
      </c>
      <c r="BD15" s="153"/>
      <c r="BE15" s="153">
        <f>IF((RD[[#This Row],[33kV_OG1_Ex (O2RE9)]]-AY14)*1000&lt;=0,0,(RD[[#This Row],[33kV_OG1_Ex (O2RE9)]]-AY14)*1000)</f>
        <v>0</v>
      </c>
      <c r="BF15" s="153"/>
      <c r="BG15" s="153"/>
      <c r="BH15" s="153">
        <f>IF((RD[[#This Row],[33kV_OG2_Ex (O2RE19)]]-BB14)*1000&lt;=0,0,(RD[[#This Row],[33kV_OG2_Ex (O2RE19)]]-BB14)*1000)</f>
        <v>0</v>
      </c>
      <c r="BI15" s="153">
        <f>IF((RD[[#This Row],[33kV_Aux2_Im (O2RE19)]]-BC14)*90&lt;0,"",(RD[[#This Row],[33kV_Aux2_Im (O2RE19)]]-BC14)*90)</f>
        <v>2880</v>
      </c>
      <c r="BJ15" s="153">
        <f>IF((RD[[#This Row],[33kV_Aux1_Im (O2RE9)]]-AZ14)*90&lt;0,"",(RD[[#This Row],[33kV_Aux1_Im (O2RE9)]]-AZ14)*90)</f>
        <v>2700</v>
      </c>
      <c r="BK15" s="153">
        <f>SUM(RD[[#This Row],[33kV_OG1_O2RE9_Energy (KWh)]],RD[[#This Row],[33kV_OG2_O2RE19_Energy (KWh)]])</f>
        <v>0</v>
      </c>
      <c r="BL15" s="62" t="str">
        <f>IFERROR(RD[[#This Row],[33 kV Total Export (KWH)]]/RD[[#This Row],[Inv Total Gneration (MWh)]]-1,"")</f>
        <v/>
      </c>
      <c r="BM15" s="63">
        <f>IFERROR((RD[[#This Row],[Sunset Time (POA&lt;20 W/m2)]]-RD[[#This Row],[Sunrise Time (POA&gt;20 W/m2)]])*24,0)</f>
        <v>0</v>
      </c>
      <c r="BN15" s="64">
        <f>SUM(RD[[#This Row],[33kV_OG1_O2RE9_Energy (KWh)]],RD[[#This Row],[33kV_OG2_O2RE19_Energy (KWh)]])</f>
        <v>0</v>
      </c>
      <c r="BO15" s="64">
        <f>IFERROR(RD[[#This Row],[ Export (33 kV)]]*(1-RD[[#This Row],[33 kV Line Loss (%)]]),RD[[#This Row],[ Export (33 kV)]])</f>
        <v>0</v>
      </c>
      <c r="BP15" s="216"/>
      <c r="BQ15" s="121"/>
      <c r="BR15" s="121"/>
      <c r="BS15" t="str">
        <f>IFERROR(RD[[#This Row],[E_AC (WPR)]]/RD[[#This Row],[E_DC (WPR)]],"")</f>
        <v/>
      </c>
    </row>
    <row r="16" spans="1:71">
      <c r="A16" s="147">
        <f t="shared" si="69"/>
        <v>45850</v>
      </c>
      <c r="B16" s="150">
        <f>YEAR(RD[[#This Row],[Date]])+IF(MONTH(RD[[#This Row],[Date]])&gt;=4,1,0)</f>
        <v>2026</v>
      </c>
      <c r="C16" s="150">
        <f>YEAR(RD[[#This Row],[Date]])</f>
        <v>2025</v>
      </c>
      <c r="D16" s="151">
        <f t="shared" si="68"/>
        <v>45839</v>
      </c>
      <c r="E16" s="150">
        <f>DAY(EOMONTH(RD[[#This Row],[Date]],0))</f>
        <v>31</v>
      </c>
      <c r="F16" s="121">
        <v>0.27638888888888891</v>
      </c>
      <c r="G16" s="121">
        <v>0.75347222222222221</v>
      </c>
      <c r="H16" s="137">
        <v>587.9</v>
      </c>
      <c r="I16" s="137">
        <v>535.5</v>
      </c>
      <c r="J16" s="137">
        <v>494.7</v>
      </c>
      <c r="K16" s="137">
        <v>479.5</v>
      </c>
      <c r="L16" s="137">
        <v>455.2</v>
      </c>
      <c r="M16" s="137">
        <v>622.70000000000005</v>
      </c>
      <c r="N16" s="137">
        <v>1194.5999999999999</v>
      </c>
      <c r="O16" s="137">
        <v>911.6</v>
      </c>
      <c r="P16" s="137">
        <v>896.2</v>
      </c>
      <c r="Q16" s="137">
        <v>944</v>
      </c>
      <c r="R16" s="137">
        <v>981.9</v>
      </c>
      <c r="S16" s="137">
        <v>1077</v>
      </c>
      <c r="T16" s="137">
        <v>1001.2</v>
      </c>
      <c r="U16" s="137">
        <v>1126.2</v>
      </c>
      <c r="V16" s="137">
        <v>343.1</v>
      </c>
      <c r="W16" s="137">
        <v>298.2</v>
      </c>
      <c r="X16" s="137">
        <v>189.7</v>
      </c>
      <c r="Y16" s="137">
        <v>333.1</v>
      </c>
      <c r="Z16" s="137">
        <v>268.39999999999998</v>
      </c>
      <c r="AA16" s="137">
        <v>230.8</v>
      </c>
      <c r="AB16" s="137">
        <v>361.3</v>
      </c>
      <c r="AC16" s="137">
        <v>339.6</v>
      </c>
      <c r="AD16" s="137">
        <v>339.6</v>
      </c>
      <c r="AE16" s="166"/>
      <c r="AF16" s="166"/>
      <c r="AG16" s="166"/>
      <c r="AH16" s="166"/>
      <c r="AI16" s="166"/>
      <c r="AJ16" s="166"/>
      <c r="AK16" s="166"/>
      <c r="AL16" s="166"/>
      <c r="AM16" s="58"/>
      <c r="AN16" s="58"/>
      <c r="AO16" s="58"/>
      <c r="AP16" s="58"/>
      <c r="AQ16" s="58"/>
      <c r="AR16" s="58"/>
      <c r="AS16" s="58"/>
      <c r="AT16" s="58"/>
      <c r="AU16" s="60">
        <f>SUM(RD[[#This Row],[IS2Inv1M1]:[IS4Inv1M3]])</f>
        <v>12139.200000000003</v>
      </c>
      <c r="AV16" s="60">
        <f>SUM(RD[[#This Row],[IS5Inv1M1]:[IS5Inv2M3]])</f>
        <v>1872.7999999999997</v>
      </c>
      <c r="AW16" s="60">
        <f>SUM(RD[[#This Row],[O2RE9]:[O2RE192]])</f>
        <v>14012.000000000002</v>
      </c>
      <c r="AX16" s="152">
        <v>129</v>
      </c>
      <c r="AY16" s="152"/>
      <c r="AZ16" s="152">
        <v>31</v>
      </c>
      <c r="BA16" s="152">
        <v>93</v>
      </c>
      <c r="BB16" s="152"/>
      <c r="BC16" s="152">
        <v>33</v>
      </c>
      <c r="BD16" s="153">
        <f>IF((RD[[#This Row],[33 kV_F1_Ex (O2RE9)]]-AX15)*300&lt;=0,"",(RD[[#This Row],[33 kV_F1_Ex (O2RE9)]]-AX15)*300)</f>
        <v>13800</v>
      </c>
      <c r="BE16" s="153">
        <f>IF((RD[[#This Row],[33kV_OG1_Ex (O2RE9)]]-AY15)*1000&lt;=0,0,(RD[[#This Row],[33kV_OG1_Ex (O2RE9)]]-AY15)*1000)</f>
        <v>0</v>
      </c>
      <c r="BF16" s="153"/>
      <c r="BG16" s="153">
        <f>IF((RD[[#This Row],[33 kV_F2_Ex (O2RE19)]]-BA15)*90&lt;=0,"",(RD[[#This Row],[33 kV_F2_Ex (O2RE19)]]-BA15)*90)</f>
        <v>2160</v>
      </c>
      <c r="BH16" s="153">
        <f>IF((RD[[#This Row],[33kV_OG2_Ex (O2RE19)]]-BB15)*1000&lt;=0,0,(RD[[#This Row],[33kV_OG2_Ex (O2RE19)]]-BB15)*1000)</f>
        <v>0</v>
      </c>
      <c r="BI16" s="153">
        <f>IF((RD[[#This Row],[33kV_Aux2_Im (O2RE19)]]-BC15)*90&lt;0,"",(RD[[#This Row],[33kV_Aux2_Im (O2RE19)]]-BC15)*90)</f>
        <v>90</v>
      </c>
      <c r="BJ16" s="153">
        <f>IF((RD[[#This Row],[33kV_Aux1_Im (O2RE9)]]-AZ15)*90&lt;0,"",(RD[[#This Row],[33kV_Aux1_Im (O2RE9)]]-AZ15)*90)</f>
        <v>90</v>
      </c>
      <c r="BK16" s="153">
        <f>SUM(RD[[#This Row],[33kV_OG1_O2RE9_Energy (KWh)]],RD[[#This Row],[33kV_OG2_O2RE19_Energy (KWh)]])</f>
        <v>0</v>
      </c>
      <c r="BL16" s="62">
        <f>IFERROR(RD[[#This Row],[33 kV Total Export (KWH)]]/RD[[#This Row],[Inv Total Gneration (MWh)]]-1,"")</f>
        <v>-1</v>
      </c>
      <c r="BM16" s="63">
        <f>IFERROR((RD[[#This Row],[Sunset Time (POA&lt;20 W/m2)]]-RD[[#This Row],[Sunrise Time (POA&gt;20 W/m2)]])*24,0)</f>
        <v>11.45</v>
      </c>
      <c r="BN16" s="64">
        <f>SUM(RD[[#This Row],[33kV_OG1_O2RE9_Energy (KWh)]],RD[[#This Row],[33kV_OG2_O2RE19_Energy (KWh)]])</f>
        <v>0</v>
      </c>
      <c r="BO16" s="64">
        <f>IFERROR(RD[[#This Row],[ Export (33 kV)]]*(1-RD[[#This Row],[33 kV Line Loss (%)]]),RD[[#This Row],[ Export (33 kV)]])</f>
        <v>0</v>
      </c>
      <c r="BP16" s="216">
        <v>30.64</v>
      </c>
      <c r="BQ16" s="121"/>
      <c r="BR16" s="121"/>
      <c r="BS16" t="str">
        <f>IFERROR(RD[[#This Row],[E_AC (WPR)]]/RD[[#This Row],[E_DC (WPR)]],"")</f>
        <v/>
      </c>
    </row>
    <row r="17" spans="1:71">
      <c r="A17" s="147">
        <f t="shared" si="69"/>
        <v>45851</v>
      </c>
      <c r="B17" s="150">
        <f>YEAR(RD[[#This Row],[Date]])+IF(MONTH(RD[[#This Row],[Date]])&gt;=4,1,0)</f>
        <v>2026</v>
      </c>
      <c r="C17" s="150">
        <f>YEAR(RD[[#This Row],[Date]])</f>
        <v>2025</v>
      </c>
      <c r="D17" s="151">
        <f t="shared" si="68"/>
        <v>45839</v>
      </c>
      <c r="E17" s="150">
        <f>DAY(EOMONTH(RD[[#This Row],[Date]],0))</f>
        <v>31</v>
      </c>
      <c r="F17" s="121">
        <v>0.27638888888888891</v>
      </c>
      <c r="G17" s="121">
        <v>0.76388888888888884</v>
      </c>
      <c r="H17" s="137">
        <v>1083.2</v>
      </c>
      <c r="I17" s="137">
        <v>603.79999999999995</v>
      </c>
      <c r="J17" s="137">
        <v>406.9</v>
      </c>
      <c r="K17" s="137">
        <v>419.7</v>
      </c>
      <c r="L17" s="137">
        <v>476.1</v>
      </c>
      <c r="M17" s="137">
        <v>1314.9</v>
      </c>
      <c r="N17" s="137">
        <v>1422.3</v>
      </c>
      <c r="O17" s="137">
        <v>1312.5</v>
      </c>
      <c r="P17" s="137">
        <v>1483.9</v>
      </c>
      <c r="Q17" s="137">
        <v>1457.5</v>
      </c>
      <c r="R17" s="137">
        <v>1375.3</v>
      </c>
      <c r="S17" s="137">
        <v>1320</v>
      </c>
      <c r="T17" s="137">
        <v>1365.7</v>
      </c>
      <c r="U17" s="137">
        <v>1426.4</v>
      </c>
      <c r="V17" s="137">
        <v>1282.5</v>
      </c>
      <c r="W17" s="137">
        <v>1086.5</v>
      </c>
      <c r="X17" s="137">
        <v>1017.5</v>
      </c>
      <c r="Y17" s="137">
        <v>338.7</v>
      </c>
      <c r="Z17" s="137">
        <v>307.7</v>
      </c>
      <c r="AA17" s="137">
        <v>161.4</v>
      </c>
      <c r="AB17" s="137">
        <v>177.8</v>
      </c>
      <c r="AC17" s="137">
        <v>166.6</v>
      </c>
      <c r="AD17" s="137">
        <v>168.5</v>
      </c>
      <c r="AE17" s="166"/>
      <c r="AF17" s="166"/>
      <c r="AG17" s="166"/>
      <c r="AH17" s="166"/>
      <c r="AI17" s="166"/>
      <c r="AJ17" s="166"/>
      <c r="AK17" s="166"/>
      <c r="AL17" s="166"/>
      <c r="AM17" s="58"/>
      <c r="AN17" s="58"/>
      <c r="AO17" s="58"/>
      <c r="AP17" s="58"/>
      <c r="AQ17" s="58"/>
      <c r="AR17" s="58"/>
      <c r="AS17" s="58"/>
      <c r="AT17" s="58"/>
      <c r="AU17" s="60">
        <f>SUM(RD[[#This Row],[IS2Inv1M1]:[IS4Inv1M3]])</f>
        <v>18854.7</v>
      </c>
      <c r="AV17" s="60">
        <f>SUM(RD[[#This Row],[IS5Inv1M1]:[IS5Inv2M3]])</f>
        <v>1320.6999999999998</v>
      </c>
      <c r="AW17" s="60">
        <f>SUM(RD[[#This Row],[O2RE9]:[O2RE192]])</f>
        <v>20175.400000000001</v>
      </c>
      <c r="AX17" s="152">
        <v>194</v>
      </c>
      <c r="AY17" s="152"/>
      <c r="AZ17" s="152">
        <v>34</v>
      </c>
      <c r="BA17" s="152">
        <v>109</v>
      </c>
      <c r="BB17" s="152"/>
      <c r="BC17" s="152">
        <v>34</v>
      </c>
      <c r="BD17" s="153">
        <f>IF((RD[[#This Row],[33 kV_F1_Ex (O2RE9)]]-AX16)*300&lt;=0,"",(RD[[#This Row],[33 kV_F1_Ex (O2RE9)]]-AX16)*300)</f>
        <v>19500</v>
      </c>
      <c r="BE17" s="153">
        <f>IF((RD[[#This Row],[33kV_OG1_Ex (O2RE9)]]-AY16)*1000&lt;=0,0,(RD[[#This Row],[33kV_OG1_Ex (O2RE9)]]-AY16)*1000)</f>
        <v>0</v>
      </c>
      <c r="BF17" s="153"/>
      <c r="BG17" s="153">
        <f>IF((RD[[#This Row],[33 kV_F2_Ex (O2RE19)]]-BA16)*90&lt;=0,"",(RD[[#This Row],[33 kV_F2_Ex (O2RE19)]]-BA16)*90)</f>
        <v>1440</v>
      </c>
      <c r="BH17" s="153">
        <f>IF((RD[[#This Row],[33kV_OG2_Ex (O2RE19)]]-BB16)*1000&lt;=0,0,(RD[[#This Row],[33kV_OG2_Ex (O2RE19)]]-BB16)*1000)</f>
        <v>0</v>
      </c>
      <c r="BI17" s="153">
        <f>IF((RD[[#This Row],[33kV_Aux2_Im (O2RE19)]]-BC16)*90&lt;0,"",(RD[[#This Row],[33kV_Aux2_Im (O2RE19)]]-BC16)*90)</f>
        <v>90</v>
      </c>
      <c r="BJ17" s="153">
        <f>IF((RD[[#This Row],[33kV_Aux1_Im (O2RE9)]]-AZ16)*90&lt;0,"",(RD[[#This Row],[33kV_Aux1_Im (O2RE9)]]-AZ16)*90)</f>
        <v>270</v>
      </c>
      <c r="BK17" s="153">
        <f>SUM(RD[[#This Row],[33kV_OG1_O2RE9_Energy (KWh)]],RD[[#This Row],[33kV_OG2_O2RE19_Energy (KWh)]])</f>
        <v>0</v>
      </c>
      <c r="BL17" s="62">
        <f>IFERROR(RD[[#This Row],[33 kV Total Export (KWH)]]/RD[[#This Row],[Inv Total Gneration (MWh)]]-1,"")</f>
        <v>-1</v>
      </c>
      <c r="BM17" s="63">
        <f>IFERROR((RD[[#This Row],[Sunset Time (POA&lt;20 W/m2)]]-RD[[#This Row],[Sunrise Time (POA&gt;20 W/m2)]])*24,0)</f>
        <v>11.7</v>
      </c>
      <c r="BN17" s="64">
        <f>SUM(RD[[#This Row],[33kV_OG1_O2RE9_Energy (KWh)]],RD[[#This Row],[33kV_OG2_O2RE19_Energy (KWh)]])</f>
        <v>0</v>
      </c>
      <c r="BO17" s="64">
        <f>IFERROR(RD[[#This Row],[ Export (33 kV)]]*(1-RD[[#This Row],[33 kV Line Loss (%)]]),RD[[#This Row],[ Export (33 kV)]])</f>
        <v>0</v>
      </c>
      <c r="BP17" s="216">
        <v>30.64</v>
      </c>
      <c r="BQ17" s="121"/>
      <c r="BR17" s="121"/>
      <c r="BS17" t="str">
        <f>IFERROR(RD[[#This Row],[E_AC (WPR)]]/RD[[#This Row],[E_DC (WPR)]],"")</f>
        <v/>
      </c>
    </row>
    <row r="18" spans="1:71">
      <c r="A18" s="147">
        <f t="shared" si="69"/>
        <v>45852</v>
      </c>
      <c r="B18" s="150">
        <f>YEAR(RD[[#This Row],[Date]])+IF(MONTH(RD[[#This Row],[Date]])&gt;=4,1,0)</f>
        <v>2026</v>
      </c>
      <c r="C18" s="150">
        <f>YEAR(RD[[#This Row],[Date]])</f>
        <v>2025</v>
      </c>
      <c r="D18" s="151">
        <f t="shared" si="68"/>
        <v>45839</v>
      </c>
      <c r="E18" s="150">
        <f>DAY(EOMONTH(RD[[#This Row],[Date]],0))</f>
        <v>31</v>
      </c>
      <c r="F18" s="121"/>
      <c r="G18" s="121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66"/>
      <c r="AF18" s="166"/>
      <c r="AG18" s="166"/>
      <c r="AH18" s="166"/>
      <c r="AI18" s="166"/>
      <c r="AJ18" s="166"/>
      <c r="AK18" s="166"/>
      <c r="AL18" s="166"/>
      <c r="AM18" s="58"/>
      <c r="AN18" s="58"/>
      <c r="AO18" s="58"/>
      <c r="AP18" s="58"/>
      <c r="AQ18" s="58"/>
      <c r="AR18" s="58"/>
      <c r="AS18" s="58"/>
      <c r="AT18" s="58"/>
      <c r="AU18" s="60">
        <f>SUM(RD[[#This Row],[IS2Inv1M1]:[IS4Inv1M3]])</f>
        <v>0</v>
      </c>
      <c r="AV18" s="60">
        <f>SUM(RD[[#This Row],[IS5Inv1M1]:[IS5Inv2M3]])</f>
        <v>0</v>
      </c>
      <c r="AW18" s="60">
        <f>SUM(RD[[#This Row],[O2RE9]:[O2RE192]])</f>
        <v>0</v>
      </c>
      <c r="AX18" s="152"/>
      <c r="AY18" s="152"/>
      <c r="AZ18" s="152"/>
      <c r="BA18" s="152"/>
      <c r="BB18" s="152"/>
      <c r="BC18" s="152"/>
      <c r="BD18" s="153" t="str">
        <f>IF((RD[[#This Row],[33 kV_F1_Ex (O2RE9)]]-AX17)*150000&lt;=0,"",(RD[[#This Row],[33 kV_F1_Ex (O2RE9)]]-AX17)*150000)</f>
        <v/>
      </c>
      <c r="BE18" s="153">
        <f>IF((RD[[#This Row],[33kV_OG1_Ex (O2RE9)]]-AY17)*1000&lt;=0,0,(RD[[#This Row],[33kV_OG1_Ex (O2RE9)]]-AY17)*1000)</f>
        <v>0</v>
      </c>
      <c r="BF18" s="153"/>
      <c r="BG18" s="153" t="str">
        <f>IF((RD[[#This Row],[33 kV_F2_Ex (O2RE19)]]-BA17)*150000&lt;=0,"",(RD[[#This Row],[33 kV_F2_Ex (O2RE19)]]-BA17)*150000)</f>
        <v/>
      </c>
      <c r="BH18" s="153">
        <f>IF((RD[[#This Row],[33kV_OG2_Ex (O2RE19)]]-BB17)*1000&lt;=0,0,(RD[[#This Row],[33kV_OG2_Ex (O2RE19)]]-BB17)*1000)</f>
        <v>0</v>
      </c>
      <c r="BI18" s="153" t="str">
        <f>IF((RD[[#This Row],[33kV_Aux2_Im (O2RE19)]]-BC17)*1000&lt;0,"",(RD[[#This Row],[33kV_Aux2_Im (O2RE19)]]-BC17)*1000)</f>
        <v/>
      </c>
      <c r="BJ18" s="153" t="str">
        <f>IF((RD[[#This Row],[33kV_Aux1_Im (O2RE9)]]-AZ17)*1000&lt;0,"",(RD[[#This Row],[33kV_Aux1_Im (O2RE9)]]-AZ17)*1000)</f>
        <v/>
      </c>
      <c r="BK18" s="153">
        <f>SUM(RD[[#This Row],[33kV_OG1_O2RE9_Energy (KWh)]],RD[[#This Row],[33kV_OG2_O2RE19_Energy (KWh)]])</f>
        <v>0</v>
      </c>
      <c r="BL18" s="62" t="str">
        <f>IFERROR(RD[[#This Row],[33 kV Total Export (KWH)]]/RD[[#This Row],[Inv Total Gneration (MWh)]]-1,"")</f>
        <v/>
      </c>
      <c r="BM18" s="63">
        <f>IFERROR((RD[[#This Row],[Sunset Time (POA&lt;20 W/m2)]]-RD[[#This Row],[Sunrise Time (POA&gt;20 W/m2)]])*24,0)</f>
        <v>0</v>
      </c>
      <c r="BN18" s="64">
        <f>SUM(RD[[#This Row],[33kV_OG1_O2RE9_Energy (KWh)]],RD[[#This Row],[33kV_OG2_O2RE19_Energy (KWh)]])</f>
        <v>0</v>
      </c>
      <c r="BO18" s="64">
        <f>IFERROR(RD[[#This Row],[ Export (33 kV)]]*(1-RD[[#This Row],[33 kV Line Loss (%)]]),RD[[#This Row],[ Export (33 kV)]])</f>
        <v>0</v>
      </c>
      <c r="BP18" s="216"/>
      <c r="BQ18" s="121"/>
      <c r="BR18" s="121"/>
      <c r="BS18" t="str">
        <f>IFERROR(RD[[#This Row],[E_AC (WPR)]]/RD[[#This Row],[E_DC (WPR)]],"")</f>
        <v/>
      </c>
    </row>
    <row r="19" spans="1:71">
      <c r="A19" s="147">
        <f t="shared" si="69"/>
        <v>45853</v>
      </c>
      <c r="B19" s="150">
        <f>YEAR(RD[[#This Row],[Date]])+IF(MONTH(RD[[#This Row],[Date]])&gt;=4,1,0)</f>
        <v>2026</v>
      </c>
      <c r="C19" s="150">
        <f>YEAR(RD[[#This Row],[Date]])</f>
        <v>2025</v>
      </c>
      <c r="D19" s="151">
        <f t="shared" si="68"/>
        <v>45839</v>
      </c>
      <c r="E19" s="150">
        <f>DAY(EOMONTH(RD[[#This Row],[Date]],0))</f>
        <v>31</v>
      </c>
      <c r="F19" s="121"/>
      <c r="G19" s="121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66"/>
      <c r="AF19" s="166"/>
      <c r="AG19" s="166"/>
      <c r="AH19" s="166"/>
      <c r="AI19" s="166"/>
      <c r="AJ19" s="166"/>
      <c r="AK19" s="166"/>
      <c r="AL19" s="166"/>
      <c r="AM19" s="58"/>
      <c r="AN19" s="58"/>
      <c r="AO19" s="58"/>
      <c r="AP19" s="58"/>
      <c r="AQ19" s="58"/>
      <c r="AR19" s="58"/>
      <c r="AS19" s="58"/>
      <c r="AT19" s="58"/>
      <c r="AU19" s="60">
        <f>SUM(RD[[#This Row],[IS2Inv1M1]:[IS4Inv1M3]])</f>
        <v>0</v>
      </c>
      <c r="AV19" s="60">
        <f>SUM(RD[[#This Row],[IS5Inv1M1]:[IS5Inv2M3]])</f>
        <v>0</v>
      </c>
      <c r="AW19" s="60">
        <f>SUM(RD[[#This Row],[O2RE9]:[O2RE192]])</f>
        <v>0</v>
      </c>
      <c r="AX19" s="152"/>
      <c r="AY19" s="152"/>
      <c r="AZ19" s="152"/>
      <c r="BA19" s="152"/>
      <c r="BB19" s="152"/>
      <c r="BC19" s="152"/>
      <c r="BD19" s="153" t="str">
        <f>IF((RD[[#This Row],[33 kV_F1_Ex (O2RE9)]]-AX18)*150000&lt;=0,"",(RD[[#This Row],[33 kV_F1_Ex (O2RE9)]]-AX18)*150000)</f>
        <v/>
      </c>
      <c r="BE19" s="153">
        <f>IF((RD[[#This Row],[33kV_OG1_Ex (O2RE9)]]-AY18)*1000&lt;=0,0,(RD[[#This Row],[33kV_OG1_Ex (O2RE9)]]-AY18)*1000)</f>
        <v>0</v>
      </c>
      <c r="BF19" s="153"/>
      <c r="BG19" s="153" t="str">
        <f>IF((RD[[#This Row],[33 kV_F2_Ex (O2RE19)]]-BA18)*150000&lt;=0,"",(RD[[#This Row],[33 kV_F2_Ex (O2RE19)]]-BA18)*150000)</f>
        <v/>
      </c>
      <c r="BH19" s="153">
        <f>IF((RD[[#This Row],[33kV_OG2_Ex (O2RE19)]]-BB18)*1000&lt;=0,0,(RD[[#This Row],[33kV_OG2_Ex (O2RE19)]]-BB18)*1000)</f>
        <v>0</v>
      </c>
      <c r="BI19" s="153">
        <f>IF((RD[[#This Row],[33kV_Aux2_Im (O2RE19)]]-BC18)*1000&lt;0,"",(RD[[#This Row],[33kV_Aux2_Im (O2RE19)]]-BC18)*1000)</f>
        <v>0</v>
      </c>
      <c r="BJ19" s="153">
        <f>IF((RD[[#This Row],[33kV_Aux1_Im (O2RE9)]]-AZ18)*1000&lt;0,"",(RD[[#This Row],[33kV_Aux1_Im (O2RE9)]]-AZ18)*1000)</f>
        <v>0</v>
      </c>
      <c r="BK19" s="153">
        <f>SUM(RD[[#This Row],[33kV_OG1_O2RE9_Energy (KWh)]],RD[[#This Row],[33kV_OG2_O2RE19_Energy (KWh)]])</f>
        <v>0</v>
      </c>
      <c r="BL19" s="62" t="str">
        <f>IFERROR(RD[[#This Row],[33 kV Total Export (KWH)]]/RD[[#This Row],[Inv Total Gneration (MWh)]]-1,"")</f>
        <v/>
      </c>
      <c r="BM19" s="63">
        <f>IFERROR((RD[[#This Row],[Sunset Time (POA&lt;20 W/m2)]]-RD[[#This Row],[Sunrise Time (POA&gt;20 W/m2)]])*24,0)</f>
        <v>0</v>
      </c>
      <c r="BN19" s="64">
        <f>SUM(RD[[#This Row],[33kV_OG1_O2RE9_Energy (KWh)]],RD[[#This Row],[33kV_OG2_O2RE19_Energy (KWh)]])</f>
        <v>0</v>
      </c>
      <c r="BO19" s="64">
        <f>IFERROR(RD[[#This Row],[ Export (33 kV)]]*(1-RD[[#This Row],[33 kV Line Loss (%)]]),RD[[#This Row],[ Export (33 kV)]])</f>
        <v>0</v>
      </c>
      <c r="BP19" s="216"/>
      <c r="BQ19" s="121"/>
      <c r="BR19" s="121"/>
      <c r="BS19" t="str">
        <f>IFERROR(RD[[#This Row],[E_AC (WPR)]]/RD[[#This Row],[E_DC (WPR)]],"")</f>
        <v/>
      </c>
    </row>
    <row r="20" spans="1:71">
      <c r="A20" s="147">
        <f t="shared" si="69"/>
        <v>45854</v>
      </c>
      <c r="B20" s="150">
        <f>YEAR(RD[[#This Row],[Date]])+IF(MONTH(RD[[#This Row],[Date]])&gt;=4,1,0)</f>
        <v>2026</v>
      </c>
      <c r="C20" s="150">
        <f>YEAR(RD[[#This Row],[Date]])</f>
        <v>2025</v>
      </c>
      <c r="D20" s="151">
        <f t="shared" si="68"/>
        <v>45839</v>
      </c>
      <c r="E20" s="150">
        <f>DAY(EOMONTH(RD[[#This Row],[Date]],0))</f>
        <v>31</v>
      </c>
      <c r="F20" s="121"/>
      <c r="G20" s="121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66"/>
      <c r="AF20" s="166"/>
      <c r="AG20" s="166"/>
      <c r="AH20" s="166"/>
      <c r="AI20" s="166"/>
      <c r="AJ20" s="166"/>
      <c r="AK20" s="166"/>
      <c r="AL20" s="166"/>
      <c r="AM20" s="58"/>
      <c r="AN20" s="58"/>
      <c r="AO20" s="58"/>
      <c r="AP20" s="58"/>
      <c r="AQ20" s="58"/>
      <c r="AR20" s="58"/>
      <c r="AS20" s="58"/>
      <c r="AT20" s="58"/>
      <c r="AU20" s="60">
        <f>SUM(RD[[#This Row],[IS2Inv1M1]:[IS4Inv1M3]])</f>
        <v>0</v>
      </c>
      <c r="AV20" s="60">
        <f>SUM(RD[[#This Row],[IS5Inv1M1]:[IS5Inv2M3]])</f>
        <v>0</v>
      </c>
      <c r="AW20" s="60">
        <f>SUM(RD[[#This Row],[O2RE9]:[O2RE192]])</f>
        <v>0</v>
      </c>
      <c r="AX20" s="152"/>
      <c r="AY20" s="152"/>
      <c r="AZ20" s="152"/>
      <c r="BA20" s="152"/>
      <c r="BB20" s="152"/>
      <c r="BC20" s="152"/>
      <c r="BD20" s="153" t="str">
        <f>IF((RD[[#This Row],[33 kV_F1_Ex (O2RE9)]]-AX19)*150000&lt;=0,"",(RD[[#This Row],[33 kV_F1_Ex (O2RE9)]]-AX19)*150000)</f>
        <v/>
      </c>
      <c r="BE20" s="153">
        <f>IF((RD[[#This Row],[33kV_OG1_Ex (O2RE9)]]-AY19)*1000&lt;=0,0,(RD[[#This Row],[33kV_OG1_Ex (O2RE9)]]-AY19)*1000)</f>
        <v>0</v>
      </c>
      <c r="BF20" s="153"/>
      <c r="BG20" s="153" t="str">
        <f>IF((RD[[#This Row],[33 kV_F2_Ex (O2RE19)]]-BA19)*150000&lt;=0,"",(RD[[#This Row],[33 kV_F2_Ex (O2RE19)]]-BA19)*150000)</f>
        <v/>
      </c>
      <c r="BH20" s="153">
        <f>IF((RD[[#This Row],[33kV_OG2_Ex (O2RE19)]]-BB19)*1000&lt;=0,0,(RD[[#This Row],[33kV_OG2_Ex (O2RE19)]]-BB19)*1000)</f>
        <v>0</v>
      </c>
      <c r="BI20" s="153">
        <f>IF((RD[[#This Row],[33kV_Aux2_Im (O2RE19)]]-BC19)*1000&lt;0,"",(RD[[#This Row],[33kV_Aux2_Im (O2RE19)]]-BC19)*1000)</f>
        <v>0</v>
      </c>
      <c r="BJ20" s="153">
        <f>IF((RD[[#This Row],[33kV_Aux1_Im (O2RE9)]]-AZ19)*1000&lt;0,"",(RD[[#This Row],[33kV_Aux1_Im (O2RE9)]]-AZ19)*1000)</f>
        <v>0</v>
      </c>
      <c r="BK20" s="153">
        <f>SUM(RD[[#This Row],[33kV_OG1_O2RE9_Energy (KWh)]],RD[[#This Row],[33kV_OG2_O2RE19_Energy (KWh)]])</f>
        <v>0</v>
      </c>
      <c r="BL20" s="62" t="str">
        <f>IFERROR(RD[[#This Row],[33 kV Total Export (KWH)]]/RD[[#This Row],[Inv Total Gneration (MWh)]]-1,"")</f>
        <v/>
      </c>
      <c r="BM20" s="63">
        <f>IFERROR((RD[[#This Row],[Sunset Time (POA&lt;20 W/m2)]]-RD[[#This Row],[Sunrise Time (POA&gt;20 W/m2)]])*24,0)</f>
        <v>0</v>
      </c>
      <c r="BN20" s="64">
        <f>SUM(RD[[#This Row],[33kV_OG1_O2RE9_Energy (KWh)]],RD[[#This Row],[33kV_OG2_O2RE19_Energy (KWh)]])</f>
        <v>0</v>
      </c>
      <c r="BO20" s="64">
        <f>IFERROR(RD[[#This Row],[ Export (33 kV)]]*(1-RD[[#This Row],[33 kV Line Loss (%)]]),RD[[#This Row],[ Export (33 kV)]])</f>
        <v>0</v>
      </c>
      <c r="BP20" s="216"/>
      <c r="BQ20" s="121"/>
      <c r="BR20" s="121"/>
      <c r="BS20" t="str">
        <f>IFERROR(RD[[#This Row],[E_AC (WPR)]]/RD[[#This Row],[E_DC (WPR)]],"")</f>
        <v/>
      </c>
    </row>
    <row r="21" spans="1:71">
      <c r="A21" s="147">
        <f t="shared" si="69"/>
        <v>45855</v>
      </c>
      <c r="B21" s="150">
        <f>YEAR(RD[[#This Row],[Date]])+IF(MONTH(RD[[#This Row],[Date]])&gt;=4,1,0)</f>
        <v>2026</v>
      </c>
      <c r="C21" s="150">
        <f>YEAR(RD[[#This Row],[Date]])</f>
        <v>2025</v>
      </c>
      <c r="D21" s="151">
        <f t="shared" si="68"/>
        <v>45839</v>
      </c>
      <c r="E21" s="150">
        <f>DAY(EOMONTH(RD[[#This Row],[Date]],0))</f>
        <v>31</v>
      </c>
      <c r="F21" s="121"/>
      <c r="G21" s="121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66"/>
      <c r="AF21" s="166"/>
      <c r="AG21" s="166"/>
      <c r="AH21" s="166"/>
      <c r="AI21" s="166"/>
      <c r="AJ21" s="166"/>
      <c r="AK21" s="166"/>
      <c r="AL21" s="166"/>
      <c r="AM21" s="58"/>
      <c r="AN21" s="58"/>
      <c r="AO21" s="58"/>
      <c r="AP21" s="58"/>
      <c r="AQ21" s="58"/>
      <c r="AR21" s="58"/>
      <c r="AS21" s="58"/>
      <c r="AT21" s="58"/>
      <c r="AU21" s="60">
        <f>SUM(RD[[#This Row],[IS2Inv1M1]:[IS4Inv1M3]])</f>
        <v>0</v>
      </c>
      <c r="AV21" s="60">
        <f>SUM(RD[[#This Row],[IS5Inv1M1]:[IS5Inv2M3]])</f>
        <v>0</v>
      </c>
      <c r="AW21" s="60">
        <f>SUM(RD[[#This Row],[O2RE9]:[O2RE192]])</f>
        <v>0</v>
      </c>
      <c r="AX21" s="152"/>
      <c r="AY21" s="152"/>
      <c r="AZ21" s="152"/>
      <c r="BA21" s="152"/>
      <c r="BB21" s="152"/>
      <c r="BC21" s="152"/>
      <c r="BD21" s="153" t="str">
        <f>IF((RD[[#This Row],[33 kV_F1_Ex (O2RE9)]]-AX20)*150000&lt;=0,"",(RD[[#This Row],[33 kV_F1_Ex (O2RE9)]]-AX20)*150000)</f>
        <v/>
      </c>
      <c r="BE21" s="153">
        <f>IF((RD[[#This Row],[33kV_OG1_Ex (O2RE9)]]-AY20)*1000&lt;=0,0,(RD[[#This Row],[33kV_OG1_Ex (O2RE9)]]-AY20)*1000)</f>
        <v>0</v>
      </c>
      <c r="BF21" s="153"/>
      <c r="BG21" s="153" t="str">
        <f>IF((RD[[#This Row],[33 kV_F2_Ex (O2RE19)]]-BA20)*150000&lt;=0,"",(RD[[#This Row],[33 kV_F2_Ex (O2RE19)]]-BA20)*150000)</f>
        <v/>
      </c>
      <c r="BH21" s="153">
        <f>IF((RD[[#This Row],[33kV_OG2_Ex (O2RE19)]]-BB20)*1000&lt;=0,0,(RD[[#This Row],[33kV_OG2_Ex (O2RE19)]]-BB20)*1000)</f>
        <v>0</v>
      </c>
      <c r="BI21" s="153">
        <f>IF((RD[[#This Row],[33kV_Aux2_Im (O2RE19)]]-BC20)*1000&lt;0,"",(RD[[#This Row],[33kV_Aux2_Im (O2RE19)]]-BC20)*1000)</f>
        <v>0</v>
      </c>
      <c r="BJ21" s="153">
        <f>IF((RD[[#This Row],[33kV_Aux1_Im (O2RE9)]]-AZ20)*1000&lt;0,"",(RD[[#This Row],[33kV_Aux1_Im (O2RE9)]]-AZ20)*1000)</f>
        <v>0</v>
      </c>
      <c r="BK21" s="153">
        <f>SUM(RD[[#This Row],[33kV_OG1_O2RE9_Energy (KWh)]],RD[[#This Row],[33kV_OG2_O2RE19_Energy (KWh)]])</f>
        <v>0</v>
      </c>
      <c r="BL21" s="62" t="str">
        <f>IFERROR(RD[[#This Row],[33 kV Total Export (KWH)]]/RD[[#This Row],[Inv Total Gneration (MWh)]]-1,"")</f>
        <v/>
      </c>
      <c r="BM21" s="63">
        <f>IFERROR((RD[[#This Row],[Sunset Time (POA&lt;20 W/m2)]]-RD[[#This Row],[Sunrise Time (POA&gt;20 W/m2)]])*24,0)</f>
        <v>0</v>
      </c>
      <c r="BN21" s="64">
        <f>SUM(RD[[#This Row],[33kV_OG1_O2RE9_Energy (KWh)]],RD[[#This Row],[33kV_OG2_O2RE19_Energy (KWh)]])</f>
        <v>0</v>
      </c>
      <c r="BO21" s="64">
        <f>IFERROR(RD[[#This Row],[ Export (33 kV)]]*(1-RD[[#This Row],[33 kV Line Loss (%)]]),RD[[#This Row],[ Export (33 kV)]])</f>
        <v>0</v>
      </c>
      <c r="BP21" s="216"/>
      <c r="BQ21" s="121"/>
      <c r="BR21" s="121"/>
      <c r="BS21" t="str">
        <f>IFERROR(RD[[#This Row],[E_AC (WPR)]]/RD[[#This Row],[E_DC (WPR)]],"")</f>
        <v/>
      </c>
    </row>
    <row r="22" spans="1:71">
      <c r="A22" s="147">
        <f t="shared" si="69"/>
        <v>45856</v>
      </c>
      <c r="B22" s="150">
        <f>YEAR(RD[[#This Row],[Date]])+IF(MONTH(RD[[#This Row],[Date]])&gt;=4,1,0)</f>
        <v>2026</v>
      </c>
      <c r="C22" s="150">
        <f>YEAR(RD[[#This Row],[Date]])</f>
        <v>2025</v>
      </c>
      <c r="D22" s="151">
        <f t="shared" si="68"/>
        <v>45839</v>
      </c>
      <c r="E22" s="150">
        <f>DAY(EOMONTH(RD[[#This Row],[Date]],0))</f>
        <v>31</v>
      </c>
      <c r="F22" s="121"/>
      <c r="G22" s="121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66"/>
      <c r="AF22" s="166"/>
      <c r="AG22" s="166"/>
      <c r="AH22" s="166"/>
      <c r="AI22" s="166"/>
      <c r="AJ22" s="166"/>
      <c r="AK22" s="166"/>
      <c r="AL22" s="166"/>
      <c r="AM22" s="58"/>
      <c r="AN22" s="58"/>
      <c r="AO22" s="58"/>
      <c r="AP22" s="58"/>
      <c r="AQ22" s="58"/>
      <c r="AR22" s="58"/>
      <c r="AS22" s="58"/>
      <c r="AT22" s="58"/>
      <c r="AU22" s="60">
        <f>SUM(RD[[#This Row],[IS2Inv1M1]:[IS4Inv1M3]])</f>
        <v>0</v>
      </c>
      <c r="AV22" s="60">
        <f>SUM(RD[[#This Row],[IS5Inv1M1]:[IS5Inv2M3]])</f>
        <v>0</v>
      </c>
      <c r="AW22" s="60">
        <f>SUM(RD[[#This Row],[O2RE9]:[O2RE192]])</f>
        <v>0</v>
      </c>
      <c r="AX22" s="152"/>
      <c r="AY22" s="152"/>
      <c r="AZ22" s="152"/>
      <c r="BA22" s="152"/>
      <c r="BB22" s="152"/>
      <c r="BC22" s="152"/>
      <c r="BD22" s="153" t="str">
        <f>IF((RD[[#This Row],[33 kV_F1_Ex (O2RE9)]]-AX21)*150000&lt;=0,"",(RD[[#This Row],[33 kV_F1_Ex (O2RE9)]]-AX21)*150000)</f>
        <v/>
      </c>
      <c r="BE22" s="153">
        <f>IF((RD[[#This Row],[33kV_OG1_Ex (O2RE9)]]-AY21)*1000&lt;=0,0,(RD[[#This Row],[33kV_OG1_Ex (O2RE9)]]-AY21)*1000)</f>
        <v>0</v>
      </c>
      <c r="BF22" s="153"/>
      <c r="BG22" s="153" t="str">
        <f>IF((RD[[#This Row],[33 kV_F2_Ex (O2RE19)]]-BA21)*150000&lt;=0,"",(RD[[#This Row],[33 kV_F2_Ex (O2RE19)]]-BA21)*150000)</f>
        <v/>
      </c>
      <c r="BH22" s="153">
        <f>IF((RD[[#This Row],[33kV_OG2_Ex (O2RE19)]]-BB21)*1000&lt;=0,0,(RD[[#This Row],[33kV_OG2_Ex (O2RE19)]]-BB21)*1000)</f>
        <v>0</v>
      </c>
      <c r="BI22" s="153">
        <f>IF((RD[[#This Row],[33kV_Aux2_Im (O2RE19)]]-BC21)*1000&lt;0,"",(RD[[#This Row],[33kV_Aux2_Im (O2RE19)]]-BC21)*1000)</f>
        <v>0</v>
      </c>
      <c r="BJ22" s="153">
        <f>IF((RD[[#This Row],[33kV_Aux1_Im (O2RE9)]]-AZ21)*1000&lt;0,"",(RD[[#This Row],[33kV_Aux1_Im (O2RE9)]]-AZ21)*1000)</f>
        <v>0</v>
      </c>
      <c r="BK22" s="153">
        <f>SUM(RD[[#This Row],[33kV_OG1_O2RE9_Energy (KWh)]],RD[[#This Row],[33kV_OG2_O2RE19_Energy (KWh)]])</f>
        <v>0</v>
      </c>
      <c r="BL22" s="62" t="str">
        <f>IFERROR(RD[[#This Row],[33 kV Total Export (KWH)]]/RD[[#This Row],[Inv Total Gneration (MWh)]]-1,"")</f>
        <v/>
      </c>
      <c r="BM22" s="63">
        <f>IFERROR((RD[[#This Row],[Sunset Time (POA&lt;20 W/m2)]]-RD[[#This Row],[Sunrise Time (POA&gt;20 W/m2)]])*24,0)</f>
        <v>0</v>
      </c>
      <c r="BN22" s="64">
        <f>SUM(RD[[#This Row],[33kV_OG1_O2RE9_Energy (KWh)]],RD[[#This Row],[33kV_OG2_O2RE19_Energy (KWh)]])</f>
        <v>0</v>
      </c>
      <c r="BO22" s="64">
        <f>IFERROR(RD[[#This Row],[ Export (33 kV)]]*(1-RD[[#This Row],[33 kV Line Loss (%)]]),RD[[#This Row],[ Export (33 kV)]])</f>
        <v>0</v>
      </c>
      <c r="BP22" s="216"/>
      <c r="BQ22" s="121"/>
      <c r="BR22" s="121"/>
      <c r="BS22" t="str">
        <f>IFERROR(RD[[#This Row],[E_AC (WPR)]]/RD[[#This Row],[E_DC (WPR)]],"")</f>
        <v/>
      </c>
    </row>
    <row r="23" spans="1:71">
      <c r="A23" s="147">
        <f t="shared" si="69"/>
        <v>45857</v>
      </c>
      <c r="B23" s="150">
        <f>YEAR(RD[[#This Row],[Date]])+IF(MONTH(RD[[#This Row],[Date]])&gt;=4,1,0)</f>
        <v>2026</v>
      </c>
      <c r="C23" s="150">
        <f>YEAR(RD[[#This Row],[Date]])</f>
        <v>2025</v>
      </c>
      <c r="D23" s="151">
        <f t="shared" si="68"/>
        <v>45839</v>
      </c>
      <c r="E23" s="150">
        <f>DAY(EOMONTH(RD[[#This Row],[Date]],0))</f>
        <v>31</v>
      </c>
      <c r="F23" s="121"/>
      <c r="G23" s="121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66"/>
      <c r="AF23" s="166"/>
      <c r="AG23" s="166"/>
      <c r="AH23" s="166"/>
      <c r="AI23" s="166"/>
      <c r="AJ23" s="166"/>
      <c r="AK23" s="166"/>
      <c r="AL23" s="166"/>
      <c r="AM23" s="58"/>
      <c r="AN23" s="58"/>
      <c r="AO23" s="58"/>
      <c r="AP23" s="58"/>
      <c r="AQ23" s="58"/>
      <c r="AR23" s="58"/>
      <c r="AS23" s="58"/>
      <c r="AT23" s="58"/>
      <c r="AU23" s="60">
        <f>SUM(RD[[#This Row],[IS2Inv1M1]:[IS4Inv1M3]])</f>
        <v>0</v>
      </c>
      <c r="AV23" s="60">
        <f>SUM(RD[[#This Row],[IS5Inv1M1]:[IS5Inv2M3]])</f>
        <v>0</v>
      </c>
      <c r="AW23" s="60">
        <f>SUM(RD[[#This Row],[O2RE9]:[O2RE192]])</f>
        <v>0</v>
      </c>
      <c r="AX23" s="152"/>
      <c r="AY23" s="152"/>
      <c r="AZ23" s="152"/>
      <c r="BA23" s="152"/>
      <c r="BB23" s="152"/>
      <c r="BC23" s="152"/>
      <c r="BD23" s="153" t="str">
        <f>IF((RD[[#This Row],[33 kV_F1_Ex (O2RE9)]]-AX22)*150000&lt;=0,"",(RD[[#This Row],[33 kV_F1_Ex (O2RE9)]]-AX22)*150000)</f>
        <v/>
      </c>
      <c r="BE23" s="153">
        <f>IF((RD[[#This Row],[33kV_OG1_Ex (O2RE9)]]-AY22)*1000&lt;=0,0,(RD[[#This Row],[33kV_OG1_Ex (O2RE9)]]-AY22)*1000)</f>
        <v>0</v>
      </c>
      <c r="BF23" s="153"/>
      <c r="BG23" s="153" t="str">
        <f>IF((RD[[#This Row],[33 kV_F2_Ex (O2RE19)]]-BA22)*150000&lt;=0,"",(RD[[#This Row],[33 kV_F2_Ex (O2RE19)]]-BA22)*150000)</f>
        <v/>
      </c>
      <c r="BH23" s="153">
        <f>IF((RD[[#This Row],[33kV_OG2_Ex (O2RE19)]]-BB22)*1000&lt;=0,0,(RD[[#This Row],[33kV_OG2_Ex (O2RE19)]]-BB22)*1000)</f>
        <v>0</v>
      </c>
      <c r="BI23" s="153">
        <f>IF((RD[[#This Row],[33kV_Aux2_Im (O2RE19)]]-BC22)*1000&lt;0,"",(RD[[#This Row],[33kV_Aux2_Im (O2RE19)]]-BC22)*1000)</f>
        <v>0</v>
      </c>
      <c r="BJ23" s="153">
        <f>IF((RD[[#This Row],[33kV_Aux1_Im (O2RE9)]]-AZ22)*1000&lt;0,"",(RD[[#This Row],[33kV_Aux1_Im (O2RE9)]]-AZ22)*1000)</f>
        <v>0</v>
      </c>
      <c r="BK23" s="153">
        <f>SUM(RD[[#This Row],[33kV_OG1_O2RE9_Energy (KWh)]],RD[[#This Row],[33kV_OG2_O2RE19_Energy (KWh)]])</f>
        <v>0</v>
      </c>
      <c r="BL23" s="62" t="str">
        <f>IFERROR(RD[[#This Row],[33 kV Total Export (KWH)]]/RD[[#This Row],[Inv Total Gneration (MWh)]]-1,"")</f>
        <v/>
      </c>
      <c r="BM23" s="63">
        <f>IFERROR((RD[[#This Row],[Sunset Time (POA&lt;20 W/m2)]]-RD[[#This Row],[Sunrise Time (POA&gt;20 W/m2)]])*24,0)</f>
        <v>0</v>
      </c>
      <c r="BN23" s="64">
        <f>SUM(RD[[#This Row],[33kV_OG1_O2RE9_Energy (KWh)]],RD[[#This Row],[33kV_OG2_O2RE19_Energy (KWh)]])</f>
        <v>0</v>
      </c>
      <c r="BO23" s="64">
        <f>IFERROR(RD[[#This Row],[ Export (33 kV)]]*(1-RD[[#This Row],[33 kV Line Loss (%)]]),RD[[#This Row],[ Export (33 kV)]])</f>
        <v>0</v>
      </c>
      <c r="BP23" s="216"/>
      <c r="BQ23" s="121"/>
      <c r="BR23" s="121"/>
      <c r="BS23" t="str">
        <f>IFERROR(RD[[#This Row],[E_AC (WPR)]]/RD[[#This Row],[E_DC (WPR)]],"")</f>
        <v/>
      </c>
    </row>
    <row r="24" spans="1:71">
      <c r="A24" s="147">
        <f t="shared" si="69"/>
        <v>45858</v>
      </c>
      <c r="B24" s="150">
        <f>YEAR(RD[[#This Row],[Date]])+IF(MONTH(RD[[#This Row],[Date]])&gt;=4,1,0)</f>
        <v>2026</v>
      </c>
      <c r="C24" s="150">
        <f>YEAR(RD[[#This Row],[Date]])</f>
        <v>2025</v>
      </c>
      <c r="D24" s="151">
        <f t="shared" si="68"/>
        <v>45839</v>
      </c>
      <c r="E24" s="150">
        <f>DAY(EOMONTH(RD[[#This Row],[Date]],0))</f>
        <v>31</v>
      </c>
      <c r="F24" s="121"/>
      <c r="G24" s="121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66"/>
      <c r="AF24" s="166"/>
      <c r="AG24" s="166"/>
      <c r="AH24" s="166"/>
      <c r="AI24" s="166"/>
      <c r="AJ24" s="166"/>
      <c r="AK24" s="166"/>
      <c r="AL24" s="166"/>
      <c r="AM24" s="58"/>
      <c r="AN24" s="58"/>
      <c r="AO24" s="58"/>
      <c r="AP24" s="58"/>
      <c r="AQ24" s="58"/>
      <c r="AR24" s="58"/>
      <c r="AS24" s="58"/>
      <c r="AT24" s="58"/>
      <c r="AU24" s="60">
        <f>SUM(RD[[#This Row],[IS2Inv1M1]:[IS4Inv1M3]])</f>
        <v>0</v>
      </c>
      <c r="AV24" s="60">
        <f>SUM(RD[[#This Row],[IS5Inv1M1]:[IS5Inv2M3]])</f>
        <v>0</v>
      </c>
      <c r="AW24" s="60">
        <f>SUM(RD[[#This Row],[O2RE9]:[O2RE192]])</f>
        <v>0</v>
      </c>
      <c r="AX24" s="152"/>
      <c r="AY24" s="152"/>
      <c r="AZ24" s="152"/>
      <c r="BA24" s="152"/>
      <c r="BB24" s="152"/>
      <c r="BC24" s="152"/>
      <c r="BD24" s="153" t="str">
        <f>IF((RD[[#This Row],[33 kV_F1_Ex (O2RE9)]]-AX23)*150000&lt;=0,"",(RD[[#This Row],[33 kV_F1_Ex (O2RE9)]]-AX23)*150000)</f>
        <v/>
      </c>
      <c r="BE24" s="153">
        <f>IF((RD[[#This Row],[33kV_OG1_Ex (O2RE9)]]-AY23)*1000&lt;=0,0,(RD[[#This Row],[33kV_OG1_Ex (O2RE9)]]-AY23)*1000)</f>
        <v>0</v>
      </c>
      <c r="BF24" s="153"/>
      <c r="BG24" s="153" t="str">
        <f>IF((RD[[#This Row],[33 kV_F2_Ex (O2RE19)]]-BA23)*150000&lt;=0,"",(RD[[#This Row],[33 kV_F2_Ex (O2RE19)]]-BA23)*150000)</f>
        <v/>
      </c>
      <c r="BH24" s="153">
        <f>IF((RD[[#This Row],[33kV_OG2_Ex (O2RE19)]]-BB23)*1000&lt;=0,0,(RD[[#This Row],[33kV_OG2_Ex (O2RE19)]]-BB23)*1000)</f>
        <v>0</v>
      </c>
      <c r="BI24" s="153">
        <f>IF((RD[[#This Row],[33kV_Aux2_Im (O2RE19)]]-BC23)*1000&lt;0,"",(RD[[#This Row],[33kV_Aux2_Im (O2RE19)]]-BC23)*1000)</f>
        <v>0</v>
      </c>
      <c r="BJ24" s="153">
        <f>IF((RD[[#This Row],[33kV_Aux1_Im (O2RE9)]]-AZ23)*1000&lt;0,"",(RD[[#This Row],[33kV_Aux1_Im (O2RE9)]]-AZ23)*1000)</f>
        <v>0</v>
      </c>
      <c r="BK24" s="153">
        <f>SUM(RD[[#This Row],[33kV_OG1_O2RE9_Energy (KWh)]],RD[[#This Row],[33kV_OG2_O2RE19_Energy (KWh)]])</f>
        <v>0</v>
      </c>
      <c r="BL24" s="62" t="str">
        <f>IFERROR(RD[[#This Row],[33 kV Total Export (KWH)]]/RD[[#This Row],[Inv Total Gneration (MWh)]]-1,"")</f>
        <v/>
      </c>
      <c r="BM24" s="63">
        <f>IFERROR((RD[[#This Row],[Sunset Time (POA&lt;20 W/m2)]]-RD[[#This Row],[Sunrise Time (POA&gt;20 W/m2)]])*24,0)</f>
        <v>0</v>
      </c>
      <c r="BN24" s="64">
        <f>SUM(RD[[#This Row],[33kV_OG1_O2RE9_Energy (KWh)]],RD[[#This Row],[33kV_OG2_O2RE19_Energy (KWh)]])</f>
        <v>0</v>
      </c>
      <c r="BO24" s="64">
        <f>IFERROR(RD[[#This Row],[ Export (33 kV)]]*(1-RD[[#This Row],[33 kV Line Loss (%)]]),RD[[#This Row],[ Export (33 kV)]])</f>
        <v>0</v>
      </c>
      <c r="BP24" s="216"/>
      <c r="BQ24" s="121"/>
      <c r="BR24" s="121"/>
      <c r="BS24" t="str">
        <f>IFERROR(RD[[#This Row],[E_AC (WPR)]]/RD[[#This Row],[E_DC (WPR)]],"")</f>
        <v/>
      </c>
    </row>
    <row r="25" spans="1:71">
      <c r="A25" s="147">
        <f t="shared" si="69"/>
        <v>45859</v>
      </c>
      <c r="B25" s="150">
        <f>YEAR(RD[[#This Row],[Date]])+IF(MONTH(RD[[#This Row],[Date]])&gt;=4,1,0)</f>
        <v>2026</v>
      </c>
      <c r="C25" s="150">
        <f>YEAR(RD[[#This Row],[Date]])</f>
        <v>2025</v>
      </c>
      <c r="D25" s="151">
        <f t="shared" si="68"/>
        <v>45839</v>
      </c>
      <c r="E25" s="150">
        <f>DAY(EOMONTH(RD[[#This Row],[Date]],0))</f>
        <v>31</v>
      </c>
      <c r="F25" s="121"/>
      <c r="G25" s="121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66"/>
      <c r="AF25" s="166"/>
      <c r="AG25" s="166"/>
      <c r="AH25" s="166"/>
      <c r="AI25" s="166"/>
      <c r="AJ25" s="166"/>
      <c r="AK25" s="166"/>
      <c r="AL25" s="166"/>
      <c r="AM25" s="58"/>
      <c r="AN25" s="58"/>
      <c r="AO25" s="58"/>
      <c r="AP25" s="58"/>
      <c r="AQ25" s="58"/>
      <c r="AR25" s="58"/>
      <c r="AS25" s="58"/>
      <c r="AT25" s="58"/>
      <c r="AU25" s="60">
        <f>SUM(RD[[#This Row],[IS2Inv1M1]:[IS4Inv1M3]])</f>
        <v>0</v>
      </c>
      <c r="AV25" s="60">
        <f>SUM(RD[[#This Row],[IS5Inv1M1]:[IS5Inv2M3]])</f>
        <v>0</v>
      </c>
      <c r="AW25" s="60">
        <f>SUM(RD[[#This Row],[O2RE9]:[O2RE192]])</f>
        <v>0</v>
      </c>
      <c r="AX25" s="152"/>
      <c r="AY25" s="152"/>
      <c r="AZ25" s="152"/>
      <c r="BA25" s="152"/>
      <c r="BB25" s="152"/>
      <c r="BC25" s="152"/>
      <c r="BD25" s="153" t="str">
        <f>IF((RD[[#This Row],[33 kV_F1_Ex (O2RE9)]]-AX24)*150000&lt;=0,"",(RD[[#This Row],[33 kV_F1_Ex (O2RE9)]]-AX24)*150000)</f>
        <v/>
      </c>
      <c r="BE25" s="153">
        <f>IF((RD[[#This Row],[33kV_OG1_Ex (O2RE9)]]-AY24)*1000&lt;=0,0,(RD[[#This Row],[33kV_OG1_Ex (O2RE9)]]-AY24)*1000)</f>
        <v>0</v>
      </c>
      <c r="BF25" s="153"/>
      <c r="BG25" s="153" t="str">
        <f>IF((RD[[#This Row],[33 kV_F2_Ex (O2RE19)]]-BA24)*150000&lt;=0,"",(RD[[#This Row],[33 kV_F2_Ex (O2RE19)]]-BA24)*150000)</f>
        <v/>
      </c>
      <c r="BH25" s="153">
        <f>IF((RD[[#This Row],[33kV_OG2_Ex (O2RE19)]]-BB24)*1000&lt;=0,0,(RD[[#This Row],[33kV_OG2_Ex (O2RE19)]]-BB24)*1000)</f>
        <v>0</v>
      </c>
      <c r="BI25" s="153">
        <f>IF((RD[[#This Row],[33kV_Aux2_Im (O2RE19)]]-BC24)*1000&lt;0,"",(RD[[#This Row],[33kV_Aux2_Im (O2RE19)]]-BC24)*1000)</f>
        <v>0</v>
      </c>
      <c r="BJ25" s="153">
        <f>IF((RD[[#This Row],[33kV_Aux1_Im (O2RE9)]]-AZ24)*1000&lt;0,"",(RD[[#This Row],[33kV_Aux1_Im (O2RE9)]]-AZ24)*1000)</f>
        <v>0</v>
      </c>
      <c r="BK25" s="153">
        <f>SUM(RD[[#This Row],[33kV_OG1_O2RE9_Energy (KWh)]],RD[[#This Row],[33kV_OG2_O2RE19_Energy (KWh)]])</f>
        <v>0</v>
      </c>
      <c r="BL25" s="62" t="str">
        <f>IFERROR(RD[[#This Row],[33 kV Total Export (KWH)]]/RD[[#This Row],[Inv Total Gneration (MWh)]]-1,"")</f>
        <v/>
      </c>
      <c r="BM25" s="63">
        <f>IFERROR((RD[[#This Row],[Sunset Time (POA&lt;20 W/m2)]]-RD[[#This Row],[Sunrise Time (POA&gt;20 W/m2)]])*24,0)</f>
        <v>0</v>
      </c>
      <c r="BN25" s="64">
        <f>SUM(RD[[#This Row],[33kV_OG1_O2RE9_Energy (KWh)]],RD[[#This Row],[33kV_OG2_O2RE19_Energy (KWh)]])</f>
        <v>0</v>
      </c>
      <c r="BO25" s="64">
        <f>IFERROR(RD[[#This Row],[ Export (33 kV)]]*(1-RD[[#This Row],[33 kV Line Loss (%)]]),RD[[#This Row],[ Export (33 kV)]])</f>
        <v>0</v>
      </c>
      <c r="BP25" s="216"/>
      <c r="BQ25" s="121"/>
      <c r="BR25" s="121"/>
      <c r="BS25" t="str">
        <f>IFERROR(RD[[#This Row],[E_AC (WPR)]]/RD[[#This Row],[E_DC (WPR)]],"")</f>
        <v/>
      </c>
    </row>
    <row r="26" spans="1:71">
      <c r="A26" s="147">
        <f t="shared" si="69"/>
        <v>45860</v>
      </c>
      <c r="B26" s="150">
        <f>YEAR(RD[[#This Row],[Date]])+IF(MONTH(RD[[#This Row],[Date]])&gt;=4,1,0)</f>
        <v>2026</v>
      </c>
      <c r="C26" s="150">
        <f>YEAR(RD[[#This Row],[Date]])</f>
        <v>2025</v>
      </c>
      <c r="D26" s="151">
        <f t="shared" si="68"/>
        <v>45839</v>
      </c>
      <c r="E26" s="150">
        <f>DAY(EOMONTH(RD[[#This Row],[Date]],0))</f>
        <v>31</v>
      </c>
      <c r="F26" s="121"/>
      <c r="G26" s="121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66"/>
      <c r="AF26" s="166"/>
      <c r="AG26" s="166"/>
      <c r="AH26" s="166"/>
      <c r="AI26" s="166"/>
      <c r="AJ26" s="166"/>
      <c r="AK26" s="166"/>
      <c r="AL26" s="166"/>
      <c r="AM26" s="58"/>
      <c r="AN26" s="58"/>
      <c r="AO26" s="58"/>
      <c r="AP26" s="58"/>
      <c r="AQ26" s="58"/>
      <c r="AR26" s="58"/>
      <c r="AS26" s="58"/>
      <c r="AT26" s="58"/>
      <c r="AU26" s="60">
        <f>SUM(RD[[#This Row],[IS2Inv1M1]:[IS4Inv1M3]])</f>
        <v>0</v>
      </c>
      <c r="AV26" s="60">
        <f>SUM(RD[[#This Row],[IS5Inv1M1]:[IS5Inv2M3]])</f>
        <v>0</v>
      </c>
      <c r="AW26" s="60">
        <f>SUM(RD[[#This Row],[O2RE9]:[O2RE192]])</f>
        <v>0</v>
      </c>
      <c r="AX26" s="152"/>
      <c r="AY26" s="152"/>
      <c r="AZ26" s="152"/>
      <c r="BA26" s="152"/>
      <c r="BB26" s="152"/>
      <c r="BC26" s="152"/>
      <c r="BD26" s="153" t="str">
        <f>IF((RD[[#This Row],[33 kV_F1_Ex (O2RE9)]]-AX25)*150000&lt;=0,"",(RD[[#This Row],[33 kV_F1_Ex (O2RE9)]]-AX25)*150000)</f>
        <v/>
      </c>
      <c r="BE26" s="153">
        <f>IF((RD[[#This Row],[33kV_OG1_Ex (O2RE9)]]-AY25)*1000&lt;=0,0,(RD[[#This Row],[33kV_OG1_Ex (O2RE9)]]-AY25)*1000)</f>
        <v>0</v>
      </c>
      <c r="BF26" s="153"/>
      <c r="BG26" s="153" t="str">
        <f>IF((RD[[#This Row],[33 kV_F2_Ex (O2RE19)]]-BA25)*150000&lt;=0,"",(RD[[#This Row],[33 kV_F2_Ex (O2RE19)]]-BA25)*150000)</f>
        <v/>
      </c>
      <c r="BH26" s="153">
        <f>IF((RD[[#This Row],[33kV_OG2_Ex (O2RE19)]]-BB25)*1000&lt;=0,0,(RD[[#This Row],[33kV_OG2_Ex (O2RE19)]]-BB25)*1000)</f>
        <v>0</v>
      </c>
      <c r="BI26" s="153">
        <f>IF((RD[[#This Row],[33kV_Aux2_Im (O2RE19)]]-BC25)*1000&lt;0,"",(RD[[#This Row],[33kV_Aux2_Im (O2RE19)]]-BC25)*1000)</f>
        <v>0</v>
      </c>
      <c r="BJ26" s="153">
        <f>IF((RD[[#This Row],[33kV_Aux1_Im (O2RE9)]]-AZ25)*1000&lt;0,"",(RD[[#This Row],[33kV_Aux1_Im (O2RE9)]]-AZ25)*1000)</f>
        <v>0</v>
      </c>
      <c r="BK26" s="153">
        <f>SUM(RD[[#This Row],[33kV_OG1_O2RE9_Energy (KWh)]],RD[[#This Row],[33kV_OG2_O2RE19_Energy (KWh)]])</f>
        <v>0</v>
      </c>
      <c r="BL26" s="62" t="str">
        <f>IFERROR(RD[[#This Row],[33 kV Total Export (KWH)]]/RD[[#This Row],[Inv Total Gneration (MWh)]]-1,"")</f>
        <v/>
      </c>
      <c r="BM26" s="63">
        <f>IFERROR((RD[[#This Row],[Sunset Time (POA&lt;20 W/m2)]]-RD[[#This Row],[Sunrise Time (POA&gt;20 W/m2)]])*24,0)</f>
        <v>0</v>
      </c>
      <c r="BN26" s="64">
        <f>SUM(RD[[#This Row],[33kV_OG1_O2RE9_Energy (KWh)]],RD[[#This Row],[33kV_OG2_O2RE19_Energy (KWh)]])</f>
        <v>0</v>
      </c>
      <c r="BO26" s="64">
        <f>IFERROR(RD[[#This Row],[ Export (33 kV)]]*(1-RD[[#This Row],[33 kV Line Loss (%)]]),RD[[#This Row],[ Export (33 kV)]])</f>
        <v>0</v>
      </c>
      <c r="BP26" s="216"/>
      <c r="BQ26" s="121"/>
      <c r="BR26" s="121"/>
      <c r="BS26" t="str">
        <f>IFERROR(RD[[#This Row],[E_AC (WPR)]]/RD[[#This Row],[E_DC (WPR)]],"")</f>
        <v/>
      </c>
    </row>
    <row r="27" spans="1:71">
      <c r="A27" s="147">
        <f t="shared" si="69"/>
        <v>45861</v>
      </c>
      <c r="B27" s="150">
        <f>YEAR(RD[[#This Row],[Date]])+IF(MONTH(RD[[#This Row],[Date]])&gt;=4,1,0)</f>
        <v>2026</v>
      </c>
      <c r="C27" s="150">
        <f>YEAR(RD[[#This Row],[Date]])</f>
        <v>2025</v>
      </c>
      <c r="D27" s="151">
        <f t="shared" si="68"/>
        <v>45839</v>
      </c>
      <c r="E27" s="150">
        <f>DAY(EOMONTH(RD[[#This Row],[Date]],0))</f>
        <v>31</v>
      </c>
      <c r="F27" s="121"/>
      <c r="G27" s="121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66"/>
      <c r="AF27" s="166"/>
      <c r="AG27" s="166"/>
      <c r="AH27" s="166"/>
      <c r="AI27" s="166"/>
      <c r="AJ27" s="166"/>
      <c r="AK27" s="166"/>
      <c r="AL27" s="166"/>
      <c r="AM27" s="58"/>
      <c r="AN27" s="58"/>
      <c r="AO27" s="58"/>
      <c r="AP27" s="58"/>
      <c r="AQ27" s="58"/>
      <c r="AR27" s="58"/>
      <c r="AS27" s="58"/>
      <c r="AT27" s="58"/>
      <c r="AU27" s="60">
        <f>SUM(RD[[#This Row],[IS2Inv1M1]:[IS4Inv1M3]])</f>
        <v>0</v>
      </c>
      <c r="AV27" s="60">
        <f>SUM(RD[[#This Row],[IS5Inv1M1]:[IS5Inv2M3]])</f>
        <v>0</v>
      </c>
      <c r="AW27" s="60">
        <f>SUM(RD[[#This Row],[O2RE9]:[O2RE192]])</f>
        <v>0</v>
      </c>
      <c r="AX27" s="152"/>
      <c r="AY27" s="152"/>
      <c r="AZ27" s="152"/>
      <c r="BA27" s="152"/>
      <c r="BB27" s="152"/>
      <c r="BC27" s="152"/>
      <c r="BD27" s="153" t="str">
        <f>IF((RD[[#This Row],[33 kV_F1_Ex (O2RE9)]]-AX26)*150000&lt;=0,"",(RD[[#This Row],[33 kV_F1_Ex (O2RE9)]]-AX26)*150000)</f>
        <v/>
      </c>
      <c r="BE27" s="153">
        <f>IF((RD[[#This Row],[33kV_OG1_Ex (O2RE9)]]-AY26)*1000&lt;=0,0,(RD[[#This Row],[33kV_OG1_Ex (O2RE9)]]-AY26)*1000)</f>
        <v>0</v>
      </c>
      <c r="BF27" s="153"/>
      <c r="BG27" s="153" t="str">
        <f>IF((RD[[#This Row],[33 kV_F2_Ex (O2RE19)]]-BA26)*150000&lt;=0,"",(RD[[#This Row],[33 kV_F2_Ex (O2RE19)]]-BA26)*150000)</f>
        <v/>
      </c>
      <c r="BH27" s="153">
        <f>IF((RD[[#This Row],[33kV_OG2_Ex (O2RE19)]]-BB26)*1000&lt;=0,0,(RD[[#This Row],[33kV_OG2_Ex (O2RE19)]]-BB26)*1000)</f>
        <v>0</v>
      </c>
      <c r="BI27" s="153">
        <f>IF((RD[[#This Row],[33kV_Aux2_Im (O2RE19)]]-BC26)*1000&lt;0,"",(RD[[#This Row],[33kV_Aux2_Im (O2RE19)]]-BC26)*1000)</f>
        <v>0</v>
      </c>
      <c r="BJ27" s="153">
        <f>IF((RD[[#This Row],[33kV_Aux1_Im (O2RE9)]]-AZ26)*1000&lt;0,"",(RD[[#This Row],[33kV_Aux1_Im (O2RE9)]]-AZ26)*1000)</f>
        <v>0</v>
      </c>
      <c r="BK27" s="153">
        <f>SUM(RD[[#This Row],[33kV_OG1_O2RE9_Energy (KWh)]],RD[[#This Row],[33kV_OG2_O2RE19_Energy (KWh)]])</f>
        <v>0</v>
      </c>
      <c r="BL27" s="62" t="str">
        <f>IFERROR(RD[[#This Row],[33 kV Total Export (KWH)]]/RD[[#This Row],[Inv Total Gneration (MWh)]]-1,"")</f>
        <v/>
      </c>
      <c r="BM27" s="63">
        <f>IFERROR((RD[[#This Row],[Sunset Time (POA&lt;20 W/m2)]]-RD[[#This Row],[Sunrise Time (POA&gt;20 W/m2)]])*24,0)</f>
        <v>0</v>
      </c>
      <c r="BN27" s="64">
        <f>SUM(RD[[#This Row],[33kV_OG1_O2RE9_Energy (KWh)]],RD[[#This Row],[33kV_OG2_O2RE19_Energy (KWh)]])</f>
        <v>0</v>
      </c>
      <c r="BO27" s="64">
        <f>IFERROR(RD[[#This Row],[ Export (33 kV)]]*(1-RD[[#This Row],[33 kV Line Loss (%)]]),RD[[#This Row],[ Export (33 kV)]])</f>
        <v>0</v>
      </c>
      <c r="BP27" s="216"/>
      <c r="BQ27" s="121"/>
      <c r="BR27" s="121"/>
      <c r="BS27" t="str">
        <f>IFERROR(RD[[#This Row],[E_AC (WPR)]]/RD[[#This Row],[E_DC (WPR)]],"")</f>
        <v/>
      </c>
    </row>
    <row r="28" spans="1:71">
      <c r="A28" s="147">
        <f t="shared" si="69"/>
        <v>45862</v>
      </c>
      <c r="B28" s="150">
        <f>YEAR(RD[[#This Row],[Date]])+IF(MONTH(RD[[#This Row],[Date]])&gt;=4,1,0)</f>
        <v>2026</v>
      </c>
      <c r="C28" s="150">
        <f>YEAR(RD[[#This Row],[Date]])</f>
        <v>2025</v>
      </c>
      <c r="D28" s="151">
        <f t="shared" si="68"/>
        <v>45839</v>
      </c>
      <c r="E28" s="150">
        <f>DAY(EOMONTH(RD[[#This Row],[Date]],0))</f>
        <v>31</v>
      </c>
      <c r="F28" s="121"/>
      <c r="G28" s="121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66"/>
      <c r="AF28" s="166"/>
      <c r="AG28" s="166"/>
      <c r="AH28" s="166"/>
      <c r="AI28" s="166"/>
      <c r="AJ28" s="166"/>
      <c r="AK28" s="166"/>
      <c r="AL28" s="166"/>
      <c r="AM28" s="58"/>
      <c r="AN28" s="58"/>
      <c r="AO28" s="58"/>
      <c r="AP28" s="58"/>
      <c r="AQ28" s="58"/>
      <c r="AR28" s="58"/>
      <c r="AS28" s="58"/>
      <c r="AT28" s="58"/>
      <c r="AU28" s="60">
        <f>SUM(RD[[#This Row],[IS2Inv1M1]:[IS4Inv1M3]])</f>
        <v>0</v>
      </c>
      <c r="AV28" s="60">
        <f>SUM(RD[[#This Row],[IS5Inv1M1]:[IS5Inv2M3]])</f>
        <v>0</v>
      </c>
      <c r="AW28" s="60">
        <f>SUM(RD[[#This Row],[O2RE9]:[O2RE192]])</f>
        <v>0</v>
      </c>
      <c r="AX28" s="152"/>
      <c r="AY28" s="152"/>
      <c r="AZ28" s="152"/>
      <c r="BA28" s="152"/>
      <c r="BB28" s="152"/>
      <c r="BC28" s="152"/>
      <c r="BD28" s="153" t="str">
        <f>IF((RD[[#This Row],[33 kV_F1_Ex (O2RE9)]]-AX27)*150000&lt;=0,"",(RD[[#This Row],[33 kV_F1_Ex (O2RE9)]]-AX27)*150000)</f>
        <v/>
      </c>
      <c r="BE28" s="153">
        <f>IF((RD[[#This Row],[33kV_OG1_Ex (O2RE9)]]-AY27)*1000&lt;=0,0,(RD[[#This Row],[33kV_OG1_Ex (O2RE9)]]-AY27)*1000)</f>
        <v>0</v>
      </c>
      <c r="BF28" s="153"/>
      <c r="BG28" s="153" t="str">
        <f>IF((RD[[#This Row],[33 kV_F2_Ex (O2RE19)]]-BA27)*150000&lt;=0,"",(RD[[#This Row],[33 kV_F2_Ex (O2RE19)]]-BA27)*150000)</f>
        <v/>
      </c>
      <c r="BH28" s="153">
        <f>IF((RD[[#This Row],[33kV_OG2_Ex (O2RE19)]]-BB27)*1000&lt;=0,0,(RD[[#This Row],[33kV_OG2_Ex (O2RE19)]]-BB27)*1000)</f>
        <v>0</v>
      </c>
      <c r="BI28" s="153">
        <f>IF((RD[[#This Row],[33kV_Aux2_Im (O2RE19)]]-BC27)*1000&lt;0,"",(RD[[#This Row],[33kV_Aux2_Im (O2RE19)]]-BC27)*1000)</f>
        <v>0</v>
      </c>
      <c r="BJ28" s="153">
        <f>IF((RD[[#This Row],[33kV_Aux1_Im (O2RE9)]]-AZ27)*1000&lt;0,"",(RD[[#This Row],[33kV_Aux1_Im (O2RE9)]]-AZ27)*1000)</f>
        <v>0</v>
      </c>
      <c r="BK28" s="153">
        <f>SUM(RD[[#This Row],[33kV_OG1_O2RE9_Energy (KWh)]],RD[[#This Row],[33kV_OG2_O2RE19_Energy (KWh)]])</f>
        <v>0</v>
      </c>
      <c r="BL28" s="62" t="str">
        <f>IFERROR(RD[[#This Row],[33 kV Total Export (KWH)]]/RD[[#This Row],[Inv Total Gneration (MWh)]]-1,"")</f>
        <v/>
      </c>
      <c r="BM28" s="63">
        <f>IFERROR((RD[[#This Row],[Sunset Time (POA&lt;20 W/m2)]]-RD[[#This Row],[Sunrise Time (POA&gt;20 W/m2)]])*24,0)</f>
        <v>0</v>
      </c>
      <c r="BN28" s="64">
        <f>SUM(RD[[#This Row],[33kV_OG1_O2RE9_Energy (KWh)]],RD[[#This Row],[33kV_OG2_O2RE19_Energy (KWh)]])</f>
        <v>0</v>
      </c>
      <c r="BO28" s="64">
        <f>IFERROR(RD[[#This Row],[ Export (33 kV)]]*(1-RD[[#This Row],[33 kV Line Loss (%)]]),RD[[#This Row],[ Export (33 kV)]])</f>
        <v>0</v>
      </c>
      <c r="BP28" s="216"/>
      <c r="BQ28" s="121"/>
      <c r="BR28" s="121"/>
      <c r="BS28" t="str">
        <f>IFERROR(RD[[#This Row],[E_AC (WPR)]]/RD[[#This Row],[E_DC (WPR)]],"")</f>
        <v/>
      </c>
    </row>
    <row r="29" spans="1:71">
      <c r="A29" s="147">
        <f t="shared" si="69"/>
        <v>45863</v>
      </c>
      <c r="B29" s="150">
        <f>YEAR(RD[[#This Row],[Date]])+IF(MONTH(RD[[#This Row],[Date]])&gt;=4,1,0)</f>
        <v>2026</v>
      </c>
      <c r="C29" s="150">
        <f>YEAR(RD[[#This Row],[Date]])</f>
        <v>2025</v>
      </c>
      <c r="D29" s="151">
        <f t="shared" si="68"/>
        <v>45839</v>
      </c>
      <c r="E29" s="150">
        <f>DAY(EOMONTH(RD[[#This Row],[Date]],0))</f>
        <v>31</v>
      </c>
      <c r="F29" s="121"/>
      <c r="G29" s="121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66"/>
      <c r="AF29" s="166"/>
      <c r="AG29" s="166"/>
      <c r="AH29" s="166"/>
      <c r="AI29" s="166"/>
      <c r="AJ29" s="166"/>
      <c r="AK29" s="166"/>
      <c r="AL29" s="166"/>
      <c r="AM29" s="58"/>
      <c r="AN29" s="58"/>
      <c r="AO29" s="58"/>
      <c r="AP29" s="58"/>
      <c r="AQ29" s="58"/>
      <c r="AR29" s="58"/>
      <c r="AS29" s="58"/>
      <c r="AT29" s="58"/>
      <c r="AU29" s="60">
        <f>SUM(RD[[#This Row],[IS2Inv1M1]:[IS4Inv1M3]])</f>
        <v>0</v>
      </c>
      <c r="AV29" s="60">
        <f>SUM(RD[[#This Row],[IS5Inv1M1]:[IS5Inv2M3]])</f>
        <v>0</v>
      </c>
      <c r="AW29" s="60">
        <f>SUM(RD[[#This Row],[O2RE9]:[O2RE192]])</f>
        <v>0</v>
      </c>
      <c r="AX29" s="152"/>
      <c r="AY29" s="152"/>
      <c r="AZ29" s="152"/>
      <c r="BA29" s="152"/>
      <c r="BB29" s="152"/>
      <c r="BC29" s="152"/>
      <c r="BD29" s="153" t="str">
        <f>IF((RD[[#This Row],[33 kV_F1_Ex (O2RE9)]]-AX28)*150000&lt;=0,"",(RD[[#This Row],[33 kV_F1_Ex (O2RE9)]]-AX28)*150000)</f>
        <v/>
      </c>
      <c r="BE29" s="153">
        <f>IF((RD[[#This Row],[33kV_OG1_Ex (O2RE9)]]-AY28)*1000&lt;=0,0,(RD[[#This Row],[33kV_OG1_Ex (O2RE9)]]-AY28)*1000)</f>
        <v>0</v>
      </c>
      <c r="BF29" s="153"/>
      <c r="BG29" s="153" t="str">
        <f>IF((RD[[#This Row],[33 kV_F2_Ex (O2RE19)]]-BA28)*150000&lt;=0,"",(RD[[#This Row],[33 kV_F2_Ex (O2RE19)]]-BA28)*150000)</f>
        <v/>
      </c>
      <c r="BH29" s="153">
        <f>IF((RD[[#This Row],[33kV_OG2_Ex (O2RE19)]]-BB28)*1000&lt;=0,0,(RD[[#This Row],[33kV_OG2_Ex (O2RE19)]]-BB28)*1000)</f>
        <v>0</v>
      </c>
      <c r="BI29" s="153">
        <f>IF((RD[[#This Row],[33kV_Aux2_Im (O2RE19)]]-BC28)*1000&lt;0,"",(RD[[#This Row],[33kV_Aux2_Im (O2RE19)]]-BC28)*1000)</f>
        <v>0</v>
      </c>
      <c r="BJ29" s="153">
        <f>IF((RD[[#This Row],[33kV_Aux1_Im (O2RE9)]]-AZ28)*1000&lt;0,"",(RD[[#This Row],[33kV_Aux1_Im (O2RE9)]]-AZ28)*1000)</f>
        <v>0</v>
      </c>
      <c r="BK29" s="153">
        <f>SUM(RD[[#This Row],[33kV_OG1_O2RE9_Energy (KWh)]],RD[[#This Row],[33kV_OG2_O2RE19_Energy (KWh)]])</f>
        <v>0</v>
      </c>
      <c r="BL29" s="62" t="str">
        <f>IFERROR(RD[[#This Row],[33 kV Total Export (KWH)]]/RD[[#This Row],[Inv Total Gneration (MWh)]]-1,"")</f>
        <v/>
      </c>
      <c r="BM29" s="63">
        <f>IFERROR((RD[[#This Row],[Sunset Time (POA&lt;20 W/m2)]]-RD[[#This Row],[Sunrise Time (POA&gt;20 W/m2)]])*24,0)</f>
        <v>0</v>
      </c>
      <c r="BN29" s="64">
        <f>SUM(RD[[#This Row],[33kV_OG1_O2RE9_Energy (KWh)]],RD[[#This Row],[33kV_OG2_O2RE19_Energy (KWh)]])</f>
        <v>0</v>
      </c>
      <c r="BO29" s="64">
        <f>IFERROR(RD[[#This Row],[ Export (33 kV)]]*(1-RD[[#This Row],[33 kV Line Loss (%)]]),RD[[#This Row],[ Export (33 kV)]])</f>
        <v>0</v>
      </c>
      <c r="BP29" s="216"/>
      <c r="BQ29" s="121"/>
      <c r="BR29" s="121"/>
      <c r="BS29" t="str">
        <f>IFERROR(RD[[#This Row],[E_AC (WPR)]]/RD[[#This Row],[E_DC (WPR)]],"")</f>
        <v/>
      </c>
    </row>
    <row r="30" spans="1:71">
      <c r="A30" s="147">
        <f t="shared" si="69"/>
        <v>45864</v>
      </c>
      <c r="B30" s="150">
        <f>YEAR(RD[[#This Row],[Date]])+IF(MONTH(RD[[#This Row],[Date]])&gt;=4,1,0)</f>
        <v>2026</v>
      </c>
      <c r="C30" s="150">
        <f>YEAR(RD[[#This Row],[Date]])</f>
        <v>2025</v>
      </c>
      <c r="D30" s="151">
        <f t="shared" si="68"/>
        <v>45839</v>
      </c>
      <c r="E30" s="150">
        <f>DAY(EOMONTH(RD[[#This Row],[Date]],0))</f>
        <v>31</v>
      </c>
      <c r="F30" s="121"/>
      <c r="G30" s="121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66"/>
      <c r="AF30" s="166"/>
      <c r="AG30" s="166"/>
      <c r="AH30" s="166"/>
      <c r="AI30" s="166"/>
      <c r="AJ30" s="166"/>
      <c r="AK30" s="166"/>
      <c r="AL30" s="166"/>
      <c r="AM30" s="58"/>
      <c r="AN30" s="58"/>
      <c r="AO30" s="58"/>
      <c r="AP30" s="58"/>
      <c r="AQ30" s="58"/>
      <c r="AR30" s="58"/>
      <c r="AS30" s="58"/>
      <c r="AT30" s="58"/>
      <c r="AU30" s="60">
        <f>SUM(RD[[#This Row],[IS2Inv1M1]:[IS4Inv1M3]])</f>
        <v>0</v>
      </c>
      <c r="AV30" s="60">
        <f>SUM(RD[[#This Row],[IS5Inv1M1]:[IS5Inv2M3]])</f>
        <v>0</v>
      </c>
      <c r="AW30" s="60">
        <f>SUM(RD[[#This Row],[O2RE9]:[O2RE192]])</f>
        <v>0</v>
      </c>
      <c r="AX30" s="152"/>
      <c r="AY30" s="152"/>
      <c r="AZ30" s="152"/>
      <c r="BA30" s="152"/>
      <c r="BB30" s="152"/>
      <c r="BC30" s="152"/>
      <c r="BD30" s="153" t="str">
        <f>IF((RD[[#This Row],[33 kV_F1_Ex (O2RE9)]]-AX29)*150000&lt;=0,"",(RD[[#This Row],[33 kV_F1_Ex (O2RE9)]]-AX29)*150000)</f>
        <v/>
      </c>
      <c r="BE30" s="153">
        <f>IF((RD[[#This Row],[33kV_OG1_Ex (O2RE9)]]-AY29)*1000&lt;=0,0,(RD[[#This Row],[33kV_OG1_Ex (O2RE9)]]-AY29)*1000)</f>
        <v>0</v>
      </c>
      <c r="BF30" s="153"/>
      <c r="BG30" s="153" t="str">
        <f>IF((RD[[#This Row],[33 kV_F2_Ex (O2RE19)]]-BA29)*150000&lt;=0,"",(RD[[#This Row],[33 kV_F2_Ex (O2RE19)]]-BA29)*150000)</f>
        <v/>
      </c>
      <c r="BH30" s="153">
        <f>IF((RD[[#This Row],[33kV_OG2_Ex (O2RE19)]]-BB29)*1000&lt;=0,0,(RD[[#This Row],[33kV_OG2_Ex (O2RE19)]]-BB29)*1000)</f>
        <v>0</v>
      </c>
      <c r="BI30" s="153">
        <f>IF((RD[[#This Row],[33kV_Aux2_Im (O2RE19)]]-BC29)*1000&lt;0,"",(RD[[#This Row],[33kV_Aux2_Im (O2RE19)]]-BC29)*1000)</f>
        <v>0</v>
      </c>
      <c r="BJ30" s="153">
        <f>IF((RD[[#This Row],[33kV_Aux1_Im (O2RE9)]]-AZ29)*1000&lt;0,"",(RD[[#This Row],[33kV_Aux1_Im (O2RE9)]]-AZ29)*1000)</f>
        <v>0</v>
      </c>
      <c r="BK30" s="153">
        <f>SUM(RD[[#This Row],[33kV_OG1_O2RE9_Energy (KWh)]],RD[[#This Row],[33kV_OG2_O2RE19_Energy (KWh)]])</f>
        <v>0</v>
      </c>
      <c r="BL30" s="62" t="str">
        <f>IFERROR(RD[[#This Row],[33 kV Total Export (KWH)]]/RD[[#This Row],[Inv Total Gneration (MWh)]]-1,"")</f>
        <v/>
      </c>
      <c r="BM30" s="63">
        <f>IFERROR((RD[[#This Row],[Sunset Time (POA&lt;20 W/m2)]]-RD[[#This Row],[Sunrise Time (POA&gt;20 W/m2)]])*24,0)</f>
        <v>0</v>
      </c>
      <c r="BN30" s="64">
        <f>SUM(RD[[#This Row],[33kV_OG1_O2RE9_Energy (KWh)]],RD[[#This Row],[33kV_OG2_O2RE19_Energy (KWh)]])</f>
        <v>0</v>
      </c>
      <c r="BO30" s="64">
        <f>IFERROR(RD[[#This Row],[ Export (33 kV)]]*(1-RD[[#This Row],[33 kV Line Loss (%)]]),RD[[#This Row],[ Export (33 kV)]])</f>
        <v>0</v>
      </c>
      <c r="BP30" s="216"/>
      <c r="BQ30" s="121"/>
      <c r="BR30" s="121"/>
      <c r="BS30" t="str">
        <f>IFERROR(RD[[#This Row],[E_AC (WPR)]]/RD[[#This Row],[E_DC (WPR)]],"")</f>
        <v/>
      </c>
    </row>
    <row r="31" spans="1:71">
      <c r="A31" s="147">
        <f t="shared" si="69"/>
        <v>45865</v>
      </c>
      <c r="B31" s="150">
        <f>YEAR(RD[[#This Row],[Date]])+IF(MONTH(RD[[#This Row],[Date]])&gt;=4,1,0)</f>
        <v>2026</v>
      </c>
      <c r="C31" s="150">
        <f>YEAR(RD[[#This Row],[Date]])</f>
        <v>2025</v>
      </c>
      <c r="D31" s="151">
        <f t="shared" si="68"/>
        <v>45839</v>
      </c>
      <c r="E31" s="150">
        <f>DAY(EOMONTH(RD[[#This Row],[Date]],0))</f>
        <v>31</v>
      </c>
      <c r="F31" s="121"/>
      <c r="G31" s="121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66"/>
      <c r="AF31" s="166"/>
      <c r="AG31" s="166"/>
      <c r="AH31" s="166"/>
      <c r="AI31" s="166"/>
      <c r="AJ31" s="166"/>
      <c r="AK31" s="166"/>
      <c r="AL31" s="166"/>
      <c r="AM31" s="58"/>
      <c r="AN31" s="58"/>
      <c r="AO31" s="58"/>
      <c r="AP31" s="58"/>
      <c r="AQ31" s="58"/>
      <c r="AR31" s="58"/>
      <c r="AS31" s="58"/>
      <c r="AT31" s="58"/>
      <c r="AU31" s="60">
        <f>SUM(RD[[#This Row],[IS2Inv1M1]:[IS4Inv1M3]])</f>
        <v>0</v>
      </c>
      <c r="AV31" s="60">
        <f>SUM(RD[[#This Row],[IS5Inv1M1]:[IS5Inv2M3]])</f>
        <v>0</v>
      </c>
      <c r="AW31" s="60">
        <f>SUM(RD[[#This Row],[O2RE9]:[O2RE192]])</f>
        <v>0</v>
      </c>
      <c r="AX31" s="152"/>
      <c r="AY31" s="152"/>
      <c r="AZ31" s="152"/>
      <c r="BA31" s="152"/>
      <c r="BB31" s="152"/>
      <c r="BC31" s="152"/>
      <c r="BD31" s="153" t="str">
        <f>IF((RD[[#This Row],[33 kV_F1_Ex (O2RE9)]]-AX30)*150000&lt;=0,"",(RD[[#This Row],[33 kV_F1_Ex (O2RE9)]]-AX30)*150000)</f>
        <v/>
      </c>
      <c r="BE31" s="153">
        <f>IF((RD[[#This Row],[33kV_OG1_Ex (O2RE9)]]-AY30)*1000&lt;=0,0,(RD[[#This Row],[33kV_OG1_Ex (O2RE9)]]-AY30)*1000)</f>
        <v>0</v>
      </c>
      <c r="BF31" s="153"/>
      <c r="BG31" s="153" t="str">
        <f>IF((RD[[#This Row],[33 kV_F2_Ex (O2RE19)]]-BA30)*150000&lt;=0,"",(RD[[#This Row],[33 kV_F2_Ex (O2RE19)]]-BA30)*150000)</f>
        <v/>
      </c>
      <c r="BH31" s="153">
        <f>IF((RD[[#This Row],[33kV_OG2_Ex (O2RE19)]]-BB30)*1000&lt;=0,0,(RD[[#This Row],[33kV_OG2_Ex (O2RE19)]]-BB30)*1000)</f>
        <v>0</v>
      </c>
      <c r="BI31" s="153">
        <f>IF((RD[[#This Row],[33kV_Aux2_Im (O2RE19)]]-BC30)*1000&lt;0,"",(RD[[#This Row],[33kV_Aux2_Im (O2RE19)]]-BC30)*1000)</f>
        <v>0</v>
      </c>
      <c r="BJ31" s="153">
        <f>IF((RD[[#This Row],[33kV_Aux1_Im (O2RE9)]]-AZ30)*1000&lt;0,"",(RD[[#This Row],[33kV_Aux1_Im (O2RE9)]]-AZ30)*1000)</f>
        <v>0</v>
      </c>
      <c r="BK31" s="153">
        <f>SUM(RD[[#This Row],[33kV_OG1_O2RE9_Energy (KWh)]],RD[[#This Row],[33kV_OG2_O2RE19_Energy (KWh)]])</f>
        <v>0</v>
      </c>
      <c r="BL31" s="62" t="str">
        <f>IFERROR(RD[[#This Row],[33 kV Total Export (KWH)]]/RD[[#This Row],[Inv Total Gneration (MWh)]]-1,"")</f>
        <v/>
      </c>
      <c r="BM31" s="63">
        <f>IFERROR((RD[[#This Row],[Sunset Time (POA&lt;20 W/m2)]]-RD[[#This Row],[Sunrise Time (POA&gt;20 W/m2)]])*24,0)</f>
        <v>0</v>
      </c>
      <c r="BN31" s="64">
        <f>SUM(RD[[#This Row],[33kV_OG1_O2RE9_Energy (KWh)]],RD[[#This Row],[33kV_OG2_O2RE19_Energy (KWh)]])</f>
        <v>0</v>
      </c>
      <c r="BO31" s="64">
        <f>IFERROR(RD[[#This Row],[ Export (33 kV)]]*(1-RD[[#This Row],[33 kV Line Loss (%)]]),RD[[#This Row],[ Export (33 kV)]])</f>
        <v>0</v>
      </c>
      <c r="BP31" s="216"/>
      <c r="BQ31" s="121"/>
      <c r="BR31" s="121"/>
      <c r="BS31" t="str">
        <f>IFERROR(RD[[#This Row],[E_AC (WPR)]]/RD[[#This Row],[E_DC (WPR)]],"")</f>
        <v/>
      </c>
    </row>
    <row r="32" spans="1:71">
      <c r="A32" s="147">
        <f t="shared" si="69"/>
        <v>45866</v>
      </c>
      <c r="B32" s="150">
        <f>YEAR(RD[[#This Row],[Date]])+IF(MONTH(RD[[#This Row],[Date]])&gt;=4,1,0)</f>
        <v>2026</v>
      </c>
      <c r="C32" s="150">
        <f>YEAR(RD[[#This Row],[Date]])</f>
        <v>2025</v>
      </c>
      <c r="D32" s="151">
        <f t="shared" si="68"/>
        <v>45839</v>
      </c>
      <c r="E32" s="150">
        <f>DAY(EOMONTH(RD[[#This Row],[Date]],0))</f>
        <v>31</v>
      </c>
      <c r="F32" s="121"/>
      <c r="G32" s="121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66"/>
      <c r="AF32" s="166"/>
      <c r="AG32" s="166"/>
      <c r="AH32" s="166"/>
      <c r="AI32" s="166"/>
      <c r="AJ32" s="166"/>
      <c r="AK32" s="166"/>
      <c r="AL32" s="166"/>
      <c r="AM32" s="58"/>
      <c r="AN32" s="58"/>
      <c r="AO32" s="58"/>
      <c r="AP32" s="58"/>
      <c r="AQ32" s="58"/>
      <c r="AR32" s="58"/>
      <c r="AS32" s="58"/>
      <c r="AT32" s="58"/>
      <c r="AU32" s="60">
        <f>SUM(RD[[#This Row],[IS2Inv1M1]:[IS4Inv1M3]])</f>
        <v>0</v>
      </c>
      <c r="AV32" s="60">
        <f>SUM(RD[[#This Row],[IS5Inv1M1]:[IS5Inv2M3]])</f>
        <v>0</v>
      </c>
      <c r="AW32" s="60">
        <f>SUM(RD[[#This Row],[O2RE9]:[O2RE192]])</f>
        <v>0</v>
      </c>
      <c r="AX32" s="152"/>
      <c r="AY32" s="152"/>
      <c r="AZ32" s="152"/>
      <c r="BA32" s="152"/>
      <c r="BB32" s="152"/>
      <c r="BC32" s="152"/>
      <c r="BD32" s="153" t="str">
        <f>IF((RD[[#This Row],[33 kV_F1_Ex (O2RE9)]]-AX31)*150000&lt;=0,"",(RD[[#This Row],[33 kV_F1_Ex (O2RE9)]]-AX31)*150000)</f>
        <v/>
      </c>
      <c r="BE32" s="153">
        <f>IF((RD[[#This Row],[33kV_OG1_Ex (O2RE9)]]-AY31)*1000&lt;=0,0,(RD[[#This Row],[33kV_OG1_Ex (O2RE9)]]-AY31)*1000)</f>
        <v>0</v>
      </c>
      <c r="BF32" s="153"/>
      <c r="BG32" s="153" t="str">
        <f>IF((RD[[#This Row],[33 kV_F2_Ex (O2RE19)]]-BA31)*150000&lt;=0,"",(RD[[#This Row],[33 kV_F2_Ex (O2RE19)]]-BA31)*150000)</f>
        <v/>
      </c>
      <c r="BH32" s="153">
        <f>IF((RD[[#This Row],[33kV_OG2_Ex (O2RE19)]]-BB31)*1000&lt;=0,0,(RD[[#This Row],[33kV_OG2_Ex (O2RE19)]]-BB31)*1000)</f>
        <v>0</v>
      </c>
      <c r="BI32" s="153">
        <f>IF((RD[[#This Row],[33kV_Aux2_Im (O2RE19)]]-BC31)*1000&lt;0,"",(RD[[#This Row],[33kV_Aux2_Im (O2RE19)]]-BC31)*1000)</f>
        <v>0</v>
      </c>
      <c r="BJ32" s="153">
        <f>IF((RD[[#This Row],[33kV_Aux1_Im (O2RE9)]]-AZ31)*1000&lt;0,"",(RD[[#This Row],[33kV_Aux1_Im (O2RE9)]]-AZ31)*1000)</f>
        <v>0</v>
      </c>
      <c r="BK32" s="153">
        <f>SUM(RD[[#This Row],[33kV_OG1_O2RE9_Energy (KWh)]],RD[[#This Row],[33kV_OG2_O2RE19_Energy (KWh)]])</f>
        <v>0</v>
      </c>
      <c r="BL32" s="62" t="str">
        <f>IFERROR(RD[[#This Row],[33 kV Total Export (KWH)]]/RD[[#This Row],[Inv Total Gneration (MWh)]]-1,"")</f>
        <v/>
      </c>
      <c r="BM32" s="63">
        <f>IFERROR((RD[[#This Row],[Sunset Time (POA&lt;20 W/m2)]]-RD[[#This Row],[Sunrise Time (POA&gt;20 W/m2)]])*24,0)</f>
        <v>0</v>
      </c>
      <c r="BN32" s="64">
        <f>SUM(RD[[#This Row],[33kV_OG1_O2RE9_Energy (KWh)]],RD[[#This Row],[33kV_OG2_O2RE19_Energy (KWh)]])</f>
        <v>0</v>
      </c>
      <c r="BO32" s="64">
        <f>IFERROR(RD[[#This Row],[ Export (33 kV)]]*(1-RD[[#This Row],[33 kV Line Loss (%)]]),RD[[#This Row],[ Export (33 kV)]])</f>
        <v>0</v>
      </c>
      <c r="BP32" s="216"/>
      <c r="BQ32" s="121"/>
      <c r="BR32" s="121"/>
      <c r="BS32" t="str">
        <f>IFERROR(RD[[#This Row],[E_AC (WPR)]]/RD[[#This Row],[E_DC (WPR)]],"")</f>
        <v/>
      </c>
    </row>
    <row r="33" spans="1:71">
      <c r="A33" s="147">
        <f t="shared" si="69"/>
        <v>45867</v>
      </c>
      <c r="B33" s="150">
        <f>YEAR(RD[[#This Row],[Date]])+IF(MONTH(RD[[#This Row],[Date]])&gt;=4,1,0)</f>
        <v>2026</v>
      </c>
      <c r="C33" s="150">
        <f>YEAR(RD[[#This Row],[Date]])</f>
        <v>2025</v>
      </c>
      <c r="D33" s="151">
        <f t="shared" si="68"/>
        <v>45839</v>
      </c>
      <c r="E33" s="150">
        <f>DAY(EOMONTH(RD[[#This Row],[Date]],0))</f>
        <v>31</v>
      </c>
      <c r="F33" s="121"/>
      <c r="G33" s="121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66"/>
      <c r="AF33" s="166"/>
      <c r="AG33" s="166"/>
      <c r="AH33" s="166"/>
      <c r="AI33" s="166"/>
      <c r="AJ33" s="166"/>
      <c r="AK33" s="166"/>
      <c r="AL33" s="166"/>
      <c r="AM33" s="58"/>
      <c r="AN33" s="58"/>
      <c r="AO33" s="58"/>
      <c r="AP33" s="58"/>
      <c r="AQ33" s="58"/>
      <c r="AR33" s="58"/>
      <c r="AS33" s="58"/>
      <c r="AT33" s="58"/>
      <c r="AU33" s="60">
        <f>SUM(RD[[#This Row],[IS2Inv1M1]:[IS4Inv1M3]])</f>
        <v>0</v>
      </c>
      <c r="AV33" s="60">
        <f>SUM(RD[[#This Row],[IS5Inv1M1]:[IS5Inv2M3]])</f>
        <v>0</v>
      </c>
      <c r="AW33" s="60">
        <f>SUM(RD[[#This Row],[O2RE9]:[O2RE192]])</f>
        <v>0</v>
      </c>
      <c r="AX33" s="152"/>
      <c r="AY33" s="152"/>
      <c r="AZ33" s="152"/>
      <c r="BA33" s="152"/>
      <c r="BB33" s="152"/>
      <c r="BC33" s="152"/>
      <c r="BD33" s="153" t="str">
        <f>IF((RD[[#This Row],[33 kV_F1_Ex (O2RE9)]]-AX32)*150000&lt;=0,"",(RD[[#This Row],[33 kV_F1_Ex (O2RE9)]]-AX32)*150000)</f>
        <v/>
      </c>
      <c r="BE33" s="153">
        <f>IF((RD[[#This Row],[33kV_OG1_Ex (O2RE9)]]-AY32)*1000&lt;=0,0,(RD[[#This Row],[33kV_OG1_Ex (O2RE9)]]-AY32)*1000)</f>
        <v>0</v>
      </c>
      <c r="BF33" s="153"/>
      <c r="BG33" s="153" t="str">
        <f>IF((RD[[#This Row],[33 kV_F2_Ex (O2RE19)]]-BA32)*150000&lt;=0,"",(RD[[#This Row],[33 kV_F2_Ex (O2RE19)]]-BA32)*150000)</f>
        <v/>
      </c>
      <c r="BH33" s="153">
        <f>IF((RD[[#This Row],[33kV_OG2_Ex (O2RE19)]]-BB32)*1000&lt;=0,0,(RD[[#This Row],[33kV_OG2_Ex (O2RE19)]]-BB32)*1000)</f>
        <v>0</v>
      </c>
      <c r="BI33" s="153">
        <f>IF((RD[[#This Row],[33kV_Aux2_Im (O2RE19)]]-BC32)*1000&lt;0,"",(RD[[#This Row],[33kV_Aux2_Im (O2RE19)]]-BC32)*1000)</f>
        <v>0</v>
      </c>
      <c r="BJ33" s="153">
        <f>IF((RD[[#This Row],[33kV_Aux1_Im (O2RE9)]]-AZ32)*1000&lt;0,"",(RD[[#This Row],[33kV_Aux1_Im (O2RE9)]]-AZ32)*1000)</f>
        <v>0</v>
      </c>
      <c r="BK33" s="153">
        <f>SUM(RD[[#This Row],[33kV_OG1_O2RE9_Energy (KWh)]],RD[[#This Row],[33kV_OG2_O2RE19_Energy (KWh)]])</f>
        <v>0</v>
      </c>
      <c r="BL33" s="62" t="str">
        <f>IFERROR(RD[[#This Row],[33 kV Total Export (KWH)]]/RD[[#This Row],[Inv Total Gneration (MWh)]]-1,"")</f>
        <v/>
      </c>
      <c r="BM33" s="63">
        <f>IFERROR((RD[[#This Row],[Sunset Time (POA&lt;20 W/m2)]]-RD[[#This Row],[Sunrise Time (POA&gt;20 W/m2)]])*24,0)</f>
        <v>0</v>
      </c>
      <c r="BN33" s="64">
        <f>SUM(RD[[#This Row],[33kV_OG1_O2RE9_Energy (KWh)]],RD[[#This Row],[33kV_OG2_O2RE19_Energy (KWh)]])</f>
        <v>0</v>
      </c>
      <c r="BO33" s="64">
        <f>IFERROR(RD[[#This Row],[ Export (33 kV)]]*(1-RD[[#This Row],[33 kV Line Loss (%)]]),RD[[#This Row],[ Export (33 kV)]])</f>
        <v>0</v>
      </c>
      <c r="BP33" s="216"/>
      <c r="BQ33" s="121"/>
      <c r="BR33" s="121"/>
      <c r="BS33" t="str">
        <f>IFERROR(RD[[#This Row],[E_AC (WPR)]]/RD[[#This Row],[E_DC (WPR)]],"")</f>
        <v/>
      </c>
    </row>
    <row r="34" spans="1:71">
      <c r="A34" s="147">
        <f t="shared" si="69"/>
        <v>45868</v>
      </c>
      <c r="B34" s="150">
        <f>YEAR(RD[[#This Row],[Date]])+IF(MONTH(RD[[#This Row],[Date]])&gt;=4,1,0)</f>
        <v>2026</v>
      </c>
      <c r="C34" s="150">
        <f>YEAR(RD[[#This Row],[Date]])</f>
        <v>2025</v>
      </c>
      <c r="D34" s="151">
        <f t="shared" si="68"/>
        <v>45839</v>
      </c>
      <c r="E34" s="150">
        <f>DAY(EOMONTH(RD[[#This Row],[Date]],0))</f>
        <v>31</v>
      </c>
      <c r="F34" s="121"/>
      <c r="G34" s="121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66"/>
      <c r="AF34" s="166"/>
      <c r="AG34" s="166"/>
      <c r="AH34" s="166"/>
      <c r="AI34" s="166"/>
      <c r="AJ34" s="166"/>
      <c r="AK34" s="166"/>
      <c r="AL34" s="166"/>
      <c r="AM34" s="58"/>
      <c r="AN34" s="58"/>
      <c r="AO34" s="58"/>
      <c r="AP34" s="58"/>
      <c r="AQ34" s="58"/>
      <c r="AR34" s="58"/>
      <c r="AS34" s="58"/>
      <c r="AT34" s="58"/>
      <c r="AU34" s="60">
        <f>SUM(RD[[#This Row],[IS2Inv1M1]:[IS4Inv1M3]])</f>
        <v>0</v>
      </c>
      <c r="AV34" s="60">
        <f>SUM(RD[[#This Row],[IS5Inv1M1]:[IS5Inv2M3]])</f>
        <v>0</v>
      </c>
      <c r="AW34" s="60">
        <f>SUM(RD[[#This Row],[O2RE9]:[O2RE192]])</f>
        <v>0</v>
      </c>
      <c r="AX34" s="152"/>
      <c r="AY34" s="152"/>
      <c r="AZ34" s="152"/>
      <c r="BA34" s="152"/>
      <c r="BB34" s="152"/>
      <c r="BC34" s="152"/>
      <c r="BD34" s="153" t="str">
        <f>IF((RD[[#This Row],[33 kV_F1_Ex (O2RE9)]]-AX33)*150000&lt;=0,"",(RD[[#This Row],[33 kV_F1_Ex (O2RE9)]]-AX33)*150000)</f>
        <v/>
      </c>
      <c r="BE34" s="153">
        <f>IF((RD[[#This Row],[33kV_OG1_Ex (O2RE9)]]-AY33)*1000&lt;=0,0,(RD[[#This Row],[33kV_OG1_Ex (O2RE9)]]-AY33)*1000)</f>
        <v>0</v>
      </c>
      <c r="BF34" s="153"/>
      <c r="BG34" s="153" t="str">
        <f>IF((RD[[#This Row],[33 kV_F2_Ex (O2RE19)]]-BA33)*150000&lt;=0,"",(RD[[#This Row],[33 kV_F2_Ex (O2RE19)]]-BA33)*150000)</f>
        <v/>
      </c>
      <c r="BH34" s="153">
        <f>IF((RD[[#This Row],[33kV_OG2_Ex (O2RE19)]]-BB33)*1000&lt;=0,0,(RD[[#This Row],[33kV_OG2_Ex (O2RE19)]]-BB33)*1000)</f>
        <v>0</v>
      </c>
      <c r="BI34" s="153">
        <f>IF((RD[[#This Row],[33kV_Aux2_Im (O2RE19)]]-BC33)*1000&lt;0,"",(RD[[#This Row],[33kV_Aux2_Im (O2RE19)]]-BC33)*1000)</f>
        <v>0</v>
      </c>
      <c r="BJ34" s="153">
        <f>IF((RD[[#This Row],[33kV_Aux1_Im (O2RE9)]]-AZ33)*1000&lt;0,"",(RD[[#This Row],[33kV_Aux1_Im (O2RE9)]]-AZ33)*1000)</f>
        <v>0</v>
      </c>
      <c r="BK34" s="153">
        <f>SUM(RD[[#This Row],[33kV_OG1_O2RE9_Energy (KWh)]],RD[[#This Row],[33kV_OG2_O2RE19_Energy (KWh)]])</f>
        <v>0</v>
      </c>
      <c r="BL34" s="62" t="str">
        <f>IFERROR(RD[[#This Row],[33 kV Total Export (KWH)]]/RD[[#This Row],[Inv Total Gneration (MWh)]]-1,"")</f>
        <v/>
      </c>
      <c r="BM34" s="63">
        <f>IFERROR((RD[[#This Row],[Sunset Time (POA&lt;20 W/m2)]]-RD[[#This Row],[Sunrise Time (POA&gt;20 W/m2)]])*24,0)</f>
        <v>0</v>
      </c>
      <c r="BN34" s="64">
        <f>SUM(RD[[#This Row],[33kV_OG1_O2RE9_Energy (KWh)]],RD[[#This Row],[33kV_OG2_O2RE19_Energy (KWh)]])</f>
        <v>0</v>
      </c>
      <c r="BO34" s="64">
        <f>IFERROR(RD[[#This Row],[ Export (33 kV)]]*(1-RD[[#This Row],[33 kV Line Loss (%)]]),RD[[#This Row],[ Export (33 kV)]])</f>
        <v>0</v>
      </c>
      <c r="BP34" s="216"/>
      <c r="BQ34" s="121"/>
      <c r="BR34" s="121"/>
      <c r="BS34" t="str">
        <f>IFERROR(RD[[#This Row],[E_AC (WPR)]]/RD[[#This Row],[E_DC (WPR)]],"")</f>
        <v/>
      </c>
    </row>
    <row r="35" spans="1:71">
      <c r="A35" s="147">
        <f t="shared" si="69"/>
        <v>45869</v>
      </c>
      <c r="B35" s="150">
        <f>YEAR(RD[[#This Row],[Date]])+IF(MONTH(RD[[#This Row],[Date]])&gt;=4,1,0)</f>
        <v>2026</v>
      </c>
      <c r="C35" s="150">
        <f>YEAR(RD[[#This Row],[Date]])</f>
        <v>2025</v>
      </c>
      <c r="D35" s="151">
        <f t="shared" si="68"/>
        <v>45839</v>
      </c>
      <c r="E35" s="150">
        <f>DAY(EOMONTH(RD[[#This Row],[Date]],0))</f>
        <v>31</v>
      </c>
      <c r="F35" s="121"/>
      <c r="G35" s="121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66"/>
      <c r="AF35" s="166"/>
      <c r="AG35" s="166"/>
      <c r="AH35" s="166"/>
      <c r="AI35" s="166"/>
      <c r="AJ35" s="166"/>
      <c r="AK35" s="166"/>
      <c r="AL35" s="166"/>
      <c r="AM35" s="58"/>
      <c r="AN35" s="58"/>
      <c r="AO35" s="58"/>
      <c r="AP35" s="58"/>
      <c r="AQ35" s="58"/>
      <c r="AR35" s="58"/>
      <c r="AS35" s="58"/>
      <c r="AT35" s="58"/>
      <c r="AU35" s="60">
        <f>SUM(RD[[#This Row],[IS2Inv1M1]:[IS4Inv1M3]])</f>
        <v>0</v>
      </c>
      <c r="AV35" s="60">
        <f>SUM(RD[[#This Row],[IS5Inv1M1]:[IS5Inv2M3]])</f>
        <v>0</v>
      </c>
      <c r="AW35" s="60">
        <f>SUM(RD[[#This Row],[O2RE9]:[O2RE192]])</f>
        <v>0</v>
      </c>
      <c r="AX35" s="152"/>
      <c r="AY35" s="152"/>
      <c r="AZ35" s="152"/>
      <c r="BA35" s="152"/>
      <c r="BB35" s="152"/>
      <c r="BC35" s="152"/>
      <c r="BD35" s="153" t="str">
        <f>IF((RD[[#This Row],[33 kV_F1_Ex (O2RE9)]]-AX34)*150000&lt;=0,"",(RD[[#This Row],[33 kV_F1_Ex (O2RE9)]]-AX34)*150000)</f>
        <v/>
      </c>
      <c r="BE35" s="153">
        <f>IF((RD[[#This Row],[33kV_OG1_Ex (O2RE9)]]-AY34)*1000&lt;=0,0,(RD[[#This Row],[33kV_OG1_Ex (O2RE9)]]-AY34)*1000)</f>
        <v>0</v>
      </c>
      <c r="BF35" s="153"/>
      <c r="BG35" s="153" t="str">
        <f>IF((RD[[#This Row],[33 kV_F2_Ex (O2RE19)]]-BA34)*150000&lt;=0,"",(RD[[#This Row],[33 kV_F2_Ex (O2RE19)]]-BA34)*150000)</f>
        <v/>
      </c>
      <c r="BH35" s="153">
        <f>IF((RD[[#This Row],[33kV_OG2_Ex (O2RE19)]]-BB34)*1000&lt;=0,0,(RD[[#This Row],[33kV_OG2_Ex (O2RE19)]]-BB34)*1000)</f>
        <v>0</v>
      </c>
      <c r="BI35" s="153">
        <f>IF((RD[[#This Row],[33kV_Aux2_Im (O2RE19)]]-BC34)*1000&lt;0,"",(RD[[#This Row],[33kV_Aux2_Im (O2RE19)]]-BC34)*1000)</f>
        <v>0</v>
      </c>
      <c r="BJ35" s="153">
        <f>IF((RD[[#This Row],[33kV_Aux1_Im (O2RE9)]]-AZ34)*1000&lt;0,"",(RD[[#This Row],[33kV_Aux1_Im (O2RE9)]]-AZ34)*1000)</f>
        <v>0</v>
      </c>
      <c r="BK35" s="153">
        <f>SUM(RD[[#This Row],[33kV_OG1_O2RE9_Energy (KWh)]],RD[[#This Row],[33kV_OG2_O2RE19_Energy (KWh)]])</f>
        <v>0</v>
      </c>
      <c r="BL35" s="62" t="str">
        <f>IFERROR(RD[[#This Row],[33 kV Total Export (KWH)]]/RD[[#This Row],[Inv Total Gneration (MWh)]]-1,"")</f>
        <v/>
      </c>
      <c r="BM35" s="63">
        <f>IFERROR((RD[[#This Row],[Sunset Time (POA&lt;20 W/m2)]]-RD[[#This Row],[Sunrise Time (POA&gt;20 W/m2)]])*24,0)</f>
        <v>0</v>
      </c>
      <c r="BN35" s="64">
        <f>SUM(RD[[#This Row],[33kV_OG1_O2RE9_Energy (KWh)]],RD[[#This Row],[33kV_OG2_O2RE19_Energy (KWh)]])</f>
        <v>0</v>
      </c>
      <c r="BO35" s="64">
        <f>IFERROR(RD[[#This Row],[ Export (33 kV)]]*(1-RD[[#This Row],[33 kV Line Loss (%)]]),RD[[#This Row],[ Export (33 kV)]])</f>
        <v>0</v>
      </c>
      <c r="BP35" s="216"/>
      <c r="BQ35" s="121"/>
      <c r="BR35" s="121"/>
      <c r="BS35" t="str">
        <f>IFERROR(RD[[#This Row],[E_AC (WPR)]]/RD[[#This Row],[E_DC (WPR)]],"")</f>
        <v/>
      </c>
    </row>
    <row r="36" spans="1:71">
      <c r="A36" s="147">
        <f t="shared" si="69"/>
        <v>45870</v>
      </c>
      <c r="B36" s="150">
        <f>YEAR(RD[[#This Row],[Date]])+IF(MONTH(RD[[#This Row],[Date]])&gt;=4,1,0)</f>
        <v>2026</v>
      </c>
      <c r="C36" s="150">
        <f>YEAR(RD[[#This Row],[Date]])</f>
        <v>2025</v>
      </c>
      <c r="D36" s="151">
        <f t="shared" si="68"/>
        <v>45870</v>
      </c>
      <c r="E36" s="150">
        <f>DAY(EOMONTH(RD[[#This Row],[Date]],0))</f>
        <v>31</v>
      </c>
      <c r="F36" s="121"/>
      <c r="G36" s="121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7"/>
      <c r="AB36" s="137"/>
      <c r="AC36" s="137"/>
      <c r="AD36" s="137"/>
      <c r="AE36" s="166"/>
      <c r="AF36" s="166"/>
      <c r="AG36" s="166"/>
      <c r="AH36" s="166"/>
      <c r="AI36" s="166"/>
      <c r="AJ36" s="166"/>
      <c r="AK36" s="166"/>
      <c r="AL36" s="166"/>
      <c r="AM36" s="58"/>
      <c r="AN36" s="58"/>
      <c r="AO36" s="58"/>
      <c r="AP36" s="58"/>
      <c r="AQ36" s="58"/>
      <c r="AR36" s="58"/>
      <c r="AS36" s="58"/>
      <c r="AT36" s="58"/>
      <c r="AU36" s="60">
        <f>SUM(RD[[#This Row],[IS2Inv1M1]:[IS4Inv1M3]])</f>
        <v>0</v>
      </c>
      <c r="AV36" s="60">
        <f>SUM(RD[[#This Row],[IS5Inv1M1]:[IS5Inv2M3]])</f>
        <v>0</v>
      </c>
      <c r="AW36" s="60">
        <f>SUM(RD[[#This Row],[O2RE9]:[O2RE192]])</f>
        <v>0</v>
      </c>
      <c r="AX36" s="152"/>
      <c r="AY36" s="152"/>
      <c r="AZ36" s="152"/>
      <c r="BA36" s="152"/>
      <c r="BB36" s="152"/>
      <c r="BC36" s="152"/>
      <c r="BD36" s="153" t="str">
        <f>IF((RD[[#This Row],[33 kV_F1_Ex (O2RE9)]]-AX35)*150000&lt;=0,"",(RD[[#This Row],[33 kV_F1_Ex (O2RE9)]]-AX35)*150000)</f>
        <v/>
      </c>
      <c r="BE36" s="153">
        <f>IF((RD[[#This Row],[33kV_OG1_Ex (O2RE9)]]-AY35)*1000&lt;=0,0,(RD[[#This Row],[33kV_OG1_Ex (O2RE9)]]-AY35)*1000)</f>
        <v>0</v>
      </c>
      <c r="BF36" s="153"/>
      <c r="BG36" s="153" t="str">
        <f>IF((RD[[#This Row],[33 kV_F2_Ex (O2RE19)]]-BA35)*150000&lt;=0,"",(RD[[#This Row],[33 kV_F2_Ex (O2RE19)]]-BA35)*150000)</f>
        <v/>
      </c>
      <c r="BH36" s="153">
        <f>IF((RD[[#This Row],[33kV_OG2_Ex (O2RE19)]]-BB35)*1000&lt;=0,0,(RD[[#This Row],[33kV_OG2_Ex (O2RE19)]]-BB35)*1000)</f>
        <v>0</v>
      </c>
      <c r="BI36" s="153">
        <f>IF((RD[[#This Row],[33kV_Aux2_Im (O2RE19)]]-BC35)*1000&lt;0,"",(RD[[#This Row],[33kV_Aux2_Im (O2RE19)]]-BC35)*1000)</f>
        <v>0</v>
      </c>
      <c r="BJ36" s="153">
        <f>IF((RD[[#This Row],[33kV_Aux1_Im (O2RE9)]]-AZ35)*1000&lt;0,"",(RD[[#This Row],[33kV_Aux1_Im (O2RE9)]]-AZ35)*1000)</f>
        <v>0</v>
      </c>
      <c r="BK36" s="153">
        <f>SUM(RD[[#This Row],[33kV_OG1_O2RE9_Energy (KWh)]],RD[[#This Row],[33kV_OG2_O2RE19_Energy (KWh)]])</f>
        <v>0</v>
      </c>
      <c r="BL36" s="62" t="str">
        <f>IFERROR(RD[[#This Row],[33 kV Total Export (KWH)]]/RD[[#This Row],[Inv Total Gneration (MWh)]]-1,"")</f>
        <v/>
      </c>
      <c r="BM36" s="63">
        <f>IFERROR((RD[[#This Row],[Sunset Time (POA&lt;20 W/m2)]]-RD[[#This Row],[Sunrise Time (POA&gt;20 W/m2)]])*24,0)</f>
        <v>0</v>
      </c>
      <c r="BN36" s="64">
        <f>SUM(RD[[#This Row],[33kV_OG1_O2RE9_Energy (KWh)]],RD[[#This Row],[33kV_OG2_O2RE19_Energy (KWh)]])</f>
        <v>0</v>
      </c>
      <c r="BO36" s="64">
        <f>IFERROR(RD[[#This Row],[ Export (33 kV)]]*(1-RD[[#This Row],[33 kV Line Loss (%)]]),RD[[#This Row],[ Export (33 kV)]])</f>
        <v>0</v>
      </c>
      <c r="BP36" s="216"/>
      <c r="BQ36" s="121"/>
      <c r="BR36" s="121"/>
      <c r="BS36" t="str">
        <f>IFERROR(RD[[#This Row],[E_AC (WPR)]]/RD[[#This Row],[E_DC (WPR)]],"")</f>
        <v/>
      </c>
    </row>
    <row r="37" spans="1:71">
      <c r="A37" s="147">
        <f t="shared" si="69"/>
        <v>45871</v>
      </c>
      <c r="B37" s="150">
        <f>YEAR(RD[[#This Row],[Date]])+IF(MONTH(RD[[#This Row],[Date]])&gt;=4,1,0)</f>
        <v>2026</v>
      </c>
      <c r="C37" s="150">
        <f>YEAR(RD[[#This Row],[Date]])</f>
        <v>2025</v>
      </c>
      <c r="D37" s="151">
        <f t="shared" si="68"/>
        <v>45870</v>
      </c>
      <c r="E37" s="150">
        <f>DAY(EOMONTH(RD[[#This Row],[Date]],0))</f>
        <v>31</v>
      </c>
      <c r="F37" s="121"/>
      <c r="G37" s="121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 s="137"/>
      <c r="AD37" s="137"/>
      <c r="AE37" s="166"/>
      <c r="AF37" s="166"/>
      <c r="AG37" s="166"/>
      <c r="AH37" s="166"/>
      <c r="AI37" s="166"/>
      <c r="AJ37" s="166"/>
      <c r="AK37" s="166"/>
      <c r="AL37" s="166"/>
      <c r="AM37" s="58"/>
      <c r="AN37" s="58"/>
      <c r="AO37" s="58"/>
      <c r="AP37" s="58"/>
      <c r="AQ37" s="58"/>
      <c r="AR37" s="58"/>
      <c r="AS37" s="58"/>
      <c r="AT37" s="58"/>
      <c r="AU37" s="60">
        <f>SUM(RD[[#This Row],[IS2Inv1M1]:[IS4Inv1M3]])</f>
        <v>0</v>
      </c>
      <c r="AV37" s="60">
        <f>SUM(RD[[#This Row],[IS5Inv1M1]:[IS5Inv2M3]])</f>
        <v>0</v>
      </c>
      <c r="AW37" s="60">
        <f>SUM(RD[[#This Row],[O2RE9]:[O2RE192]])</f>
        <v>0</v>
      </c>
      <c r="AX37" s="152"/>
      <c r="AY37" s="152"/>
      <c r="AZ37" s="152"/>
      <c r="BA37" s="152"/>
      <c r="BB37" s="152"/>
      <c r="BC37" s="152"/>
      <c r="BD37" s="153" t="str">
        <f>IF((RD[[#This Row],[33 kV_F1_Ex (O2RE9)]]-AX36)*150000&lt;=0,"",(RD[[#This Row],[33 kV_F1_Ex (O2RE9)]]-AX36)*150000)</f>
        <v/>
      </c>
      <c r="BE37" s="153">
        <f>IF((RD[[#This Row],[33kV_OG1_Ex (O2RE9)]]-AY36)*1000&lt;=0,0,(RD[[#This Row],[33kV_OG1_Ex (O2RE9)]]-AY36)*1000)</f>
        <v>0</v>
      </c>
      <c r="BF37" s="153"/>
      <c r="BG37" s="153" t="str">
        <f>IF((RD[[#This Row],[33 kV_F2_Ex (O2RE19)]]-BA36)*150000&lt;=0,"",(RD[[#This Row],[33 kV_F2_Ex (O2RE19)]]-BA36)*150000)</f>
        <v/>
      </c>
      <c r="BH37" s="153">
        <f>IF((RD[[#This Row],[33kV_OG2_Ex (O2RE19)]]-BB36)*1000&lt;=0,0,(RD[[#This Row],[33kV_OG2_Ex (O2RE19)]]-BB36)*1000)</f>
        <v>0</v>
      </c>
      <c r="BI37" s="153">
        <f>IF((RD[[#This Row],[33kV_Aux2_Im (O2RE19)]]-BC36)*1000&lt;0,"",(RD[[#This Row],[33kV_Aux2_Im (O2RE19)]]-BC36)*1000)</f>
        <v>0</v>
      </c>
      <c r="BJ37" s="153">
        <f>IF((RD[[#This Row],[33kV_Aux1_Im (O2RE9)]]-AZ36)*1000&lt;0,"",(RD[[#This Row],[33kV_Aux1_Im (O2RE9)]]-AZ36)*1000)</f>
        <v>0</v>
      </c>
      <c r="BK37" s="153">
        <f>SUM(RD[[#This Row],[33kV_OG1_O2RE9_Energy (KWh)]],RD[[#This Row],[33kV_OG2_O2RE19_Energy (KWh)]])</f>
        <v>0</v>
      </c>
      <c r="BL37" s="62" t="str">
        <f>IFERROR(RD[[#This Row],[33 kV Total Export (KWH)]]/RD[[#This Row],[Inv Total Gneration (MWh)]]-1,"")</f>
        <v/>
      </c>
      <c r="BM37" s="63">
        <f>IFERROR((RD[[#This Row],[Sunset Time (POA&lt;20 W/m2)]]-RD[[#This Row],[Sunrise Time (POA&gt;20 W/m2)]])*24,0)</f>
        <v>0</v>
      </c>
      <c r="BN37" s="64">
        <f>SUM(RD[[#This Row],[33kV_OG1_O2RE9_Energy (KWh)]],RD[[#This Row],[33kV_OG2_O2RE19_Energy (KWh)]])</f>
        <v>0</v>
      </c>
      <c r="BO37" s="64">
        <f>IFERROR(RD[[#This Row],[ Export (33 kV)]]*(1-RD[[#This Row],[33 kV Line Loss (%)]]),RD[[#This Row],[ Export (33 kV)]])</f>
        <v>0</v>
      </c>
      <c r="BP37" s="216"/>
      <c r="BQ37" s="121"/>
      <c r="BR37" s="121"/>
      <c r="BS37" t="str">
        <f>IFERROR(RD[[#This Row],[E_AC (WPR)]]/RD[[#This Row],[E_DC (WPR)]],"")</f>
        <v/>
      </c>
    </row>
    <row r="38" spans="1:71">
      <c r="A38" s="147">
        <f t="shared" si="69"/>
        <v>45872</v>
      </c>
      <c r="B38" s="150">
        <f>YEAR(RD[[#This Row],[Date]])+IF(MONTH(RD[[#This Row],[Date]])&gt;=4,1,0)</f>
        <v>2026</v>
      </c>
      <c r="C38" s="150">
        <f>YEAR(RD[[#This Row],[Date]])</f>
        <v>2025</v>
      </c>
      <c r="D38" s="151">
        <f t="shared" si="68"/>
        <v>45870</v>
      </c>
      <c r="E38" s="150">
        <f>DAY(EOMONTH(RD[[#This Row],[Date]],0))</f>
        <v>31</v>
      </c>
      <c r="F38" s="121"/>
      <c r="G38" s="121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137"/>
      <c r="U38" s="137"/>
      <c r="V38" s="137"/>
      <c r="W38" s="137"/>
      <c r="X38" s="137"/>
      <c r="Y38" s="137"/>
      <c r="Z38" s="137"/>
      <c r="AA38" s="137"/>
      <c r="AB38" s="137"/>
      <c r="AC38" s="137"/>
      <c r="AD38" s="137"/>
      <c r="AE38" s="166"/>
      <c r="AF38" s="166"/>
      <c r="AG38" s="166"/>
      <c r="AH38" s="166"/>
      <c r="AI38" s="166"/>
      <c r="AJ38" s="166"/>
      <c r="AK38" s="166"/>
      <c r="AL38" s="166"/>
      <c r="AM38" s="58"/>
      <c r="AN38" s="58"/>
      <c r="AO38" s="58"/>
      <c r="AP38" s="58"/>
      <c r="AQ38" s="58"/>
      <c r="AR38" s="58"/>
      <c r="AS38" s="58"/>
      <c r="AT38" s="58"/>
      <c r="AU38" s="60">
        <f>SUM(RD[[#This Row],[IS2Inv1M1]:[IS4Inv1M3]])</f>
        <v>0</v>
      </c>
      <c r="AV38" s="60">
        <f>SUM(RD[[#This Row],[IS5Inv1M1]:[IS5Inv2M3]])</f>
        <v>0</v>
      </c>
      <c r="AW38" s="60">
        <f>SUM(RD[[#This Row],[O2RE9]:[O2RE192]])</f>
        <v>0</v>
      </c>
      <c r="AX38" s="152"/>
      <c r="AY38" s="152"/>
      <c r="AZ38" s="152"/>
      <c r="BA38" s="152"/>
      <c r="BB38" s="152"/>
      <c r="BC38" s="152"/>
      <c r="BD38" s="153" t="str">
        <f>IF((RD[[#This Row],[33 kV_F1_Ex (O2RE9)]]-AX37)*150000&lt;=0,"",(RD[[#This Row],[33 kV_F1_Ex (O2RE9)]]-AX37)*150000)</f>
        <v/>
      </c>
      <c r="BE38" s="153">
        <f>IF((RD[[#This Row],[33kV_OG1_Ex (O2RE9)]]-AY37)*1000&lt;=0,0,(RD[[#This Row],[33kV_OG1_Ex (O2RE9)]]-AY37)*1000)</f>
        <v>0</v>
      </c>
      <c r="BF38" s="153"/>
      <c r="BG38" s="153" t="str">
        <f>IF((RD[[#This Row],[33 kV_F2_Ex (O2RE19)]]-BA37)*150000&lt;=0,"",(RD[[#This Row],[33 kV_F2_Ex (O2RE19)]]-BA37)*150000)</f>
        <v/>
      </c>
      <c r="BH38" s="153">
        <f>IF((RD[[#This Row],[33kV_OG2_Ex (O2RE19)]]-BB37)*1000&lt;=0,0,(RD[[#This Row],[33kV_OG2_Ex (O2RE19)]]-BB37)*1000)</f>
        <v>0</v>
      </c>
      <c r="BI38" s="153">
        <f>IF((RD[[#This Row],[33kV_Aux2_Im (O2RE19)]]-BC37)*1000&lt;0,"",(RD[[#This Row],[33kV_Aux2_Im (O2RE19)]]-BC37)*1000)</f>
        <v>0</v>
      </c>
      <c r="BJ38" s="153">
        <f>IF((RD[[#This Row],[33kV_Aux1_Im (O2RE9)]]-AZ37)*1000&lt;0,"",(RD[[#This Row],[33kV_Aux1_Im (O2RE9)]]-AZ37)*1000)</f>
        <v>0</v>
      </c>
      <c r="BK38" s="153">
        <f>SUM(RD[[#This Row],[33kV_OG1_O2RE9_Energy (KWh)]],RD[[#This Row],[33kV_OG2_O2RE19_Energy (KWh)]])</f>
        <v>0</v>
      </c>
      <c r="BL38" s="62" t="str">
        <f>IFERROR(RD[[#This Row],[33 kV Total Export (KWH)]]/RD[[#This Row],[Inv Total Gneration (MWh)]]-1,"")</f>
        <v/>
      </c>
      <c r="BM38" s="63">
        <f>IFERROR((RD[[#This Row],[Sunset Time (POA&lt;20 W/m2)]]-RD[[#This Row],[Sunrise Time (POA&gt;20 W/m2)]])*24,0)</f>
        <v>0</v>
      </c>
      <c r="BN38" s="64">
        <f>SUM(RD[[#This Row],[33kV_OG1_O2RE9_Energy (KWh)]],RD[[#This Row],[33kV_OG2_O2RE19_Energy (KWh)]])</f>
        <v>0</v>
      </c>
      <c r="BO38" s="64">
        <f>IFERROR(RD[[#This Row],[ Export (33 kV)]]*(1-RD[[#This Row],[33 kV Line Loss (%)]]),RD[[#This Row],[ Export (33 kV)]])</f>
        <v>0</v>
      </c>
      <c r="BP38" s="216"/>
      <c r="BQ38" s="121"/>
      <c r="BR38" s="121"/>
      <c r="BS38" t="str">
        <f>IFERROR(RD[[#This Row],[E_AC (WPR)]]/RD[[#This Row],[E_DC (WPR)]],"")</f>
        <v/>
      </c>
    </row>
    <row r="39" spans="1:71">
      <c r="A39" s="147">
        <f t="shared" si="69"/>
        <v>45873</v>
      </c>
      <c r="B39" s="150">
        <f>YEAR(RD[[#This Row],[Date]])+IF(MONTH(RD[[#This Row],[Date]])&gt;=4,1,0)</f>
        <v>2026</v>
      </c>
      <c r="C39" s="150">
        <f>YEAR(RD[[#This Row],[Date]])</f>
        <v>2025</v>
      </c>
      <c r="D39" s="151">
        <f t="shared" si="68"/>
        <v>45870</v>
      </c>
      <c r="E39" s="150">
        <f>DAY(EOMONTH(RD[[#This Row],[Date]],0))</f>
        <v>31</v>
      </c>
      <c r="F39" s="121"/>
      <c r="G39" s="121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7"/>
      <c r="AC39" s="137"/>
      <c r="AD39" s="137"/>
      <c r="AE39" s="166"/>
      <c r="AF39" s="166"/>
      <c r="AG39" s="166"/>
      <c r="AH39" s="166"/>
      <c r="AI39" s="166"/>
      <c r="AJ39" s="166"/>
      <c r="AK39" s="166"/>
      <c r="AL39" s="166"/>
      <c r="AM39" s="58"/>
      <c r="AN39" s="58"/>
      <c r="AO39" s="58"/>
      <c r="AP39" s="58"/>
      <c r="AQ39" s="58"/>
      <c r="AR39" s="58"/>
      <c r="AS39" s="58"/>
      <c r="AT39" s="58"/>
      <c r="AU39" s="60">
        <f>SUM(RD[[#This Row],[IS2Inv1M1]:[IS4Inv1M3]])</f>
        <v>0</v>
      </c>
      <c r="AV39" s="60">
        <f>SUM(RD[[#This Row],[IS5Inv1M1]:[IS5Inv2M3]])</f>
        <v>0</v>
      </c>
      <c r="AW39" s="60">
        <f>SUM(RD[[#This Row],[O2RE9]:[O2RE192]])</f>
        <v>0</v>
      </c>
      <c r="AX39" s="152"/>
      <c r="AY39" s="152"/>
      <c r="AZ39" s="152"/>
      <c r="BA39" s="152"/>
      <c r="BB39" s="152"/>
      <c r="BC39" s="152"/>
      <c r="BD39" s="153" t="str">
        <f>IF((RD[[#This Row],[33 kV_F1_Ex (O2RE9)]]-AX38)*150000&lt;=0,"",(RD[[#This Row],[33 kV_F1_Ex (O2RE9)]]-AX38)*150000)</f>
        <v/>
      </c>
      <c r="BE39" s="153">
        <f>IF((RD[[#This Row],[33kV_OG1_Ex (O2RE9)]]-AY38)*1000&lt;=0,0,(RD[[#This Row],[33kV_OG1_Ex (O2RE9)]]-AY38)*1000)</f>
        <v>0</v>
      </c>
      <c r="BF39" s="153"/>
      <c r="BG39" s="153" t="str">
        <f>IF((RD[[#This Row],[33 kV_F2_Ex (O2RE19)]]-BA38)*150000&lt;=0,"",(RD[[#This Row],[33 kV_F2_Ex (O2RE19)]]-BA38)*150000)</f>
        <v/>
      </c>
      <c r="BH39" s="153">
        <f>IF((RD[[#This Row],[33kV_OG2_Ex (O2RE19)]]-BB38)*1000&lt;=0,0,(RD[[#This Row],[33kV_OG2_Ex (O2RE19)]]-BB38)*1000)</f>
        <v>0</v>
      </c>
      <c r="BI39" s="153">
        <f>IF((RD[[#This Row],[33kV_Aux2_Im (O2RE19)]]-BC38)*1000&lt;0,"",(RD[[#This Row],[33kV_Aux2_Im (O2RE19)]]-BC38)*1000)</f>
        <v>0</v>
      </c>
      <c r="BJ39" s="153">
        <f>IF((RD[[#This Row],[33kV_Aux1_Im (O2RE9)]]-AZ38)*1000&lt;0,"",(RD[[#This Row],[33kV_Aux1_Im (O2RE9)]]-AZ38)*1000)</f>
        <v>0</v>
      </c>
      <c r="BK39" s="153">
        <f>SUM(RD[[#This Row],[33kV_OG1_O2RE9_Energy (KWh)]],RD[[#This Row],[33kV_OG2_O2RE19_Energy (KWh)]])</f>
        <v>0</v>
      </c>
      <c r="BL39" s="62" t="str">
        <f>IFERROR(RD[[#This Row],[33 kV Total Export (KWH)]]/RD[[#This Row],[Inv Total Gneration (MWh)]]-1,"")</f>
        <v/>
      </c>
      <c r="BM39" s="63">
        <f>IFERROR((RD[[#This Row],[Sunset Time (POA&lt;20 W/m2)]]-RD[[#This Row],[Sunrise Time (POA&gt;20 W/m2)]])*24,0)</f>
        <v>0</v>
      </c>
      <c r="BN39" s="64">
        <f>SUM(RD[[#This Row],[33kV_OG1_O2RE9_Energy (KWh)]],RD[[#This Row],[33kV_OG2_O2RE19_Energy (KWh)]])</f>
        <v>0</v>
      </c>
      <c r="BO39" s="64">
        <f>IFERROR(RD[[#This Row],[ Export (33 kV)]]*(1-RD[[#This Row],[33 kV Line Loss (%)]]),RD[[#This Row],[ Export (33 kV)]])</f>
        <v>0</v>
      </c>
      <c r="BP39" s="216"/>
      <c r="BQ39" s="121"/>
      <c r="BR39" s="121"/>
      <c r="BS39" t="str">
        <f>IFERROR(RD[[#This Row],[E_AC (WPR)]]/RD[[#This Row],[E_DC (WPR)]],"")</f>
        <v/>
      </c>
    </row>
    <row r="40" spans="1:71">
      <c r="A40" s="147">
        <f t="shared" si="69"/>
        <v>45874</v>
      </c>
      <c r="B40" s="150">
        <f>YEAR(RD[[#This Row],[Date]])+IF(MONTH(RD[[#This Row],[Date]])&gt;=4,1,0)</f>
        <v>2026</v>
      </c>
      <c r="C40" s="150">
        <f>YEAR(RD[[#This Row],[Date]])</f>
        <v>2025</v>
      </c>
      <c r="D40" s="151">
        <f t="shared" si="68"/>
        <v>45870</v>
      </c>
      <c r="E40" s="150">
        <f>DAY(EOMONTH(RD[[#This Row],[Date]],0))</f>
        <v>31</v>
      </c>
      <c r="F40" s="121"/>
      <c r="G40" s="121"/>
      <c r="H40" s="137"/>
      <c r="I40" s="137"/>
      <c r="J40" s="137"/>
      <c r="K40" s="137"/>
      <c r="L40" s="137"/>
      <c r="M40" s="137"/>
      <c r="N40" s="137"/>
      <c r="O40" s="137"/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66"/>
      <c r="AF40" s="166"/>
      <c r="AG40" s="166"/>
      <c r="AH40" s="166"/>
      <c r="AI40" s="166"/>
      <c r="AJ40" s="166"/>
      <c r="AK40" s="166"/>
      <c r="AL40" s="166"/>
      <c r="AM40" s="58"/>
      <c r="AN40" s="58"/>
      <c r="AO40" s="58"/>
      <c r="AP40" s="58"/>
      <c r="AQ40" s="58"/>
      <c r="AR40" s="58"/>
      <c r="AS40" s="58"/>
      <c r="AT40" s="58"/>
      <c r="AU40" s="60">
        <f>SUM(RD[[#This Row],[IS2Inv1M1]:[IS4Inv1M3]])</f>
        <v>0</v>
      </c>
      <c r="AV40" s="60">
        <f>SUM(RD[[#This Row],[IS5Inv1M1]:[IS5Inv2M3]])</f>
        <v>0</v>
      </c>
      <c r="AW40" s="60">
        <f>SUM(RD[[#This Row],[O2RE9]:[O2RE192]])</f>
        <v>0</v>
      </c>
      <c r="AX40" s="152"/>
      <c r="AY40" s="152"/>
      <c r="AZ40" s="152"/>
      <c r="BA40" s="152"/>
      <c r="BB40" s="152"/>
      <c r="BC40" s="152"/>
      <c r="BD40" s="153" t="str">
        <f>IF((RD[[#This Row],[33 kV_F1_Ex (O2RE9)]]-AX39)*150000&lt;=0,"",(RD[[#This Row],[33 kV_F1_Ex (O2RE9)]]-AX39)*150000)</f>
        <v/>
      </c>
      <c r="BE40" s="153">
        <f>IF((RD[[#This Row],[33kV_OG1_Ex (O2RE9)]]-AY39)*1000&lt;=0,0,(RD[[#This Row],[33kV_OG1_Ex (O2RE9)]]-AY39)*1000)</f>
        <v>0</v>
      </c>
      <c r="BF40" s="153"/>
      <c r="BG40" s="153" t="str">
        <f>IF((RD[[#This Row],[33 kV_F2_Ex (O2RE19)]]-BA39)*150000&lt;=0,"",(RD[[#This Row],[33 kV_F2_Ex (O2RE19)]]-BA39)*150000)</f>
        <v/>
      </c>
      <c r="BH40" s="153">
        <f>IF((RD[[#This Row],[33kV_OG2_Ex (O2RE19)]]-BB39)*1000&lt;=0,0,(RD[[#This Row],[33kV_OG2_Ex (O2RE19)]]-BB39)*1000)</f>
        <v>0</v>
      </c>
      <c r="BI40" s="153">
        <f>IF((RD[[#This Row],[33kV_Aux2_Im (O2RE19)]]-BC39)*1000&lt;0,"",(RD[[#This Row],[33kV_Aux2_Im (O2RE19)]]-BC39)*1000)</f>
        <v>0</v>
      </c>
      <c r="BJ40" s="153">
        <f>IF((RD[[#This Row],[33kV_Aux1_Im (O2RE9)]]-AZ39)*1000&lt;0,"",(RD[[#This Row],[33kV_Aux1_Im (O2RE9)]]-AZ39)*1000)</f>
        <v>0</v>
      </c>
      <c r="BK40" s="153">
        <f>SUM(RD[[#This Row],[33kV_OG1_O2RE9_Energy (KWh)]],RD[[#This Row],[33kV_OG2_O2RE19_Energy (KWh)]])</f>
        <v>0</v>
      </c>
      <c r="BL40" s="62" t="str">
        <f>IFERROR(RD[[#This Row],[33 kV Total Export (KWH)]]/RD[[#This Row],[Inv Total Gneration (MWh)]]-1,"")</f>
        <v/>
      </c>
      <c r="BM40" s="63">
        <f>IFERROR((RD[[#This Row],[Sunset Time (POA&lt;20 W/m2)]]-RD[[#This Row],[Sunrise Time (POA&gt;20 W/m2)]])*24,0)</f>
        <v>0</v>
      </c>
      <c r="BN40" s="64">
        <f>SUM(RD[[#This Row],[33kV_OG1_O2RE9_Energy (KWh)]],RD[[#This Row],[33kV_OG2_O2RE19_Energy (KWh)]])</f>
        <v>0</v>
      </c>
      <c r="BO40" s="64">
        <f>IFERROR(RD[[#This Row],[ Export (33 kV)]]*(1-RD[[#This Row],[33 kV Line Loss (%)]]),RD[[#This Row],[ Export (33 kV)]])</f>
        <v>0</v>
      </c>
      <c r="BP40" s="216"/>
      <c r="BQ40" s="121"/>
      <c r="BR40" s="121"/>
      <c r="BS40" t="str">
        <f>IFERROR(RD[[#This Row],[E_AC (WPR)]]/RD[[#This Row],[E_DC (WPR)]],"")</f>
        <v/>
      </c>
    </row>
    <row r="41" spans="1:71">
      <c r="A41" s="147">
        <f t="shared" si="69"/>
        <v>45875</v>
      </c>
      <c r="B41" s="150">
        <f>YEAR(RD[[#This Row],[Date]])+IF(MONTH(RD[[#This Row],[Date]])&gt;=4,1,0)</f>
        <v>2026</v>
      </c>
      <c r="C41" s="150">
        <f>YEAR(RD[[#This Row],[Date]])</f>
        <v>2025</v>
      </c>
      <c r="D41" s="151">
        <f t="shared" si="68"/>
        <v>45870</v>
      </c>
      <c r="E41" s="150">
        <f>DAY(EOMONTH(RD[[#This Row],[Date]],0))</f>
        <v>31</v>
      </c>
      <c r="F41" s="121"/>
      <c r="G41" s="121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66"/>
      <c r="AF41" s="166"/>
      <c r="AG41" s="166"/>
      <c r="AH41" s="166"/>
      <c r="AI41" s="166"/>
      <c r="AJ41" s="166"/>
      <c r="AK41" s="166"/>
      <c r="AL41" s="166"/>
      <c r="AM41" s="58"/>
      <c r="AN41" s="58"/>
      <c r="AO41" s="58"/>
      <c r="AP41" s="58"/>
      <c r="AQ41" s="58"/>
      <c r="AR41" s="58"/>
      <c r="AS41" s="58"/>
      <c r="AT41" s="58"/>
      <c r="AU41" s="60">
        <f>SUM(RD[[#This Row],[IS2Inv1M1]:[IS4Inv1M3]])</f>
        <v>0</v>
      </c>
      <c r="AV41" s="60">
        <f>SUM(RD[[#This Row],[IS5Inv1M1]:[IS5Inv2M3]])</f>
        <v>0</v>
      </c>
      <c r="AW41" s="60">
        <f>SUM(RD[[#This Row],[O2RE9]:[O2RE192]])</f>
        <v>0</v>
      </c>
      <c r="AX41" s="152"/>
      <c r="AY41" s="152"/>
      <c r="AZ41" s="152"/>
      <c r="BA41" s="152"/>
      <c r="BB41" s="152"/>
      <c r="BC41" s="152"/>
      <c r="BD41" s="153" t="str">
        <f>IF((RD[[#This Row],[33 kV_F1_Ex (O2RE9)]]-AX40)*150000&lt;=0,"",(RD[[#This Row],[33 kV_F1_Ex (O2RE9)]]-AX40)*150000)</f>
        <v/>
      </c>
      <c r="BE41" s="153">
        <f>IF((RD[[#This Row],[33kV_OG1_Ex (O2RE9)]]-AY40)*1000&lt;=0,0,(RD[[#This Row],[33kV_OG1_Ex (O2RE9)]]-AY40)*1000)</f>
        <v>0</v>
      </c>
      <c r="BF41" s="153"/>
      <c r="BG41" s="153" t="str">
        <f>IF((RD[[#This Row],[33 kV_F2_Ex (O2RE19)]]-BA40)*150000&lt;=0,"",(RD[[#This Row],[33 kV_F2_Ex (O2RE19)]]-BA40)*150000)</f>
        <v/>
      </c>
      <c r="BH41" s="153">
        <f>IF((RD[[#This Row],[33kV_OG2_Ex (O2RE19)]]-BB40)*1000&lt;=0,0,(RD[[#This Row],[33kV_OG2_Ex (O2RE19)]]-BB40)*1000)</f>
        <v>0</v>
      </c>
      <c r="BI41" s="153">
        <f>IF((RD[[#This Row],[33kV_Aux2_Im (O2RE19)]]-BC40)*1000&lt;0,"",(RD[[#This Row],[33kV_Aux2_Im (O2RE19)]]-BC40)*1000)</f>
        <v>0</v>
      </c>
      <c r="BJ41" s="153">
        <f>IF((RD[[#This Row],[33kV_Aux1_Im (O2RE9)]]-AZ40)*1000&lt;0,"",(RD[[#This Row],[33kV_Aux1_Im (O2RE9)]]-AZ40)*1000)</f>
        <v>0</v>
      </c>
      <c r="BK41" s="153">
        <f>SUM(RD[[#This Row],[33kV_OG1_O2RE9_Energy (KWh)]],RD[[#This Row],[33kV_OG2_O2RE19_Energy (KWh)]])</f>
        <v>0</v>
      </c>
      <c r="BL41" s="62" t="str">
        <f>IFERROR(RD[[#This Row],[33 kV Total Export (KWH)]]/RD[[#This Row],[Inv Total Gneration (MWh)]]-1,"")</f>
        <v/>
      </c>
      <c r="BM41" s="63">
        <f>IFERROR((RD[[#This Row],[Sunset Time (POA&lt;20 W/m2)]]-RD[[#This Row],[Sunrise Time (POA&gt;20 W/m2)]])*24,0)</f>
        <v>0</v>
      </c>
      <c r="BN41" s="64">
        <f>SUM(RD[[#This Row],[33kV_OG1_O2RE9_Energy (KWh)]],RD[[#This Row],[33kV_OG2_O2RE19_Energy (KWh)]])</f>
        <v>0</v>
      </c>
      <c r="BO41" s="64">
        <f>IFERROR(RD[[#This Row],[ Export (33 kV)]]*(1-RD[[#This Row],[33 kV Line Loss (%)]]),RD[[#This Row],[ Export (33 kV)]])</f>
        <v>0</v>
      </c>
      <c r="BP41" s="216"/>
      <c r="BQ41" s="121"/>
      <c r="BR41" s="121"/>
      <c r="BS41" t="str">
        <f>IFERROR(RD[[#This Row],[E_AC (WPR)]]/RD[[#This Row],[E_DC (WPR)]],"")</f>
        <v/>
      </c>
    </row>
    <row r="42" spans="1:71">
      <c r="A42" s="147">
        <f t="shared" si="69"/>
        <v>45876</v>
      </c>
      <c r="B42" s="150">
        <f>YEAR(RD[[#This Row],[Date]])+IF(MONTH(RD[[#This Row],[Date]])&gt;=4,1,0)</f>
        <v>2026</v>
      </c>
      <c r="C42" s="150">
        <f>YEAR(RD[[#This Row],[Date]])</f>
        <v>2025</v>
      </c>
      <c r="D42" s="151">
        <f t="shared" si="68"/>
        <v>45870</v>
      </c>
      <c r="E42" s="150">
        <f>DAY(EOMONTH(RD[[#This Row],[Date]],0))</f>
        <v>31</v>
      </c>
      <c r="F42" s="121"/>
      <c r="G42" s="121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66"/>
      <c r="AF42" s="166"/>
      <c r="AG42" s="166"/>
      <c r="AH42" s="166"/>
      <c r="AI42" s="166"/>
      <c r="AJ42" s="166"/>
      <c r="AK42" s="166"/>
      <c r="AL42" s="166"/>
      <c r="AM42" s="58"/>
      <c r="AN42" s="58"/>
      <c r="AO42" s="58"/>
      <c r="AP42" s="58"/>
      <c r="AQ42" s="58"/>
      <c r="AR42" s="58"/>
      <c r="AS42" s="58"/>
      <c r="AT42" s="58"/>
      <c r="AU42" s="60">
        <f>SUM(RD[[#This Row],[IS2Inv1M1]:[IS4Inv1M3]])</f>
        <v>0</v>
      </c>
      <c r="AV42" s="60">
        <f>SUM(RD[[#This Row],[IS5Inv1M1]:[IS5Inv2M3]])</f>
        <v>0</v>
      </c>
      <c r="AW42" s="60">
        <f>SUM(RD[[#This Row],[O2RE9]:[O2RE192]])</f>
        <v>0</v>
      </c>
      <c r="AX42" s="152"/>
      <c r="AY42" s="152"/>
      <c r="AZ42" s="152"/>
      <c r="BA42" s="152"/>
      <c r="BB42" s="152"/>
      <c r="BC42" s="152"/>
      <c r="BD42" s="153" t="str">
        <f>IF((RD[[#This Row],[33 kV_F1_Ex (O2RE9)]]-AX41)*150000&lt;=0,"",(RD[[#This Row],[33 kV_F1_Ex (O2RE9)]]-AX41)*150000)</f>
        <v/>
      </c>
      <c r="BE42" s="153">
        <f>IF((RD[[#This Row],[33kV_OG1_Ex (O2RE9)]]-AY41)*1000&lt;=0,0,(RD[[#This Row],[33kV_OG1_Ex (O2RE9)]]-AY41)*1000)</f>
        <v>0</v>
      </c>
      <c r="BF42" s="153"/>
      <c r="BG42" s="153" t="str">
        <f>IF((RD[[#This Row],[33 kV_F2_Ex (O2RE19)]]-BA41)*150000&lt;=0,"",(RD[[#This Row],[33 kV_F2_Ex (O2RE19)]]-BA41)*150000)</f>
        <v/>
      </c>
      <c r="BH42" s="153">
        <f>IF((RD[[#This Row],[33kV_OG2_Ex (O2RE19)]]-BB41)*1000&lt;=0,0,(RD[[#This Row],[33kV_OG2_Ex (O2RE19)]]-BB41)*1000)</f>
        <v>0</v>
      </c>
      <c r="BI42" s="153">
        <f>IF((RD[[#This Row],[33kV_Aux2_Im (O2RE19)]]-BC41)*1000&lt;0,"",(RD[[#This Row],[33kV_Aux2_Im (O2RE19)]]-BC41)*1000)</f>
        <v>0</v>
      </c>
      <c r="BJ42" s="153">
        <f>IF((RD[[#This Row],[33kV_Aux1_Im (O2RE9)]]-AZ41)*1000&lt;0,"",(RD[[#This Row],[33kV_Aux1_Im (O2RE9)]]-AZ41)*1000)</f>
        <v>0</v>
      </c>
      <c r="BK42" s="153">
        <f>SUM(RD[[#This Row],[33kV_OG1_O2RE9_Energy (KWh)]],RD[[#This Row],[33kV_OG2_O2RE19_Energy (KWh)]])</f>
        <v>0</v>
      </c>
      <c r="BL42" s="62" t="str">
        <f>IFERROR(RD[[#This Row],[33 kV Total Export (KWH)]]/RD[[#This Row],[Inv Total Gneration (MWh)]]-1,"")</f>
        <v/>
      </c>
      <c r="BM42" s="63">
        <f>IFERROR((RD[[#This Row],[Sunset Time (POA&lt;20 W/m2)]]-RD[[#This Row],[Sunrise Time (POA&gt;20 W/m2)]])*24,0)</f>
        <v>0</v>
      </c>
      <c r="BN42" s="64">
        <f>SUM(RD[[#This Row],[33kV_OG1_O2RE9_Energy (KWh)]],RD[[#This Row],[33kV_OG2_O2RE19_Energy (KWh)]])</f>
        <v>0</v>
      </c>
      <c r="BO42" s="64">
        <f>IFERROR(RD[[#This Row],[ Export (33 kV)]]*(1-RD[[#This Row],[33 kV Line Loss (%)]]),RD[[#This Row],[ Export (33 kV)]])</f>
        <v>0</v>
      </c>
      <c r="BP42" s="216"/>
      <c r="BQ42" s="121"/>
      <c r="BR42" s="121"/>
      <c r="BS42" t="str">
        <f>IFERROR(RD[[#This Row],[E_AC (WPR)]]/RD[[#This Row],[E_DC (WPR)]],"")</f>
        <v/>
      </c>
    </row>
    <row r="43" spans="1:71">
      <c r="A43" s="147">
        <f t="shared" si="69"/>
        <v>45877</v>
      </c>
      <c r="B43" s="150">
        <f>YEAR(RD[[#This Row],[Date]])+IF(MONTH(RD[[#This Row],[Date]])&gt;=4,1,0)</f>
        <v>2026</v>
      </c>
      <c r="C43" s="150">
        <f>YEAR(RD[[#This Row],[Date]])</f>
        <v>2025</v>
      </c>
      <c r="D43" s="151">
        <f t="shared" si="68"/>
        <v>45870</v>
      </c>
      <c r="E43" s="150">
        <f>DAY(EOMONTH(RD[[#This Row],[Date]],0))</f>
        <v>31</v>
      </c>
      <c r="F43" s="121"/>
      <c r="G43" s="121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66"/>
      <c r="AF43" s="166"/>
      <c r="AG43" s="166"/>
      <c r="AH43" s="166"/>
      <c r="AI43" s="166"/>
      <c r="AJ43" s="166"/>
      <c r="AK43" s="166"/>
      <c r="AL43" s="166"/>
      <c r="AM43" s="58"/>
      <c r="AN43" s="58"/>
      <c r="AO43" s="58"/>
      <c r="AP43" s="58"/>
      <c r="AQ43" s="58"/>
      <c r="AR43" s="58"/>
      <c r="AS43" s="58"/>
      <c r="AT43" s="58"/>
      <c r="AU43" s="60">
        <f>SUM(RD[[#This Row],[IS2Inv1M1]:[IS4Inv1M3]])</f>
        <v>0</v>
      </c>
      <c r="AV43" s="60">
        <f>SUM(RD[[#This Row],[IS5Inv1M1]:[IS5Inv2M3]])</f>
        <v>0</v>
      </c>
      <c r="AW43" s="60">
        <f>SUM(RD[[#This Row],[O2RE9]:[O2RE192]])</f>
        <v>0</v>
      </c>
      <c r="AX43" s="152"/>
      <c r="AY43" s="152"/>
      <c r="AZ43" s="152"/>
      <c r="BA43" s="152"/>
      <c r="BB43" s="152"/>
      <c r="BC43" s="152"/>
      <c r="BD43" s="153" t="str">
        <f>IF((RD[[#This Row],[33 kV_F1_Ex (O2RE9)]]-AX42)*150000&lt;=0,"",(RD[[#This Row],[33 kV_F1_Ex (O2RE9)]]-AX42)*150000)</f>
        <v/>
      </c>
      <c r="BE43" s="153">
        <f>IF((RD[[#This Row],[33kV_OG1_Ex (O2RE9)]]-AY42)*1000&lt;=0,0,(RD[[#This Row],[33kV_OG1_Ex (O2RE9)]]-AY42)*1000)</f>
        <v>0</v>
      </c>
      <c r="BF43" s="153"/>
      <c r="BG43" s="153" t="str">
        <f>IF((RD[[#This Row],[33 kV_F2_Ex (O2RE19)]]-BA42)*150000&lt;=0,"",(RD[[#This Row],[33 kV_F2_Ex (O2RE19)]]-BA42)*150000)</f>
        <v/>
      </c>
      <c r="BH43" s="153">
        <f>IF((RD[[#This Row],[33kV_OG2_Ex (O2RE19)]]-BB42)*1000&lt;=0,0,(RD[[#This Row],[33kV_OG2_Ex (O2RE19)]]-BB42)*1000)</f>
        <v>0</v>
      </c>
      <c r="BI43" s="153">
        <f>IF((RD[[#This Row],[33kV_Aux2_Im (O2RE19)]]-BC42)*1000&lt;0,"",(RD[[#This Row],[33kV_Aux2_Im (O2RE19)]]-BC42)*1000)</f>
        <v>0</v>
      </c>
      <c r="BJ43" s="153">
        <f>IF((RD[[#This Row],[33kV_Aux1_Im (O2RE9)]]-AZ42)*1000&lt;0,"",(RD[[#This Row],[33kV_Aux1_Im (O2RE9)]]-AZ42)*1000)</f>
        <v>0</v>
      </c>
      <c r="BK43" s="153">
        <f>SUM(RD[[#This Row],[33kV_OG1_O2RE9_Energy (KWh)]],RD[[#This Row],[33kV_OG2_O2RE19_Energy (KWh)]])</f>
        <v>0</v>
      </c>
      <c r="BL43" s="62" t="str">
        <f>IFERROR(RD[[#This Row],[33 kV Total Export (KWH)]]/RD[[#This Row],[Inv Total Gneration (MWh)]]-1,"")</f>
        <v/>
      </c>
      <c r="BM43" s="63">
        <f>IFERROR((RD[[#This Row],[Sunset Time (POA&lt;20 W/m2)]]-RD[[#This Row],[Sunrise Time (POA&gt;20 W/m2)]])*24,0)</f>
        <v>0</v>
      </c>
      <c r="BN43" s="64">
        <f>SUM(RD[[#This Row],[33kV_OG1_O2RE9_Energy (KWh)]],RD[[#This Row],[33kV_OG2_O2RE19_Energy (KWh)]])</f>
        <v>0</v>
      </c>
      <c r="BO43" s="64">
        <f>IFERROR(RD[[#This Row],[ Export (33 kV)]]*(1-RD[[#This Row],[33 kV Line Loss (%)]]),RD[[#This Row],[ Export (33 kV)]])</f>
        <v>0</v>
      </c>
      <c r="BP43" s="216"/>
      <c r="BQ43" s="121"/>
      <c r="BR43" s="121"/>
      <c r="BS43" t="str">
        <f>IFERROR(RD[[#This Row],[E_AC (WPR)]]/RD[[#This Row],[E_DC (WPR)]],"")</f>
        <v/>
      </c>
    </row>
    <row r="44" spans="1:71">
      <c r="A44" s="147">
        <f t="shared" si="69"/>
        <v>45878</v>
      </c>
      <c r="B44" s="150">
        <f>YEAR(RD[[#This Row],[Date]])+IF(MONTH(RD[[#This Row],[Date]])&gt;=4,1,0)</f>
        <v>2026</v>
      </c>
      <c r="C44" s="150">
        <f>YEAR(RD[[#This Row],[Date]])</f>
        <v>2025</v>
      </c>
      <c r="D44" s="151">
        <f t="shared" si="68"/>
        <v>45870</v>
      </c>
      <c r="E44" s="150">
        <f>DAY(EOMONTH(RD[[#This Row],[Date]],0))</f>
        <v>31</v>
      </c>
      <c r="F44" s="121"/>
      <c r="G44" s="121"/>
      <c r="H44" s="137"/>
      <c r="I44" s="137"/>
      <c r="J44" s="137"/>
      <c r="K44" s="137"/>
      <c r="L44" s="137"/>
      <c r="M44" s="137"/>
      <c r="N44" s="137"/>
      <c r="O44" s="137"/>
      <c r="P44" s="137"/>
      <c r="Q44" s="137"/>
      <c r="R44" s="137"/>
      <c r="S44" s="137"/>
      <c r="T44" s="137"/>
      <c r="U44" s="137"/>
      <c r="V44" s="137"/>
      <c r="W44" s="137"/>
      <c r="X44" s="137"/>
      <c r="Y44" s="137"/>
      <c r="Z44" s="137"/>
      <c r="AA44" s="137"/>
      <c r="AB44" s="137"/>
      <c r="AC44" s="137"/>
      <c r="AD44" s="137"/>
      <c r="AE44" s="166"/>
      <c r="AF44" s="166"/>
      <c r="AG44" s="166"/>
      <c r="AH44" s="166"/>
      <c r="AI44" s="166"/>
      <c r="AJ44" s="166"/>
      <c r="AK44" s="166"/>
      <c r="AL44" s="166"/>
      <c r="AM44" s="58"/>
      <c r="AN44" s="58"/>
      <c r="AO44" s="58"/>
      <c r="AP44" s="58"/>
      <c r="AQ44" s="58"/>
      <c r="AR44" s="58"/>
      <c r="AS44" s="58"/>
      <c r="AT44" s="58"/>
      <c r="AU44" s="60">
        <f>SUM(RD[[#This Row],[IS2Inv1M1]:[IS4Inv1M3]])</f>
        <v>0</v>
      </c>
      <c r="AV44" s="60">
        <f>SUM(RD[[#This Row],[IS5Inv1M1]:[IS5Inv2M3]])</f>
        <v>0</v>
      </c>
      <c r="AW44" s="60">
        <f>SUM(RD[[#This Row],[O2RE9]:[O2RE192]])</f>
        <v>0</v>
      </c>
      <c r="AX44" s="152"/>
      <c r="AY44" s="152"/>
      <c r="AZ44" s="152"/>
      <c r="BA44" s="152"/>
      <c r="BB44" s="152"/>
      <c r="BC44" s="152"/>
      <c r="BD44" s="153" t="str">
        <f>IF((RD[[#This Row],[33 kV_F1_Ex (O2RE9)]]-AX43)*150000&lt;=0,"",(RD[[#This Row],[33 kV_F1_Ex (O2RE9)]]-AX43)*150000)</f>
        <v/>
      </c>
      <c r="BE44" s="153">
        <f>IF((RD[[#This Row],[33kV_OG1_Ex (O2RE9)]]-AY43)*1000&lt;=0,0,(RD[[#This Row],[33kV_OG1_Ex (O2RE9)]]-AY43)*1000)</f>
        <v>0</v>
      </c>
      <c r="BF44" s="153"/>
      <c r="BG44" s="153" t="str">
        <f>IF((RD[[#This Row],[33 kV_F2_Ex (O2RE19)]]-BA43)*150000&lt;=0,"",(RD[[#This Row],[33 kV_F2_Ex (O2RE19)]]-BA43)*150000)</f>
        <v/>
      </c>
      <c r="BH44" s="153">
        <f>IF((RD[[#This Row],[33kV_OG2_Ex (O2RE19)]]-BB43)*1000&lt;=0,0,(RD[[#This Row],[33kV_OG2_Ex (O2RE19)]]-BB43)*1000)</f>
        <v>0</v>
      </c>
      <c r="BI44" s="153">
        <f>IF((RD[[#This Row],[33kV_Aux2_Im (O2RE19)]]-BC43)*1000&lt;0,"",(RD[[#This Row],[33kV_Aux2_Im (O2RE19)]]-BC43)*1000)</f>
        <v>0</v>
      </c>
      <c r="BJ44" s="153">
        <f>IF((RD[[#This Row],[33kV_Aux1_Im (O2RE9)]]-AZ43)*1000&lt;0,"",(RD[[#This Row],[33kV_Aux1_Im (O2RE9)]]-AZ43)*1000)</f>
        <v>0</v>
      </c>
      <c r="BK44" s="153">
        <f>SUM(RD[[#This Row],[33kV_OG1_O2RE9_Energy (KWh)]],RD[[#This Row],[33kV_OG2_O2RE19_Energy (KWh)]])</f>
        <v>0</v>
      </c>
      <c r="BL44" s="62" t="str">
        <f>IFERROR(RD[[#This Row],[33 kV Total Export (KWH)]]/RD[[#This Row],[Inv Total Gneration (MWh)]]-1,"")</f>
        <v/>
      </c>
      <c r="BM44" s="63">
        <f>IFERROR((RD[[#This Row],[Sunset Time (POA&lt;20 W/m2)]]-RD[[#This Row],[Sunrise Time (POA&gt;20 W/m2)]])*24,0)</f>
        <v>0</v>
      </c>
      <c r="BN44" s="64">
        <f>SUM(RD[[#This Row],[33kV_OG1_O2RE9_Energy (KWh)]],RD[[#This Row],[33kV_OG2_O2RE19_Energy (KWh)]])</f>
        <v>0</v>
      </c>
      <c r="BO44" s="64">
        <f>IFERROR(RD[[#This Row],[ Export (33 kV)]]*(1-RD[[#This Row],[33 kV Line Loss (%)]]),RD[[#This Row],[ Export (33 kV)]])</f>
        <v>0</v>
      </c>
      <c r="BP44" s="216"/>
      <c r="BQ44" s="121"/>
      <c r="BR44" s="121"/>
      <c r="BS44" t="str">
        <f>IFERROR(RD[[#This Row],[E_AC (WPR)]]/RD[[#This Row],[E_DC (WPR)]],"")</f>
        <v/>
      </c>
    </row>
    <row r="45" spans="1:71">
      <c r="A45" s="147">
        <f t="shared" si="69"/>
        <v>45879</v>
      </c>
      <c r="B45" s="150">
        <f>YEAR(RD[[#This Row],[Date]])+IF(MONTH(RD[[#This Row],[Date]])&gt;=4,1,0)</f>
        <v>2026</v>
      </c>
      <c r="C45" s="150">
        <f>YEAR(RD[[#This Row],[Date]])</f>
        <v>2025</v>
      </c>
      <c r="D45" s="151">
        <f t="shared" si="68"/>
        <v>45870</v>
      </c>
      <c r="E45" s="150">
        <f>DAY(EOMONTH(RD[[#This Row],[Date]],0))</f>
        <v>31</v>
      </c>
      <c r="F45" s="121"/>
      <c r="G45" s="121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66"/>
      <c r="AF45" s="166"/>
      <c r="AG45" s="166"/>
      <c r="AH45" s="166"/>
      <c r="AI45" s="166"/>
      <c r="AJ45" s="166"/>
      <c r="AK45" s="166"/>
      <c r="AL45" s="166"/>
      <c r="AM45" s="58"/>
      <c r="AN45" s="58"/>
      <c r="AO45" s="58"/>
      <c r="AP45" s="58"/>
      <c r="AQ45" s="58"/>
      <c r="AR45" s="58"/>
      <c r="AS45" s="58"/>
      <c r="AT45" s="58"/>
      <c r="AU45" s="60">
        <f>SUM(RD[[#This Row],[IS2Inv1M1]:[IS4Inv1M3]])</f>
        <v>0</v>
      </c>
      <c r="AV45" s="60">
        <f>SUM(RD[[#This Row],[IS5Inv1M1]:[IS5Inv2M3]])</f>
        <v>0</v>
      </c>
      <c r="AW45" s="60">
        <f>SUM(RD[[#This Row],[O2RE9]:[O2RE192]])</f>
        <v>0</v>
      </c>
      <c r="AX45" s="152"/>
      <c r="AY45" s="152"/>
      <c r="AZ45" s="152"/>
      <c r="BA45" s="152"/>
      <c r="BB45" s="152"/>
      <c r="BC45" s="152"/>
      <c r="BD45" s="153" t="str">
        <f>IF((RD[[#This Row],[33 kV_F1_Ex (O2RE9)]]-AX44)*150000&lt;=0,"",(RD[[#This Row],[33 kV_F1_Ex (O2RE9)]]-AX44)*150000)</f>
        <v/>
      </c>
      <c r="BE45" s="153">
        <f>IF((RD[[#This Row],[33kV_OG1_Ex (O2RE9)]]-AY44)*1000&lt;=0,0,(RD[[#This Row],[33kV_OG1_Ex (O2RE9)]]-AY44)*1000)</f>
        <v>0</v>
      </c>
      <c r="BF45" s="153"/>
      <c r="BG45" s="153" t="str">
        <f>IF((RD[[#This Row],[33 kV_F2_Ex (O2RE19)]]-BA44)*150000&lt;=0,"",(RD[[#This Row],[33 kV_F2_Ex (O2RE19)]]-BA44)*150000)</f>
        <v/>
      </c>
      <c r="BH45" s="153">
        <f>IF((RD[[#This Row],[33kV_OG2_Ex (O2RE19)]]-BB44)*1000&lt;=0,0,(RD[[#This Row],[33kV_OG2_Ex (O2RE19)]]-BB44)*1000)</f>
        <v>0</v>
      </c>
      <c r="BI45" s="153">
        <f>IF((RD[[#This Row],[33kV_Aux2_Im (O2RE19)]]-BC44)*1000&lt;0,"",(RD[[#This Row],[33kV_Aux2_Im (O2RE19)]]-BC44)*1000)</f>
        <v>0</v>
      </c>
      <c r="BJ45" s="153">
        <f>IF((RD[[#This Row],[33kV_Aux1_Im (O2RE9)]]-AZ44)*1000&lt;0,"",(RD[[#This Row],[33kV_Aux1_Im (O2RE9)]]-AZ44)*1000)</f>
        <v>0</v>
      </c>
      <c r="BK45" s="153">
        <f>SUM(RD[[#This Row],[33kV_OG1_O2RE9_Energy (KWh)]],RD[[#This Row],[33kV_OG2_O2RE19_Energy (KWh)]])</f>
        <v>0</v>
      </c>
      <c r="BL45" s="62" t="str">
        <f>IFERROR(RD[[#This Row],[33 kV Total Export (KWH)]]/RD[[#This Row],[Inv Total Gneration (MWh)]]-1,"")</f>
        <v/>
      </c>
      <c r="BM45" s="63">
        <f>IFERROR((RD[[#This Row],[Sunset Time (POA&lt;20 W/m2)]]-RD[[#This Row],[Sunrise Time (POA&gt;20 W/m2)]])*24,0)</f>
        <v>0</v>
      </c>
      <c r="BN45" s="64">
        <f>SUM(RD[[#This Row],[33kV_OG1_O2RE9_Energy (KWh)]],RD[[#This Row],[33kV_OG2_O2RE19_Energy (KWh)]])</f>
        <v>0</v>
      </c>
      <c r="BO45" s="64">
        <f>IFERROR(RD[[#This Row],[ Export (33 kV)]]*(1-RD[[#This Row],[33 kV Line Loss (%)]]),RD[[#This Row],[ Export (33 kV)]])</f>
        <v>0</v>
      </c>
      <c r="BP45" s="216"/>
      <c r="BQ45" s="121"/>
      <c r="BR45" s="121"/>
      <c r="BS45" t="str">
        <f>IFERROR(RD[[#This Row],[E_AC (WPR)]]/RD[[#This Row],[E_DC (WPR)]],"")</f>
        <v/>
      </c>
    </row>
    <row r="46" spans="1:71">
      <c r="A46" s="147">
        <f t="shared" si="69"/>
        <v>45880</v>
      </c>
      <c r="B46" s="150">
        <f>YEAR(RD[[#This Row],[Date]])+IF(MONTH(RD[[#This Row],[Date]])&gt;=4,1,0)</f>
        <v>2026</v>
      </c>
      <c r="C46" s="150">
        <f>YEAR(RD[[#This Row],[Date]])</f>
        <v>2025</v>
      </c>
      <c r="D46" s="151">
        <f t="shared" si="68"/>
        <v>45870</v>
      </c>
      <c r="E46" s="150">
        <f>DAY(EOMONTH(RD[[#This Row],[Date]],0))</f>
        <v>31</v>
      </c>
      <c r="F46" s="121"/>
      <c r="G46" s="121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66"/>
      <c r="AF46" s="166"/>
      <c r="AG46" s="166"/>
      <c r="AH46" s="166"/>
      <c r="AI46" s="166"/>
      <c r="AJ46" s="166"/>
      <c r="AK46" s="166"/>
      <c r="AL46" s="166"/>
      <c r="AM46" s="58"/>
      <c r="AN46" s="58"/>
      <c r="AO46" s="58"/>
      <c r="AP46" s="58"/>
      <c r="AQ46" s="58"/>
      <c r="AR46" s="58"/>
      <c r="AS46" s="58"/>
      <c r="AT46" s="58"/>
      <c r="AU46" s="60">
        <f>SUM(RD[[#This Row],[IS2Inv1M1]:[IS4Inv1M3]])</f>
        <v>0</v>
      </c>
      <c r="AV46" s="60">
        <f>SUM(RD[[#This Row],[IS5Inv1M1]:[IS5Inv2M3]])</f>
        <v>0</v>
      </c>
      <c r="AW46" s="60">
        <f>SUM(RD[[#This Row],[O2RE9]:[O2RE192]])</f>
        <v>0</v>
      </c>
      <c r="AX46" s="152"/>
      <c r="AY46" s="152"/>
      <c r="AZ46" s="152"/>
      <c r="BA46" s="152"/>
      <c r="BB46" s="152"/>
      <c r="BC46" s="152"/>
      <c r="BD46" s="153" t="str">
        <f>IF((RD[[#This Row],[33 kV_F1_Ex (O2RE9)]]-AX45)*150000&lt;=0,"",(RD[[#This Row],[33 kV_F1_Ex (O2RE9)]]-AX45)*150000)</f>
        <v/>
      </c>
      <c r="BE46" s="153">
        <f>IF((RD[[#This Row],[33kV_OG1_Ex (O2RE9)]]-AY45)*1000&lt;=0,0,(RD[[#This Row],[33kV_OG1_Ex (O2RE9)]]-AY45)*1000)</f>
        <v>0</v>
      </c>
      <c r="BF46" s="153"/>
      <c r="BG46" s="153" t="str">
        <f>IF((RD[[#This Row],[33 kV_F2_Ex (O2RE19)]]-BA45)*150000&lt;=0,"",(RD[[#This Row],[33 kV_F2_Ex (O2RE19)]]-BA45)*150000)</f>
        <v/>
      </c>
      <c r="BH46" s="153">
        <f>IF((RD[[#This Row],[33kV_OG2_Ex (O2RE19)]]-BB45)*1000&lt;=0,0,(RD[[#This Row],[33kV_OG2_Ex (O2RE19)]]-BB45)*1000)</f>
        <v>0</v>
      </c>
      <c r="BI46" s="153">
        <f>IF((RD[[#This Row],[33kV_Aux2_Im (O2RE19)]]-BC45)*1000&lt;0,"",(RD[[#This Row],[33kV_Aux2_Im (O2RE19)]]-BC45)*1000)</f>
        <v>0</v>
      </c>
      <c r="BJ46" s="153">
        <f>IF((RD[[#This Row],[33kV_Aux1_Im (O2RE9)]]-AZ45)*1000&lt;0,"",(RD[[#This Row],[33kV_Aux1_Im (O2RE9)]]-AZ45)*1000)</f>
        <v>0</v>
      </c>
      <c r="BK46" s="153">
        <f>SUM(RD[[#This Row],[33kV_OG1_O2RE9_Energy (KWh)]],RD[[#This Row],[33kV_OG2_O2RE19_Energy (KWh)]])</f>
        <v>0</v>
      </c>
      <c r="BL46" s="62" t="str">
        <f>IFERROR(RD[[#This Row],[33 kV Total Export (KWH)]]/RD[[#This Row],[Inv Total Gneration (MWh)]]-1,"")</f>
        <v/>
      </c>
      <c r="BM46" s="63">
        <f>IFERROR((RD[[#This Row],[Sunset Time (POA&lt;20 W/m2)]]-RD[[#This Row],[Sunrise Time (POA&gt;20 W/m2)]])*24,0)</f>
        <v>0</v>
      </c>
      <c r="BN46" s="64">
        <f>SUM(RD[[#This Row],[33kV_OG1_O2RE9_Energy (KWh)]],RD[[#This Row],[33kV_OG2_O2RE19_Energy (KWh)]])</f>
        <v>0</v>
      </c>
      <c r="BO46" s="64">
        <f>IFERROR(RD[[#This Row],[ Export (33 kV)]]*(1-RD[[#This Row],[33 kV Line Loss (%)]]),RD[[#This Row],[ Export (33 kV)]])</f>
        <v>0</v>
      </c>
      <c r="BP46" s="216"/>
      <c r="BQ46" s="121"/>
      <c r="BR46" s="121"/>
      <c r="BS46" t="str">
        <f>IFERROR(RD[[#This Row],[E_AC (WPR)]]/RD[[#This Row],[E_DC (WPR)]],"")</f>
        <v/>
      </c>
    </row>
    <row r="47" spans="1:71">
      <c r="A47" s="147">
        <f t="shared" si="69"/>
        <v>45881</v>
      </c>
      <c r="B47" s="150">
        <f>YEAR(RD[[#This Row],[Date]])+IF(MONTH(RD[[#This Row],[Date]])&gt;=4,1,0)</f>
        <v>2026</v>
      </c>
      <c r="C47" s="150">
        <f>YEAR(RD[[#This Row],[Date]])</f>
        <v>2025</v>
      </c>
      <c r="D47" s="151">
        <f t="shared" si="68"/>
        <v>45870</v>
      </c>
      <c r="E47" s="150">
        <f>DAY(EOMONTH(RD[[#This Row],[Date]],0))</f>
        <v>31</v>
      </c>
      <c r="F47" s="121"/>
      <c r="G47" s="121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66"/>
      <c r="AF47" s="166"/>
      <c r="AG47" s="166"/>
      <c r="AH47" s="166"/>
      <c r="AI47" s="166"/>
      <c r="AJ47" s="166"/>
      <c r="AK47" s="166"/>
      <c r="AL47" s="166"/>
      <c r="AM47" s="58"/>
      <c r="AN47" s="58"/>
      <c r="AO47" s="58"/>
      <c r="AP47" s="58"/>
      <c r="AQ47" s="58"/>
      <c r="AR47" s="58"/>
      <c r="AS47" s="58"/>
      <c r="AT47" s="58"/>
      <c r="AU47" s="60">
        <f>SUM(RD[[#This Row],[IS2Inv1M1]:[IS4Inv1M3]])</f>
        <v>0</v>
      </c>
      <c r="AV47" s="60">
        <f>SUM(RD[[#This Row],[IS5Inv1M1]:[IS5Inv2M3]])</f>
        <v>0</v>
      </c>
      <c r="AW47" s="60">
        <f>SUM(RD[[#This Row],[O2RE9]:[O2RE192]])</f>
        <v>0</v>
      </c>
      <c r="AX47" s="152"/>
      <c r="AY47" s="152"/>
      <c r="AZ47" s="152"/>
      <c r="BA47" s="152"/>
      <c r="BB47" s="152"/>
      <c r="BC47" s="152"/>
      <c r="BD47" s="153" t="str">
        <f>IF((RD[[#This Row],[33 kV_F1_Ex (O2RE9)]]-AX46)*150000&lt;=0,"",(RD[[#This Row],[33 kV_F1_Ex (O2RE9)]]-AX46)*150000)</f>
        <v/>
      </c>
      <c r="BE47" s="153">
        <f>IF((RD[[#This Row],[33kV_OG1_Ex (O2RE9)]]-AY46)*1000&lt;=0,0,(RD[[#This Row],[33kV_OG1_Ex (O2RE9)]]-AY46)*1000)</f>
        <v>0</v>
      </c>
      <c r="BF47" s="153"/>
      <c r="BG47" s="153" t="str">
        <f>IF((RD[[#This Row],[33 kV_F2_Ex (O2RE19)]]-BA46)*150000&lt;=0,"",(RD[[#This Row],[33 kV_F2_Ex (O2RE19)]]-BA46)*150000)</f>
        <v/>
      </c>
      <c r="BH47" s="153">
        <f>IF((RD[[#This Row],[33kV_OG2_Ex (O2RE19)]]-BB46)*1000&lt;=0,0,(RD[[#This Row],[33kV_OG2_Ex (O2RE19)]]-BB46)*1000)</f>
        <v>0</v>
      </c>
      <c r="BI47" s="153">
        <f>IF((RD[[#This Row],[33kV_Aux2_Im (O2RE19)]]-BC46)*1000&lt;0,"",(RD[[#This Row],[33kV_Aux2_Im (O2RE19)]]-BC46)*1000)</f>
        <v>0</v>
      </c>
      <c r="BJ47" s="153">
        <f>IF((RD[[#This Row],[33kV_Aux1_Im (O2RE9)]]-AZ46)*1000&lt;0,"",(RD[[#This Row],[33kV_Aux1_Im (O2RE9)]]-AZ46)*1000)</f>
        <v>0</v>
      </c>
      <c r="BK47" s="153">
        <f>SUM(RD[[#This Row],[33kV_OG1_O2RE9_Energy (KWh)]],RD[[#This Row],[33kV_OG2_O2RE19_Energy (KWh)]])</f>
        <v>0</v>
      </c>
      <c r="BL47" s="62" t="str">
        <f>IFERROR(RD[[#This Row],[33 kV Total Export (KWH)]]/RD[[#This Row],[Inv Total Gneration (MWh)]]-1,"")</f>
        <v/>
      </c>
      <c r="BM47" s="63">
        <f>IFERROR((RD[[#This Row],[Sunset Time (POA&lt;20 W/m2)]]-RD[[#This Row],[Sunrise Time (POA&gt;20 W/m2)]])*24,0)</f>
        <v>0</v>
      </c>
      <c r="BN47" s="64">
        <f>SUM(RD[[#This Row],[33kV_OG1_O2RE9_Energy (KWh)]],RD[[#This Row],[33kV_OG2_O2RE19_Energy (KWh)]])</f>
        <v>0</v>
      </c>
      <c r="BO47" s="64">
        <f>IFERROR(RD[[#This Row],[ Export (33 kV)]]*(1-RD[[#This Row],[33 kV Line Loss (%)]]),RD[[#This Row],[ Export (33 kV)]])</f>
        <v>0</v>
      </c>
      <c r="BP47" s="216"/>
      <c r="BQ47" s="121"/>
      <c r="BR47" s="121"/>
      <c r="BS47" t="str">
        <f>IFERROR(RD[[#This Row],[E_AC (WPR)]]/RD[[#This Row],[E_DC (WPR)]],"")</f>
        <v/>
      </c>
    </row>
    <row r="48" spans="1:71">
      <c r="A48" s="147">
        <f t="shared" si="69"/>
        <v>45882</v>
      </c>
      <c r="B48" s="150">
        <f>YEAR(RD[[#This Row],[Date]])+IF(MONTH(RD[[#This Row],[Date]])&gt;=4,1,0)</f>
        <v>2026</v>
      </c>
      <c r="C48" s="150">
        <f>YEAR(RD[[#This Row],[Date]])</f>
        <v>2025</v>
      </c>
      <c r="D48" s="151">
        <f t="shared" si="68"/>
        <v>45870</v>
      </c>
      <c r="E48" s="150">
        <f>DAY(EOMONTH(RD[[#This Row],[Date]],0))</f>
        <v>31</v>
      </c>
      <c r="F48" s="121"/>
      <c r="G48" s="121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66"/>
      <c r="AF48" s="166"/>
      <c r="AG48" s="166"/>
      <c r="AH48" s="166"/>
      <c r="AI48" s="166"/>
      <c r="AJ48" s="166"/>
      <c r="AK48" s="166"/>
      <c r="AL48" s="166"/>
      <c r="AM48" s="58"/>
      <c r="AN48" s="58"/>
      <c r="AO48" s="58"/>
      <c r="AP48" s="58"/>
      <c r="AQ48" s="58"/>
      <c r="AR48" s="58"/>
      <c r="AS48" s="58"/>
      <c r="AT48" s="58"/>
      <c r="AU48" s="60">
        <f>SUM(RD[[#This Row],[IS2Inv1M1]:[IS4Inv1M3]])</f>
        <v>0</v>
      </c>
      <c r="AV48" s="60">
        <f>SUM(RD[[#This Row],[IS5Inv1M1]:[IS5Inv2M3]])</f>
        <v>0</v>
      </c>
      <c r="AW48" s="60">
        <f>SUM(RD[[#This Row],[O2RE9]:[O2RE192]])</f>
        <v>0</v>
      </c>
      <c r="AX48" s="152"/>
      <c r="AY48" s="152"/>
      <c r="AZ48" s="152"/>
      <c r="BA48" s="152"/>
      <c r="BB48" s="152"/>
      <c r="BC48" s="152"/>
      <c r="BD48" s="153" t="str">
        <f>IF((RD[[#This Row],[33 kV_F1_Ex (O2RE9)]]-AX47)*150000&lt;=0,"",(RD[[#This Row],[33 kV_F1_Ex (O2RE9)]]-AX47)*150000)</f>
        <v/>
      </c>
      <c r="BE48" s="153">
        <f>IF((RD[[#This Row],[33kV_OG1_Ex (O2RE9)]]-AY47)*1000&lt;=0,0,(RD[[#This Row],[33kV_OG1_Ex (O2RE9)]]-AY47)*1000)</f>
        <v>0</v>
      </c>
      <c r="BF48" s="153"/>
      <c r="BG48" s="153" t="str">
        <f>IF((RD[[#This Row],[33 kV_F2_Ex (O2RE19)]]-BA47)*150000&lt;=0,"",(RD[[#This Row],[33 kV_F2_Ex (O2RE19)]]-BA47)*150000)</f>
        <v/>
      </c>
      <c r="BH48" s="153">
        <f>IF((RD[[#This Row],[33kV_OG2_Ex (O2RE19)]]-BB47)*1000&lt;=0,0,(RD[[#This Row],[33kV_OG2_Ex (O2RE19)]]-BB47)*1000)</f>
        <v>0</v>
      </c>
      <c r="BI48" s="153">
        <f>IF((RD[[#This Row],[33kV_Aux2_Im (O2RE19)]]-BC47)*1000&lt;0,"",(RD[[#This Row],[33kV_Aux2_Im (O2RE19)]]-BC47)*1000)</f>
        <v>0</v>
      </c>
      <c r="BJ48" s="153">
        <f>IF((RD[[#This Row],[33kV_Aux1_Im (O2RE9)]]-AZ47)*1000&lt;0,"",(RD[[#This Row],[33kV_Aux1_Im (O2RE9)]]-AZ47)*1000)</f>
        <v>0</v>
      </c>
      <c r="BK48" s="153">
        <f>SUM(RD[[#This Row],[33kV_OG1_O2RE9_Energy (KWh)]],RD[[#This Row],[33kV_OG2_O2RE19_Energy (KWh)]])</f>
        <v>0</v>
      </c>
      <c r="BL48" s="62" t="str">
        <f>IFERROR(RD[[#This Row],[33 kV Total Export (KWH)]]/RD[[#This Row],[Inv Total Gneration (MWh)]]-1,"")</f>
        <v/>
      </c>
      <c r="BM48" s="63">
        <f>IFERROR((RD[[#This Row],[Sunset Time (POA&lt;20 W/m2)]]-RD[[#This Row],[Sunrise Time (POA&gt;20 W/m2)]])*24,0)</f>
        <v>0</v>
      </c>
      <c r="BN48" s="64">
        <f>SUM(RD[[#This Row],[33kV_OG1_O2RE9_Energy (KWh)]],RD[[#This Row],[33kV_OG2_O2RE19_Energy (KWh)]])</f>
        <v>0</v>
      </c>
      <c r="BO48" s="64">
        <f>IFERROR(RD[[#This Row],[ Export (33 kV)]]*(1-RD[[#This Row],[33 kV Line Loss (%)]]),RD[[#This Row],[ Export (33 kV)]])</f>
        <v>0</v>
      </c>
      <c r="BP48" s="216"/>
      <c r="BQ48" s="121"/>
      <c r="BR48" s="121"/>
      <c r="BS48" t="str">
        <f>IFERROR(RD[[#This Row],[E_AC (WPR)]]/RD[[#This Row],[E_DC (WPR)]],"")</f>
        <v/>
      </c>
    </row>
    <row r="49" spans="1:71">
      <c r="A49" s="147">
        <f t="shared" si="69"/>
        <v>45883</v>
      </c>
      <c r="B49" s="150">
        <f>YEAR(RD[[#This Row],[Date]])+IF(MONTH(RD[[#This Row],[Date]])&gt;=4,1,0)</f>
        <v>2026</v>
      </c>
      <c r="C49" s="150">
        <f>YEAR(RD[[#This Row],[Date]])</f>
        <v>2025</v>
      </c>
      <c r="D49" s="151">
        <f t="shared" si="68"/>
        <v>45870</v>
      </c>
      <c r="E49" s="150">
        <f>DAY(EOMONTH(RD[[#This Row],[Date]],0))</f>
        <v>31</v>
      </c>
      <c r="F49" s="121"/>
      <c r="G49" s="121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66"/>
      <c r="AF49" s="166"/>
      <c r="AG49" s="166"/>
      <c r="AH49" s="166"/>
      <c r="AI49" s="166"/>
      <c r="AJ49" s="166"/>
      <c r="AK49" s="166"/>
      <c r="AL49" s="166"/>
      <c r="AM49" s="58"/>
      <c r="AN49" s="58"/>
      <c r="AO49" s="58"/>
      <c r="AP49" s="58"/>
      <c r="AQ49" s="58"/>
      <c r="AR49" s="58"/>
      <c r="AS49" s="58"/>
      <c r="AT49" s="58"/>
      <c r="AU49" s="60">
        <f>SUM(RD[[#This Row],[IS2Inv1M1]:[IS4Inv1M3]])</f>
        <v>0</v>
      </c>
      <c r="AV49" s="60">
        <f>SUM(RD[[#This Row],[IS5Inv1M1]:[IS5Inv2M3]])</f>
        <v>0</v>
      </c>
      <c r="AW49" s="60">
        <f>SUM(RD[[#This Row],[O2RE9]:[O2RE192]])</f>
        <v>0</v>
      </c>
      <c r="AX49" s="152"/>
      <c r="AY49" s="152"/>
      <c r="AZ49" s="152"/>
      <c r="BA49" s="152"/>
      <c r="BB49" s="152"/>
      <c r="BC49" s="152"/>
      <c r="BD49" s="153" t="str">
        <f>IF((RD[[#This Row],[33 kV_F1_Ex (O2RE9)]]-AX48)*150000&lt;=0,"",(RD[[#This Row],[33 kV_F1_Ex (O2RE9)]]-AX48)*150000)</f>
        <v/>
      </c>
      <c r="BE49" s="153">
        <f>IF((RD[[#This Row],[33kV_OG1_Ex (O2RE9)]]-AY48)*1000&lt;=0,0,(RD[[#This Row],[33kV_OG1_Ex (O2RE9)]]-AY48)*1000)</f>
        <v>0</v>
      </c>
      <c r="BF49" s="153"/>
      <c r="BG49" s="153" t="str">
        <f>IF((RD[[#This Row],[33 kV_F2_Ex (O2RE19)]]-BA48)*150000&lt;=0,"",(RD[[#This Row],[33 kV_F2_Ex (O2RE19)]]-BA48)*150000)</f>
        <v/>
      </c>
      <c r="BH49" s="153">
        <f>IF((RD[[#This Row],[33kV_OG2_Ex (O2RE19)]]-BB48)*1000&lt;=0,0,(RD[[#This Row],[33kV_OG2_Ex (O2RE19)]]-BB48)*1000)</f>
        <v>0</v>
      </c>
      <c r="BI49" s="153">
        <f>IF((RD[[#This Row],[33kV_Aux2_Im (O2RE19)]]-BC48)*1000&lt;0,"",(RD[[#This Row],[33kV_Aux2_Im (O2RE19)]]-BC48)*1000)</f>
        <v>0</v>
      </c>
      <c r="BJ49" s="153">
        <f>IF((RD[[#This Row],[33kV_Aux1_Im (O2RE9)]]-AZ48)*1000&lt;0,"",(RD[[#This Row],[33kV_Aux1_Im (O2RE9)]]-AZ48)*1000)</f>
        <v>0</v>
      </c>
      <c r="BK49" s="153">
        <f>SUM(RD[[#This Row],[33kV_OG1_O2RE9_Energy (KWh)]],RD[[#This Row],[33kV_OG2_O2RE19_Energy (KWh)]])</f>
        <v>0</v>
      </c>
      <c r="BL49" s="62" t="str">
        <f>IFERROR(RD[[#This Row],[33 kV Total Export (KWH)]]/RD[[#This Row],[Inv Total Gneration (MWh)]]-1,"")</f>
        <v/>
      </c>
      <c r="BM49" s="63">
        <f>IFERROR((RD[[#This Row],[Sunset Time (POA&lt;20 W/m2)]]-RD[[#This Row],[Sunrise Time (POA&gt;20 W/m2)]])*24,0)</f>
        <v>0</v>
      </c>
      <c r="BN49" s="64">
        <f>SUM(RD[[#This Row],[33kV_OG1_O2RE9_Energy (KWh)]],RD[[#This Row],[33kV_OG2_O2RE19_Energy (KWh)]])</f>
        <v>0</v>
      </c>
      <c r="BO49" s="64">
        <f>IFERROR(RD[[#This Row],[ Export (33 kV)]]*(1-RD[[#This Row],[33 kV Line Loss (%)]]),RD[[#This Row],[ Export (33 kV)]])</f>
        <v>0</v>
      </c>
      <c r="BP49" s="216"/>
      <c r="BQ49" s="121"/>
      <c r="BR49" s="121"/>
      <c r="BS49" t="str">
        <f>IFERROR(RD[[#This Row],[E_AC (WPR)]]/RD[[#This Row],[E_DC (WPR)]],"")</f>
        <v/>
      </c>
    </row>
    <row r="50" spans="1:71">
      <c r="A50" s="147">
        <f t="shared" si="69"/>
        <v>45884</v>
      </c>
      <c r="B50" s="150">
        <f>YEAR(RD[[#This Row],[Date]])+IF(MONTH(RD[[#This Row],[Date]])&gt;=4,1,0)</f>
        <v>2026</v>
      </c>
      <c r="C50" s="150">
        <f>YEAR(RD[[#This Row],[Date]])</f>
        <v>2025</v>
      </c>
      <c r="D50" s="151">
        <f t="shared" si="68"/>
        <v>45870</v>
      </c>
      <c r="E50" s="150">
        <f>DAY(EOMONTH(RD[[#This Row],[Date]],0))</f>
        <v>31</v>
      </c>
      <c r="F50" s="121"/>
      <c r="G50" s="121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66"/>
      <c r="AF50" s="166"/>
      <c r="AG50" s="166"/>
      <c r="AH50" s="166"/>
      <c r="AI50" s="166"/>
      <c r="AJ50" s="166"/>
      <c r="AK50" s="166"/>
      <c r="AL50" s="166"/>
      <c r="AM50" s="58"/>
      <c r="AN50" s="58"/>
      <c r="AO50" s="58"/>
      <c r="AP50" s="58"/>
      <c r="AQ50" s="58"/>
      <c r="AR50" s="58"/>
      <c r="AS50" s="58"/>
      <c r="AT50" s="58"/>
      <c r="AU50" s="60">
        <f>SUM(RD[[#This Row],[IS2Inv1M1]:[IS4Inv1M3]])</f>
        <v>0</v>
      </c>
      <c r="AV50" s="60">
        <f>SUM(RD[[#This Row],[IS5Inv1M1]:[IS5Inv2M3]])</f>
        <v>0</v>
      </c>
      <c r="AW50" s="60">
        <f>SUM(RD[[#This Row],[O2RE9]:[O2RE192]])</f>
        <v>0</v>
      </c>
      <c r="AX50" s="152"/>
      <c r="AY50" s="152"/>
      <c r="AZ50" s="152"/>
      <c r="BA50" s="152"/>
      <c r="BB50" s="152"/>
      <c r="BC50" s="152"/>
      <c r="BD50" s="153" t="str">
        <f>IF((RD[[#This Row],[33 kV_F1_Ex (O2RE9)]]-AX49)*150000&lt;=0,"",(RD[[#This Row],[33 kV_F1_Ex (O2RE9)]]-AX49)*150000)</f>
        <v/>
      </c>
      <c r="BE50" s="153">
        <f>IF((RD[[#This Row],[33kV_OG1_Ex (O2RE9)]]-AY49)*1000&lt;=0,0,(RD[[#This Row],[33kV_OG1_Ex (O2RE9)]]-AY49)*1000)</f>
        <v>0</v>
      </c>
      <c r="BF50" s="153"/>
      <c r="BG50" s="153" t="str">
        <f>IF((RD[[#This Row],[33 kV_F2_Ex (O2RE19)]]-BA49)*150000&lt;=0,"",(RD[[#This Row],[33 kV_F2_Ex (O2RE19)]]-BA49)*150000)</f>
        <v/>
      </c>
      <c r="BH50" s="153">
        <f>IF((RD[[#This Row],[33kV_OG2_Ex (O2RE19)]]-BB49)*1000&lt;=0,0,(RD[[#This Row],[33kV_OG2_Ex (O2RE19)]]-BB49)*1000)</f>
        <v>0</v>
      </c>
      <c r="BI50" s="153">
        <f>IF((RD[[#This Row],[33kV_Aux2_Im (O2RE19)]]-BC49)*1000&lt;0,"",(RD[[#This Row],[33kV_Aux2_Im (O2RE19)]]-BC49)*1000)</f>
        <v>0</v>
      </c>
      <c r="BJ50" s="153">
        <f>IF((RD[[#This Row],[33kV_Aux1_Im (O2RE9)]]-AZ49)*1000&lt;0,"",(RD[[#This Row],[33kV_Aux1_Im (O2RE9)]]-AZ49)*1000)</f>
        <v>0</v>
      </c>
      <c r="BK50" s="153">
        <f>SUM(RD[[#This Row],[33kV_OG1_O2RE9_Energy (KWh)]],RD[[#This Row],[33kV_OG2_O2RE19_Energy (KWh)]])</f>
        <v>0</v>
      </c>
      <c r="BL50" s="62" t="str">
        <f>IFERROR(RD[[#This Row],[33 kV Total Export (KWH)]]/RD[[#This Row],[Inv Total Gneration (MWh)]]-1,"")</f>
        <v/>
      </c>
      <c r="BM50" s="63">
        <f>IFERROR((RD[[#This Row],[Sunset Time (POA&lt;20 W/m2)]]-RD[[#This Row],[Sunrise Time (POA&gt;20 W/m2)]])*24,0)</f>
        <v>0</v>
      </c>
      <c r="BN50" s="64">
        <f>SUM(RD[[#This Row],[33kV_OG1_O2RE9_Energy (KWh)]],RD[[#This Row],[33kV_OG2_O2RE19_Energy (KWh)]])</f>
        <v>0</v>
      </c>
      <c r="BO50" s="64">
        <f>IFERROR(RD[[#This Row],[ Export (33 kV)]]*(1-RD[[#This Row],[33 kV Line Loss (%)]]),RD[[#This Row],[ Export (33 kV)]])</f>
        <v>0</v>
      </c>
      <c r="BP50" s="216"/>
      <c r="BQ50" s="121"/>
      <c r="BR50" s="121"/>
      <c r="BS50" t="str">
        <f>IFERROR(RD[[#This Row],[E_AC (WPR)]]/RD[[#This Row],[E_DC (WPR)]],"")</f>
        <v/>
      </c>
    </row>
    <row r="51" spans="1:71">
      <c r="A51" s="147">
        <f t="shared" si="69"/>
        <v>45885</v>
      </c>
      <c r="B51" s="150">
        <f>YEAR(RD[[#This Row],[Date]])+IF(MONTH(RD[[#This Row],[Date]])&gt;=4,1,0)</f>
        <v>2026</v>
      </c>
      <c r="C51" s="150">
        <f>YEAR(RD[[#This Row],[Date]])</f>
        <v>2025</v>
      </c>
      <c r="D51" s="151">
        <f t="shared" si="68"/>
        <v>45870</v>
      </c>
      <c r="E51" s="150">
        <f>DAY(EOMONTH(RD[[#This Row],[Date]],0))</f>
        <v>31</v>
      </c>
      <c r="F51" s="121"/>
      <c r="G51" s="121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66"/>
      <c r="AF51" s="166"/>
      <c r="AG51" s="166"/>
      <c r="AH51" s="166"/>
      <c r="AI51" s="166"/>
      <c r="AJ51" s="166"/>
      <c r="AK51" s="166"/>
      <c r="AL51" s="166"/>
      <c r="AM51" s="58"/>
      <c r="AN51" s="58"/>
      <c r="AO51" s="58"/>
      <c r="AP51" s="58"/>
      <c r="AQ51" s="58"/>
      <c r="AR51" s="58"/>
      <c r="AS51" s="58"/>
      <c r="AT51" s="58"/>
      <c r="AU51" s="60">
        <f>SUM(RD[[#This Row],[IS2Inv1M1]:[IS4Inv1M3]])</f>
        <v>0</v>
      </c>
      <c r="AV51" s="60">
        <f>SUM(RD[[#This Row],[IS5Inv1M1]:[IS5Inv2M3]])</f>
        <v>0</v>
      </c>
      <c r="AW51" s="60">
        <f>SUM(RD[[#This Row],[O2RE9]:[O2RE192]])</f>
        <v>0</v>
      </c>
      <c r="AX51" s="152"/>
      <c r="AY51" s="152"/>
      <c r="AZ51" s="152"/>
      <c r="BA51" s="152"/>
      <c r="BB51" s="152"/>
      <c r="BC51" s="152"/>
      <c r="BD51" s="153" t="str">
        <f>IF((RD[[#This Row],[33 kV_F1_Ex (O2RE9)]]-AX50)*150000&lt;=0,"",(RD[[#This Row],[33 kV_F1_Ex (O2RE9)]]-AX50)*150000)</f>
        <v/>
      </c>
      <c r="BE51" s="153">
        <f>IF((RD[[#This Row],[33kV_OG1_Ex (O2RE9)]]-AY50)*1000&lt;=0,0,(RD[[#This Row],[33kV_OG1_Ex (O2RE9)]]-AY50)*1000)</f>
        <v>0</v>
      </c>
      <c r="BF51" s="153"/>
      <c r="BG51" s="153" t="str">
        <f>IF((RD[[#This Row],[33 kV_F2_Ex (O2RE19)]]-BA50)*150000&lt;=0,"",(RD[[#This Row],[33 kV_F2_Ex (O2RE19)]]-BA50)*150000)</f>
        <v/>
      </c>
      <c r="BH51" s="153">
        <f>IF((RD[[#This Row],[33kV_OG2_Ex (O2RE19)]]-BB50)*1000&lt;=0,0,(RD[[#This Row],[33kV_OG2_Ex (O2RE19)]]-BB50)*1000)</f>
        <v>0</v>
      </c>
      <c r="BI51" s="153">
        <f>IF((RD[[#This Row],[33kV_Aux2_Im (O2RE19)]]-BC50)*1000&lt;0,"",(RD[[#This Row],[33kV_Aux2_Im (O2RE19)]]-BC50)*1000)</f>
        <v>0</v>
      </c>
      <c r="BJ51" s="153">
        <f>IF((RD[[#This Row],[33kV_Aux1_Im (O2RE9)]]-AZ50)*1000&lt;0,"",(RD[[#This Row],[33kV_Aux1_Im (O2RE9)]]-AZ50)*1000)</f>
        <v>0</v>
      </c>
      <c r="BK51" s="153">
        <f>SUM(RD[[#This Row],[33kV_OG1_O2RE9_Energy (KWh)]],RD[[#This Row],[33kV_OG2_O2RE19_Energy (KWh)]])</f>
        <v>0</v>
      </c>
      <c r="BL51" s="62" t="str">
        <f>IFERROR(RD[[#This Row],[33 kV Total Export (KWH)]]/RD[[#This Row],[Inv Total Gneration (MWh)]]-1,"")</f>
        <v/>
      </c>
      <c r="BM51" s="63">
        <f>IFERROR((RD[[#This Row],[Sunset Time (POA&lt;20 W/m2)]]-RD[[#This Row],[Sunrise Time (POA&gt;20 W/m2)]])*24,0)</f>
        <v>0</v>
      </c>
      <c r="BN51" s="64">
        <f>SUM(RD[[#This Row],[33kV_OG1_O2RE9_Energy (KWh)]],RD[[#This Row],[33kV_OG2_O2RE19_Energy (KWh)]])</f>
        <v>0</v>
      </c>
      <c r="BO51" s="64">
        <f>IFERROR(RD[[#This Row],[ Export (33 kV)]]*(1-RD[[#This Row],[33 kV Line Loss (%)]]),RD[[#This Row],[ Export (33 kV)]])</f>
        <v>0</v>
      </c>
      <c r="BP51" s="216"/>
      <c r="BQ51" s="121"/>
      <c r="BR51" s="121"/>
      <c r="BS51" t="str">
        <f>IFERROR(RD[[#This Row],[E_AC (WPR)]]/RD[[#This Row],[E_DC (WPR)]],"")</f>
        <v/>
      </c>
    </row>
    <row r="52" spans="1:71">
      <c r="A52" s="147">
        <f t="shared" si="69"/>
        <v>45886</v>
      </c>
      <c r="B52" s="150">
        <f>YEAR(RD[[#This Row],[Date]])+IF(MONTH(RD[[#This Row],[Date]])&gt;=4,1,0)</f>
        <v>2026</v>
      </c>
      <c r="C52" s="150">
        <f>YEAR(RD[[#This Row],[Date]])</f>
        <v>2025</v>
      </c>
      <c r="D52" s="151">
        <f t="shared" si="68"/>
        <v>45870</v>
      </c>
      <c r="E52" s="150">
        <f>DAY(EOMONTH(RD[[#This Row],[Date]],0))</f>
        <v>31</v>
      </c>
      <c r="F52" s="121"/>
      <c r="G52" s="121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66"/>
      <c r="AF52" s="166"/>
      <c r="AG52" s="166"/>
      <c r="AH52" s="166"/>
      <c r="AI52" s="166"/>
      <c r="AJ52" s="166"/>
      <c r="AK52" s="166"/>
      <c r="AL52" s="166"/>
      <c r="AM52" s="58"/>
      <c r="AN52" s="58"/>
      <c r="AO52" s="58"/>
      <c r="AP52" s="58"/>
      <c r="AQ52" s="58"/>
      <c r="AR52" s="58"/>
      <c r="AS52" s="58"/>
      <c r="AT52" s="58"/>
      <c r="AU52" s="60">
        <f>SUM(RD[[#This Row],[IS2Inv1M1]:[IS4Inv1M3]])</f>
        <v>0</v>
      </c>
      <c r="AV52" s="60">
        <f>SUM(RD[[#This Row],[IS5Inv1M1]:[IS5Inv2M3]])</f>
        <v>0</v>
      </c>
      <c r="AW52" s="60">
        <f>SUM(RD[[#This Row],[O2RE9]:[O2RE192]])</f>
        <v>0</v>
      </c>
      <c r="AX52" s="152"/>
      <c r="AY52" s="152"/>
      <c r="AZ52" s="152"/>
      <c r="BA52" s="152"/>
      <c r="BB52" s="152"/>
      <c r="BC52" s="152"/>
      <c r="BD52" s="153" t="str">
        <f>IF((RD[[#This Row],[33 kV_F1_Ex (O2RE9)]]-AX51)*150000&lt;=0,"",(RD[[#This Row],[33 kV_F1_Ex (O2RE9)]]-AX51)*150000)</f>
        <v/>
      </c>
      <c r="BE52" s="153">
        <f>IF((RD[[#This Row],[33kV_OG1_Ex (O2RE9)]]-AY51)*1000&lt;=0,0,(RD[[#This Row],[33kV_OG1_Ex (O2RE9)]]-AY51)*1000)</f>
        <v>0</v>
      </c>
      <c r="BF52" s="153"/>
      <c r="BG52" s="153" t="str">
        <f>IF((RD[[#This Row],[33 kV_F2_Ex (O2RE19)]]-BA51)*150000&lt;=0,"",(RD[[#This Row],[33 kV_F2_Ex (O2RE19)]]-BA51)*150000)</f>
        <v/>
      </c>
      <c r="BH52" s="153">
        <f>IF((RD[[#This Row],[33kV_OG2_Ex (O2RE19)]]-BB51)*1000&lt;=0,0,(RD[[#This Row],[33kV_OG2_Ex (O2RE19)]]-BB51)*1000)</f>
        <v>0</v>
      </c>
      <c r="BI52" s="153">
        <f>IF((RD[[#This Row],[33kV_Aux2_Im (O2RE19)]]-BC51)*1000&lt;0,"",(RD[[#This Row],[33kV_Aux2_Im (O2RE19)]]-BC51)*1000)</f>
        <v>0</v>
      </c>
      <c r="BJ52" s="153">
        <f>IF((RD[[#This Row],[33kV_Aux1_Im (O2RE9)]]-AZ51)*1000&lt;0,"",(RD[[#This Row],[33kV_Aux1_Im (O2RE9)]]-AZ51)*1000)</f>
        <v>0</v>
      </c>
      <c r="BK52" s="153">
        <f>SUM(RD[[#This Row],[33kV_OG1_O2RE9_Energy (KWh)]],RD[[#This Row],[33kV_OG2_O2RE19_Energy (KWh)]])</f>
        <v>0</v>
      </c>
      <c r="BL52" s="62" t="str">
        <f>IFERROR(RD[[#This Row],[33 kV Total Export (KWH)]]/RD[[#This Row],[Inv Total Gneration (MWh)]]-1,"")</f>
        <v/>
      </c>
      <c r="BM52" s="63">
        <f>IFERROR((RD[[#This Row],[Sunset Time (POA&lt;20 W/m2)]]-RD[[#This Row],[Sunrise Time (POA&gt;20 W/m2)]])*24,0)</f>
        <v>0</v>
      </c>
      <c r="BN52" s="64">
        <f>SUM(RD[[#This Row],[33kV_OG1_O2RE9_Energy (KWh)]],RD[[#This Row],[33kV_OG2_O2RE19_Energy (KWh)]])</f>
        <v>0</v>
      </c>
      <c r="BO52" s="64">
        <f>IFERROR(RD[[#This Row],[ Export (33 kV)]]*(1-RD[[#This Row],[33 kV Line Loss (%)]]),RD[[#This Row],[ Export (33 kV)]])</f>
        <v>0</v>
      </c>
      <c r="BP52" s="216"/>
      <c r="BQ52" s="121"/>
      <c r="BR52" s="121"/>
      <c r="BS52" t="str">
        <f>IFERROR(RD[[#This Row],[E_AC (WPR)]]/RD[[#This Row],[E_DC (WPR)]],"")</f>
        <v/>
      </c>
    </row>
    <row r="53" spans="1:71">
      <c r="A53" s="147">
        <f t="shared" si="69"/>
        <v>45887</v>
      </c>
      <c r="B53" s="150">
        <f>YEAR(RD[[#This Row],[Date]])+IF(MONTH(RD[[#This Row],[Date]])&gt;=4,1,0)</f>
        <v>2026</v>
      </c>
      <c r="C53" s="150">
        <f>YEAR(RD[[#This Row],[Date]])</f>
        <v>2025</v>
      </c>
      <c r="D53" s="151">
        <f t="shared" si="68"/>
        <v>45870</v>
      </c>
      <c r="E53" s="150">
        <f>DAY(EOMONTH(RD[[#This Row],[Date]],0))</f>
        <v>31</v>
      </c>
      <c r="F53" s="121"/>
      <c r="G53" s="121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66"/>
      <c r="AF53" s="166"/>
      <c r="AG53" s="166"/>
      <c r="AH53" s="166"/>
      <c r="AI53" s="166"/>
      <c r="AJ53" s="166"/>
      <c r="AK53" s="166"/>
      <c r="AL53" s="166"/>
      <c r="AM53" s="58"/>
      <c r="AN53" s="58"/>
      <c r="AO53" s="58"/>
      <c r="AP53" s="58"/>
      <c r="AQ53" s="58"/>
      <c r="AR53" s="58"/>
      <c r="AS53" s="58"/>
      <c r="AT53" s="58"/>
      <c r="AU53" s="60">
        <f>SUM(RD[[#This Row],[IS2Inv1M1]:[IS4Inv1M3]])</f>
        <v>0</v>
      </c>
      <c r="AV53" s="60">
        <f>SUM(RD[[#This Row],[IS5Inv1M1]:[IS5Inv2M3]])</f>
        <v>0</v>
      </c>
      <c r="AW53" s="60">
        <f>SUM(RD[[#This Row],[O2RE9]:[O2RE192]])</f>
        <v>0</v>
      </c>
      <c r="AX53" s="152"/>
      <c r="AY53" s="152"/>
      <c r="AZ53" s="152"/>
      <c r="BA53" s="152"/>
      <c r="BB53" s="152"/>
      <c r="BC53" s="152"/>
      <c r="BD53" s="153" t="str">
        <f>IF((RD[[#This Row],[33 kV_F1_Ex (O2RE9)]]-AX52)*150000&lt;=0,"",(RD[[#This Row],[33 kV_F1_Ex (O2RE9)]]-AX52)*150000)</f>
        <v/>
      </c>
      <c r="BE53" s="153">
        <f>IF((RD[[#This Row],[33kV_OG1_Ex (O2RE9)]]-AY52)*1000&lt;=0,0,(RD[[#This Row],[33kV_OG1_Ex (O2RE9)]]-AY52)*1000)</f>
        <v>0</v>
      </c>
      <c r="BF53" s="153"/>
      <c r="BG53" s="153" t="str">
        <f>IF((RD[[#This Row],[33 kV_F2_Ex (O2RE19)]]-BA52)*150000&lt;=0,"",(RD[[#This Row],[33 kV_F2_Ex (O2RE19)]]-BA52)*150000)</f>
        <v/>
      </c>
      <c r="BH53" s="153">
        <f>IF((RD[[#This Row],[33kV_OG2_Ex (O2RE19)]]-BB52)*1000&lt;=0,0,(RD[[#This Row],[33kV_OG2_Ex (O2RE19)]]-BB52)*1000)</f>
        <v>0</v>
      </c>
      <c r="BI53" s="153">
        <f>IF((RD[[#This Row],[33kV_Aux2_Im (O2RE19)]]-BC52)*1000&lt;0,"",(RD[[#This Row],[33kV_Aux2_Im (O2RE19)]]-BC52)*1000)</f>
        <v>0</v>
      </c>
      <c r="BJ53" s="153">
        <f>IF((RD[[#This Row],[33kV_Aux1_Im (O2RE9)]]-AZ52)*1000&lt;0,"",(RD[[#This Row],[33kV_Aux1_Im (O2RE9)]]-AZ52)*1000)</f>
        <v>0</v>
      </c>
      <c r="BK53" s="153">
        <f>SUM(RD[[#This Row],[33kV_OG1_O2RE9_Energy (KWh)]],RD[[#This Row],[33kV_OG2_O2RE19_Energy (KWh)]])</f>
        <v>0</v>
      </c>
      <c r="BL53" s="62" t="str">
        <f>IFERROR(RD[[#This Row],[33 kV Total Export (KWH)]]/RD[[#This Row],[Inv Total Gneration (MWh)]]-1,"")</f>
        <v/>
      </c>
      <c r="BM53" s="63">
        <f>IFERROR((RD[[#This Row],[Sunset Time (POA&lt;20 W/m2)]]-RD[[#This Row],[Sunrise Time (POA&gt;20 W/m2)]])*24,0)</f>
        <v>0</v>
      </c>
      <c r="BN53" s="64">
        <f>SUM(RD[[#This Row],[33kV_OG1_O2RE9_Energy (KWh)]],RD[[#This Row],[33kV_OG2_O2RE19_Energy (KWh)]])</f>
        <v>0</v>
      </c>
      <c r="BO53" s="64">
        <f>IFERROR(RD[[#This Row],[ Export (33 kV)]]*(1-RD[[#This Row],[33 kV Line Loss (%)]]),RD[[#This Row],[ Export (33 kV)]])</f>
        <v>0</v>
      </c>
      <c r="BP53" s="216"/>
      <c r="BQ53" s="121"/>
      <c r="BR53" s="121"/>
      <c r="BS53" t="str">
        <f>IFERROR(RD[[#This Row],[E_AC (WPR)]]/RD[[#This Row],[E_DC (WPR)]],"")</f>
        <v/>
      </c>
    </row>
    <row r="54" spans="1:71">
      <c r="A54" s="147">
        <f t="shared" si="69"/>
        <v>45888</v>
      </c>
      <c r="B54" s="150">
        <f>YEAR(RD[[#This Row],[Date]])+IF(MONTH(RD[[#This Row],[Date]])&gt;=4,1,0)</f>
        <v>2026</v>
      </c>
      <c r="C54" s="150">
        <f>YEAR(RD[[#This Row],[Date]])</f>
        <v>2025</v>
      </c>
      <c r="D54" s="151">
        <f t="shared" si="68"/>
        <v>45870</v>
      </c>
      <c r="E54" s="150">
        <f>DAY(EOMONTH(RD[[#This Row],[Date]],0))</f>
        <v>31</v>
      </c>
      <c r="F54" s="121"/>
      <c r="G54" s="121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66"/>
      <c r="AF54" s="166"/>
      <c r="AG54" s="166"/>
      <c r="AH54" s="166"/>
      <c r="AI54" s="166"/>
      <c r="AJ54" s="166"/>
      <c r="AK54" s="166"/>
      <c r="AL54" s="166"/>
      <c r="AM54" s="58"/>
      <c r="AN54" s="58"/>
      <c r="AO54" s="58"/>
      <c r="AP54" s="58"/>
      <c r="AQ54" s="58"/>
      <c r="AR54" s="58"/>
      <c r="AS54" s="58"/>
      <c r="AT54" s="58"/>
      <c r="AU54" s="60">
        <f>SUM(RD[[#This Row],[IS2Inv1M1]:[IS4Inv1M3]])</f>
        <v>0</v>
      </c>
      <c r="AV54" s="60">
        <f>SUM(RD[[#This Row],[IS5Inv1M1]:[IS5Inv2M3]])</f>
        <v>0</v>
      </c>
      <c r="AW54" s="60">
        <f>SUM(RD[[#This Row],[O2RE9]:[O2RE192]])</f>
        <v>0</v>
      </c>
      <c r="AX54" s="152"/>
      <c r="AY54" s="152"/>
      <c r="AZ54" s="152"/>
      <c r="BA54" s="152"/>
      <c r="BB54" s="152"/>
      <c r="BC54" s="152"/>
      <c r="BD54" s="153" t="str">
        <f>IF((RD[[#This Row],[33 kV_F1_Ex (O2RE9)]]-AX53)*150000&lt;=0,"",(RD[[#This Row],[33 kV_F1_Ex (O2RE9)]]-AX53)*150000)</f>
        <v/>
      </c>
      <c r="BE54" s="153">
        <f>IF((RD[[#This Row],[33kV_OG1_Ex (O2RE9)]]-AY53)*1000&lt;=0,0,(RD[[#This Row],[33kV_OG1_Ex (O2RE9)]]-AY53)*1000)</f>
        <v>0</v>
      </c>
      <c r="BF54" s="153"/>
      <c r="BG54" s="153" t="str">
        <f>IF((RD[[#This Row],[33 kV_F2_Ex (O2RE19)]]-BA53)*150000&lt;=0,"",(RD[[#This Row],[33 kV_F2_Ex (O2RE19)]]-BA53)*150000)</f>
        <v/>
      </c>
      <c r="BH54" s="153">
        <f>IF((RD[[#This Row],[33kV_OG2_Ex (O2RE19)]]-BB53)*1000&lt;=0,0,(RD[[#This Row],[33kV_OG2_Ex (O2RE19)]]-BB53)*1000)</f>
        <v>0</v>
      </c>
      <c r="BI54" s="153">
        <f>IF((RD[[#This Row],[33kV_Aux2_Im (O2RE19)]]-BC53)*1000&lt;0,"",(RD[[#This Row],[33kV_Aux2_Im (O2RE19)]]-BC53)*1000)</f>
        <v>0</v>
      </c>
      <c r="BJ54" s="153">
        <f>IF((RD[[#This Row],[33kV_Aux1_Im (O2RE9)]]-AZ53)*1000&lt;0,"",(RD[[#This Row],[33kV_Aux1_Im (O2RE9)]]-AZ53)*1000)</f>
        <v>0</v>
      </c>
      <c r="BK54" s="153">
        <f>SUM(RD[[#This Row],[33kV_OG1_O2RE9_Energy (KWh)]],RD[[#This Row],[33kV_OG2_O2RE19_Energy (KWh)]])</f>
        <v>0</v>
      </c>
      <c r="BL54" s="62" t="str">
        <f>IFERROR(RD[[#This Row],[33 kV Total Export (KWH)]]/RD[[#This Row],[Inv Total Gneration (MWh)]]-1,"")</f>
        <v/>
      </c>
      <c r="BM54" s="63">
        <f>IFERROR((RD[[#This Row],[Sunset Time (POA&lt;20 W/m2)]]-RD[[#This Row],[Sunrise Time (POA&gt;20 W/m2)]])*24,0)</f>
        <v>0</v>
      </c>
      <c r="BN54" s="64">
        <f>SUM(RD[[#This Row],[33kV_OG1_O2RE9_Energy (KWh)]],RD[[#This Row],[33kV_OG2_O2RE19_Energy (KWh)]])</f>
        <v>0</v>
      </c>
      <c r="BO54" s="64">
        <f>IFERROR(RD[[#This Row],[ Export (33 kV)]]*(1-RD[[#This Row],[33 kV Line Loss (%)]]),RD[[#This Row],[ Export (33 kV)]])</f>
        <v>0</v>
      </c>
      <c r="BP54" s="216"/>
      <c r="BQ54" s="121"/>
      <c r="BR54" s="121"/>
      <c r="BS54" t="str">
        <f>IFERROR(RD[[#This Row],[E_AC (WPR)]]/RD[[#This Row],[E_DC (WPR)]],"")</f>
        <v/>
      </c>
    </row>
    <row r="55" spans="1:71">
      <c r="A55" s="147">
        <f t="shared" si="69"/>
        <v>45889</v>
      </c>
      <c r="B55" s="150">
        <f>YEAR(RD[[#This Row],[Date]])+IF(MONTH(RD[[#This Row],[Date]])&gt;=4,1,0)</f>
        <v>2026</v>
      </c>
      <c r="C55" s="150">
        <f>YEAR(RD[[#This Row],[Date]])</f>
        <v>2025</v>
      </c>
      <c r="D55" s="151">
        <f t="shared" si="68"/>
        <v>45870</v>
      </c>
      <c r="E55" s="150">
        <f>DAY(EOMONTH(RD[[#This Row],[Date]],0))</f>
        <v>31</v>
      </c>
      <c r="F55" s="121"/>
      <c r="G55" s="121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66"/>
      <c r="AF55" s="166"/>
      <c r="AG55" s="166"/>
      <c r="AH55" s="166"/>
      <c r="AI55" s="166"/>
      <c r="AJ55" s="166"/>
      <c r="AK55" s="166"/>
      <c r="AL55" s="166"/>
      <c r="AM55" s="58"/>
      <c r="AN55" s="58"/>
      <c r="AO55" s="58"/>
      <c r="AP55" s="58"/>
      <c r="AQ55" s="58"/>
      <c r="AR55" s="58"/>
      <c r="AS55" s="58"/>
      <c r="AT55" s="58"/>
      <c r="AU55" s="60">
        <f>SUM(RD[[#This Row],[IS2Inv1M1]:[IS4Inv1M3]])</f>
        <v>0</v>
      </c>
      <c r="AV55" s="60">
        <f>SUM(RD[[#This Row],[IS5Inv1M1]:[IS5Inv2M3]])</f>
        <v>0</v>
      </c>
      <c r="AW55" s="60">
        <f>SUM(RD[[#This Row],[O2RE9]:[O2RE192]])</f>
        <v>0</v>
      </c>
      <c r="AX55" s="152"/>
      <c r="AY55" s="152"/>
      <c r="AZ55" s="152"/>
      <c r="BA55" s="152"/>
      <c r="BB55" s="152"/>
      <c r="BC55" s="152"/>
      <c r="BD55" s="153" t="str">
        <f>IF((RD[[#This Row],[33 kV_F1_Ex (O2RE9)]]-AX54)*150000&lt;=0,"",(RD[[#This Row],[33 kV_F1_Ex (O2RE9)]]-AX54)*150000)</f>
        <v/>
      </c>
      <c r="BE55" s="153">
        <f>IF((RD[[#This Row],[33kV_OG1_Ex (O2RE9)]]-AY54)*1000&lt;=0,0,(RD[[#This Row],[33kV_OG1_Ex (O2RE9)]]-AY54)*1000)</f>
        <v>0</v>
      </c>
      <c r="BF55" s="153"/>
      <c r="BG55" s="153" t="str">
        <f>IF((RD[[#This Row],[33 kV_F2_Ex (O2RE19)]]-BA54)*150000&lt;=0,"",(RD[[#This Row],[33 kV_F2_Ex (O2RE19)]]-BA54)*150000)</f>
        <v/>
      </c>
      <c r="BH55" s="153">
        <f>IF((RD[[#This Row],[33kV_OG2_Ex (O2RE19)]]-BB54)*1000&lt;=0,0,(RD[[#This Row],[33kV_OG2_Ex (O2RE19)]]-BB54)*1000)</f>
        <v>0</v>
      </c>
      <c r="BI55" s="153">
        <f>IF((RD[[#This Row],[33kV_Aux2_Im (O2RE19)]]-BC54)*1000&lt;0,"",(RD[[#This Row],[33kV_Aux2_Im (O2RE19)]]-BC54)*1000)</f>
        <v>0</v>
      </c>
      <c r="BJ55" s="153">
        <f>IF((RD[[#This Row],[33kV_Aux1_Im (O2RE9)]]-AZ54)*1000&lt;0,"",(RD[[#This Row],[33kV_Aux1_Im (O2RE9)]]-AZ54)*1000)</f>
        <v>0</v>
      </c>
      <c r="BK55" s="153">
        <f>SUM(RD[[#This Row],[33kV_OG1_O2RE9_Energy (KWh)]],RD[[#This Row],[33kV_OG2_O2RE19_Energy (KWh)]])</f>
        <v>0</v>
      </c>
      <c r="BL55" s="62" t="str">
        <f>IFERROR(RD[[#This Row],[33 kV Total Export (KWH)]]/RD[[#This Row],[Inv Total Gneration (MWh)]]-1,"")</f>
        <v/>
      </c>
      <c r="BM55" s="63">
        <f>IFERROR((RD[[#This Row],[Sunset Time (POA&lt;20 W/m2)]]-RD[[#This Row],[Sunrise Time (POA&gt;20 W/m2)]])*24,0)</f>
        <v>0</v>
      </c>
      <c r="BN55" s="64">
        <f>SUM(RD[[#This Row],[33kV_OG1_O2RE9_Energy (KWh)]],RD[[#This Row],[33kV_OG2_O2RE19_Energy (KWh)]])</f>
        <v>0</v>
      </c>
      <c r="BO55" s="64">
        <f>IFERROR(RD[[#This Row],[ Export (33 kV)]]*(1-RD[[#This Row],[33 kV Line Loss (%)]]),RD[[#This Row],[ Export (33 kV)]])</f>
        <v>0</v>
      </c>
      <c r="BP55" s="216"/>
      <c r="BQ55" s="121"/>
      <c r="BR55" s="121"/>
      <c r="BS55" t="str">
        <f>IFERROR(RD[[#This Row],[E_AC (WPR)]]/RD[[#This Row],[E_DC (WPR)]],"")</f>
        <v/>
      </c>
    </row>
    <row r="56" spans="1:71">
      <c r="A56" s="147">
        <f t="shared" si="69"/>
        <v>45890</v>
      </c>
      <c r="B56" s="150">
        <f>YEAR(RD[[#This Row],[Date]])+IF(MONTH(RD[[#This Row],[Date]])&gt;=4,1,0)</f>
        <v>2026</v>
      </c>
      <c r="C56" s="150">
        <f>YEAR(RD[[#This Row],[Date]])</f>
        <v>2025</v>
      </c>
      <c r="D56" s="151">
        <f t="shared" si="68"/>
        <v>45870</v>
      </c>
      <c r="E56" s="150">
        <f>DAY(EOMONTH(RD[[#This Row],[Date]],0))</f>
        <v>31</v>
      </c>
      <c r="F56" s="121"/>
      <c r="G56" s="121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66"/>
      <c r="AF56" s="166"/>
      <c r="AG56" s="166"/>
      <c r="AH56" s="166"/>
      <c r="AI56" s="166"/>
      <c r="AJ56" s="166"/>
      <c r="AK56" s="166"/>
      <c r="AL56" s="166"/>
      <c r="AM56" s="58"/>
      <c r="AN56" s="58"/>
      <c r="AO56" s="58"/>
      <c r="AP56" s="58"/>
      <c r="AQ56" s="58"/>
      <c r="AR56" s="58"/>
      <c r="AS56" s="58"/>
      <c r="AT56" s="58"/>
      <c r="AU56" s="60">
        <f>SUM(RD[[#This Row],[IS2Inv1M1]:[IS4Inv1M3]])</f>
        <v>0</v>
      </c>
      <c r="AV56" s="60">
        <f>SUM(RD[[#This Row],[IS5Inv1M1]:[IS5Inv2M3]])</f>
        <v>0</v>
      </c>
      <c r="AW56" s="60">
        <f>SUM(RD[[#This Row],[O2RE9]:[O2RE192]])</f>
        <v>0</v>
      </c>
      <c r="AX56" s="152"/>
      <c r="AY56" s="152"/>
      <c r="AZ56" s="152"/>
      <c r="BA56" s="152"/>
      <c r="BB56" s="152"/>
      <c r="BC56" s="152"/>
      <c r="BD56" s="153" t="str">
        <f>IF((RD[[#This Row],[33 kV_F1_Ex (O2RE9)]]-AX55)*150000&lt;=0,"",(RD[[#This Row],[33 kV_F1_Ex (O2RE9)]]-AX55)*150000)</f>
        <v/>
      </c>
      <c r="BE56" s="153">
        <f>IF((RD[[#This Row],[33kV_OG1_Ex (O2RE9)]]-AY55)*1000&lt;=0,0,(RD[[#This Row],[33kV_OG1_Ex (O2RE9)]]-AY55)*1000)</f>
        <v>0</v>
      </c>
      <c r="BF56" s="153"/>
      <c r="BG56" s="153" t="str">
        <f>IF((RD[[#This Row],[33 kV_F2_Ex (O2RE19)]]-BA55)*150000&lt;=0,"",(RD[[#This Row],[33 kV_F2_Ex (O2RE19)]]-BA55)*150000)</f>
        <v/>
      </c>
      <c r="BH56" s="153">
        <f>IF((RD[[#This Row],[33kV_OG2_Ex (O2RE19)]]-BB55)*1000&lt;=0,0,(RD[[#This Row],[33kV_OG2_Ex (O2RE19)]]-BB55)*1000)</f>
        <v>0</v>
      </c>
      <c r="BI56" s="153">
        <f>IF((RD[[#This Row],[33kV_Aux2_Im (O2RE19)]]-BC55)*1000&lt;0,"",(RD[[#This Row],[33kV_Aux2_Im (O2RE19)]]-BC55)*1000)</f>
        <v>0</v>
      </c>
      <c r="BJ56" s="153">
        <f>IF((RD[[#This Row],[33kV_Aux1_Im (O2RE9)]]-AZ55)*1000&lt;0,"",(RD[[#This Row],[33kV_Aux1_Im (O2RE9)]]-AZ55)*1000)</f>
        <v>0</v>
      </c>
      <c r="BK56" s="153">
        <f>SUM(RD[[#This Row],[33kV_OG1_O2RE9_Energy (KWh)]],RD[[#This Row],[33kV_OG2_O2RE19_Energy (KWh)]])</f>
        <v>0</v>
      </c>
      <c r="BL56" s="62" t="str">
        <f>IFERROR(RD[[#This Row],[33 kV Total Export (KWH)]]/RD[[#This Row],[Inv Total Gneration (MWh)]]-1,"")</f>
        <v/>
      </c>
      <c r="BM56" s="63">
        <f>IFERROR((RD[[#This Row],[Sunset Time (POA&lt;20 W/m2)]]-RD[[#This Row],[Sunrise Time (POA&gt;20 W/m2)]])*24,0)</f>
        <v>0</v>
      </c>
      <c r="BN56" s="64">
        <f>SUM(RD[[#This Row],[33kV_OG1_O2RE9_Energy (KWh)]],RD[[#This Row],[33kV_OG2_O2RE19_Energy (KWh)]])</f>
        <v>0</v>
      </c>
      <c r="BO56" s="64">
        <f>IFERROR(RD[[#This Row],[ Export (33 kV)]]*(1-RD[[#This Row],[33 kV Line Loss (%)]]),RD[[#This Row],[ Export (33 kV)]])</f>
        <v>0</v>
      </c>
      <c r="BP56" s="216"/>
      <c r="BQ56" s="121"/>
      <c r="BR56" s="121"/>
      <c r="BS56" t="str">
        <f>IFERROR(RD[[#This Row],[E_AC (WPR)]]/RD[[#This Row],[E_DC (WPR)]],"")</f>
        <v/>
      </c>
    </row>
    <row r="57" spans="1:71">
      <c r="A57" s="147">
        <f t="shared" si="69"/>
        <v>45891</v>
      </c>
      <c r="B57" s="150">
        <f>YEAR(RD[[#This Row],[Date]])+IF(MONTH(RD[[#This Row],[Date]])&gt;=4,1,0)</f>
        <v>2026</v>
      </c>
      <c r="C57" s="150">
        <f>YEAR(RD[[#This Row],[Date]])</f>
        <v>2025</v>
      </c>
      <c r="D57" s="151">
        <f t="shared" si="68"/>
        <v>45870</v>
      </c>
      <c r="E57" s="150">
        <f>DAY(EOMONTH(RD[[#This Row],[Date]],0))</f>
        <v>31</v>
      </c>
      <c r="F57" s="121"/>
      <c r="G57" s="121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66"/>
      <c r="AF57" s="166"/>
      <c r="AG57" s="166"/>
      <c r="AH57" s="166"/>
      <c r="AI57" s="166"/>
      <c r="AJ57" s="166"/>
      <c r="AK57" s="166"/>
      <c r="AL57" s="166"/>
      <c r="AM57" s="58"/>
      <c r="AN57" s="58"/>
      <c r="AO57" s="58"/>
      <c r="AP57" s="58"/>
      <c r="AQ57" s="58"/>
      <c r="AR57" s="58"/>
      <c r="AS57" s="58"/>
      <c r="AT57" s="58"/>
      <c r="AU57" s="60">
        <f>SUM(RD[[#This Row],[IS2Inv1M1]:[IS4Inv1M3]])</f>
        <v>0</v>
      </c>
      <c r="AV57" s="60">
        <f>SUM(RD[[#This Row],[IS5Inv1M1]:[IS5Inv2M3]])</f>
        <v>0</v>
      </c>
      <c r="AW57" s="60">
        <f>SUM(RD[[#This Row],[O2RE9]:[O2RE192]])</f>
        <v>0</v>
      </c>
      <c r="AX57" s="152"/>
      <c r="AY57" s="152"/>
      <c r="AZ57" s="152"/>
      <c r="BA57" s="152"/>
      <c r="BB57" s="152"/>
      <c r="BC57" s="152"/>
      <c r="BD57" s="153" t="str">
        <f>IF((RD[[#This Row],[33 kV_F1_Ex (O2RE9)]]-AX56)*150000&lt;=0,"",(RD[[#This Row],[33 kV_F1_Ex (O2RE9)]]-AX56)*150000)</f>
        <v/>
      </c>
      <c r="BE57" s="153">
        <f>IF((RD[[#This Row],[33kV_OG1_Ex (O2RE9)]]-AY56)*1000&lt;=0,0,(RD[[#This Row],[33kV_OG1_Ex (O2RE9)]]-AY56)*1000)</f>
        <v>0</v>
      </c>
      <c r="BF57" s="153"/>
      <c r="BG57" s="153" t="str">
        <f>IF((RD[[#This Row],[33 kV_F2_Ex (O2RE19)]]-BA56)*150000&lt;=0,"",(RD[[#This Row],[33 kV_F2_Ex (O2RE19)]]-BA56)*150000)</f>
        <v/>
      </c>
      <c r="BH57" s="153">
        <f>IF((RD[[#This Row],[33kV_OG2_Ex (O2RE19)]]-BB56)*1000&lt;=0,0,(RD[[#This Row],[33kV_OG2_Ex (O2RE19)]]-BB56)*1000)</f>
        <v>0</v>
      </c>
      <c r="BI57" s="153">
        <f>IF((RD[[#This Row],[33kV_Aux2_Im (O2RE19)]]-BC56)*1000&lt;0,"",(RD[[#This Row],[33kV_Aux2_Im (O2RE19)]]-BC56)*1000)</f>
        <v>0</v>
      </c>
      <c r="BJ57" s="153">
        <f>IF((RD[[#This Row],[33kV_Aux1_Im (O2RE9)]]-AZ56)*1000&lt;0,"",(RD[[#This Row],[33kV_Aux1_Im (O2RE9)]]-AZ56)*1000)</f>
        <v>0</v>
      </c>
      <c r="BK57" s="153">
        <f>SUM(RD[[#This Row],[33kV_OG1_O2RE9_Energy (KWh)]],RD[[#This Row],[33kV_OG2_O2RE19_Energy (KWh)]])</f>
        <v>0</v>
      </c>
      <c r="BL57" s="62" t="str">
        <f>IFERROR(RD[[#This Row],[33 kV Total Export (KWH)]]/RD[[#This Row],[Inv Total Gneration (MWh)]]-1,"")</f>
        <v/>
      </c>
      <c r="BM57" s="63">
        <f>IFERROR((RD[[#This Row],[Sunset Time (POA&lt;20 W/m2)]]-RD[[#This Row],[Sunrise Time (POA&gt;20 W/m2)]])*24,0)</f>
        <v>0</v>
      </c>
      <c r="BN57" s="64">
        <f>SUM(RD[[#This Row],[33kV_OG1_O2RE9_Energy (KWh)]],RD[[#This Row],[33kV_OG2_O2RE19_Energy (KWh)]])</f>
        <v>0</v>
      </c>
      <c r="BO57" s="64">
        <f>IFERROR(RD[[#This Row],[ Export (33 kV)]]*(1-RD[[#This Row],[33 kV Line Loss (%)]]),RD[[#This Row],[ Export (33 kV)]])</f>
        <v>0</v>
      </c>
      <c r="BP57" s="216"/>
      <c r="BQ57" s="121"/>
      <c r="BR57" s="121"/>
      <c r="BS57" t="str">
        <f>IFERROR(RD[[#This Row],[E_AC (WPR)]]/RD[[#This Row],[E_DC (WPR)]],"")</f>
        <v/>
      </c>
    </row>
    <row r="58" spans="1:71">
      <c r="A58" s="147">
        <f t="shared" si="69"/>
        <v>45892</v>
      </c>
      <c r="B58" s="150">
        <f>YEAR(RD[[#This Row],[Date]])+IF(MONTH(RD[[#This Row],[Date]])&gt;=4,1,0)</f>
        <v>2026</v>
      </c>
      <c r="C58" s="150">
        <f>YEAR(RD[[#This Row],[Date]])</f>
        <v>2025</v>
      </c>
      <c r="D58" s="151">
        <f t="shared" si="68"/>
        <v>45870</v>
      </c>
      <c r="E58" s="150">
        <f>DAY(EOMONTH(RD[[#This Row],[Date]],0))</f>
        <v>31</v>
      </c>
      <c r="F58" s="121"/>
      <c r="G58" s="121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66"/>
      <c r="AF58" s="166"/>
      <c r="AG58" s="166"/>
      <c r="AH58" s="166"/>
      <c r="AI58" s="166"/>
      <c r="AJ58" s="166"/>
      <c r="AK58" s="166"/>
      <c r="AL58" s="166"/>
      <c r="AM58" s="58"/>
      <c r="AN58" s="58"/>
      <c r="AO58" s="58"/>
      <c r="AP58" s="58"/>
      <c r="AQ58" s="58"/>
      <c r="AR58" s="58"/>
      <c r="AS58" s="58"/>
      <c r="AT58" s="58"/>
      <c r="AU58" s="60">
        <f>SUM(RD[[#This Row],[IS2Inv1M1]:[IS4Inv1M3]])</f>
        <v>0</v>
      </c>
      <c r="AV58" s="60">
        <f>SUM(RD[[#This Row],[IS5Inv1M1]:[IS5Inv2M3]])</f>
        <v>0</v>
      </c>
      <c r="AW58" s="60">
        <f>SUM(RD[[#This Row],[O2RE9]:[O2RE192]])</f>
        <v>0</v>
      </c>
      <c r="AX58" s="152"/>
      <c r="AY58" s="152"/>
      <c r="AZ58" s="152"/>
      <c r="BA58" s="152"/>
      <c r="BB58" s="152"/>
      <c r="BC58" s="152"/>
      <c r="BD58" s="153" t="str">
        <f>IF((RD[[#This Row],[33 kV_F1_Ex (O2RE9)]]-AX57)*150000&lt;=0,"",(RD[[#This Row],[33 kV_F1_Ex (O2RE9)]]-AX57)*150000)</f>
        <v/>
      </c>
      <c r="BE58" s="153">
        <f>IF((RD[[#This Row],[33kV_OG1_Ex (O2RE9)]]-AY57)*1000&lt;=0,0,(RD[[#This Row],[33kV_OG1_Ex (O2RE9)]]-AY57)*1000)</f>
        <v>0</v>
      </c>
      <c r="BF58" s="153"/>
      <c r="BG58" s="153" t="str">
        <f>IF((RD[[#This Row],[33 kV_F2_Ex (O2RE19)]]-BA57)*150000&lt;=0,"",(RD[[#This Row],[33 kV_F2_Ex (O2RE19)]]-BA57)*150000)</f>
        <v/>
      </c>
      <c r="BH58" s="153">
        <f>IF((RD[[#This Row],[33kV_OG2_Ex (O2RE19)]]-BB57)*1000&lt;=0,0,(RD[[#This Row],[33kV_OG2_Ex (O2RE19)]]-BB57)*1000)</f>
        <v>0</v>
      </c>
      <c r="BI58" s="153">
        <f>IF((RD[[#This Row],[33kV_Aux2_Im (O2RE19)]]-BC57)*1000&lt;0,"",(RD[[#This Row],[33kV_Aux2_Im (O2RE19)]]-BC57)*1000)</f>
        <v>0</v>
      </c>
      <c r="BJ58" s="153">
        <f>IF((RD[[#This Row],[33kV_Aux1_Im (O2RE9)]]-AZ57)*1000&lt;0,"",(RD[[#This Row],[33kV_Aux1_Im (O2RE9)]]-AZ57)*1000)</f>
        <v>0</v>
      </c>
      <c r="BK58" s="153">
        <f>SUM(RD[[#This Row],[33kV_OG1_O2RE9_Energy (KWh)]],RD[[#This Row],[33kV_OG2_O2RE19_Energy (KWh)]])</f>
        <v>0</v>
      </c>
      <c r="BL58" s="62" t="str">
        <f>IFERROR(RD[[#This Row],[33 kV Total Export (KWH)]]/RD[[#This Row],[Inv Total Gneration (MWh)]]-1,"")</f>
        <v/>
      </c>
      <c r="BM58" s="63">
        <f>IFERROR((RD[[#This Row],[Sunset Time (POA&lt;20 W/m2)]]-RD[[#This Row],[Sunrise Time (POA&gt;20 W/m2)]])*24,0)</f>
        <v>0</v>
      </c>
      <c r="BN58" s="64">
        <f>SUM(RD[[#This Row],[33kV_OG1_O2RE9_Energy (KWh)]],RD[[#This Row],[33kV_OG2_O2RE19_Energy (KWh)]])</f>
        <v>0</v>
      </c>
      <c r="BO58" s="64">
        <f>IFERROR(RD[[#This Row],[ Export (33 kV)]]*(1-RD[[#This Row],[33 kV Line Loss (%)]]),RD[[#This Row],[ Export (33 kV)]])</f>
        <v>0</v>
      </c>
      <c r="BP58" s="216"/>
      <c r="BQ58" s="121"/>
      <c r="BR58" s="121"/>
      <c r="BS58" t="str">
        <f>IFERROR(RD[[#This Row],[E_AC (WPR)]]/RD[[#This Row],[E_DC (WPR)]],"")</f>
        <v/>
      </c>
    </row>
    <row r="59" spans="1:71">
      <c r="A59" s="147">
        <f t="shared" si="69"/>
        <v>45893</v>
      </c>
      <c r="B59" s="150">
        <f>YEAR(RD[[#This Row],[Date]])+IF(MONTH(RD[[#This Row],[Date]])&gt;=4,1,0)</f>
        <v>2026</v>
      </c>
      <c r="C59" s="150">
        <f>YEAR(RD[[#This Row],[Date]])</f>
        <v>2025</v>
      </c>
      <c r="D59" s="151">
        <f t="shared" si="68"/>
        <v>45870</v>
      </c>
      <c r="E59" s="150">
        <f>DAY(EOMONTH(RD[[#This Row],[Date]],0))</f>
        <v>31</v>
      </c>
      <c r="F59" s="121"/>
      <c r="G59" s="121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66"/>
      <c r="AF59" s="166"/>
      <c r="AG59" s="166"/>
      <c r="AH59" s="166"/>
      <c r="AI59" s="166"/>
      <c r="AJ59" s="166"/>
      <c r="AK59" s="166"/>
      <c r="AL59" s="166"/>
      <c r="AM59" s="58"/>
      <c r="AN59" s="58"/>
      <c r="AO59" s="58"/>
      <c r="AP59" s="58"/>
      <c r="AQ59" s="58"/>
      <c r="AR59" s="58"/>
      <c r="AS59" s="58"/>
      <c r="AT59" s="58"/>
      <c r="AU59" s="60">
        <f>SUM(RD[[#This Row],[IS2Inv1M1]:[IS4Inv1M3]])</f>
        <v>0</v>
      </c>
      <c r="AV59" s="60">
        <f>SUM(RD[[#This Row],[IS5Inv1M1]:[IS5Inv2M3]])</f>
        <v>0</v>
      </c>
      <c r="AW59" s="60">
        <f>SUM(RD[[#This Row],[O2RE9]:[O2RE192]])</f>
        <v>0</v>
      </c>
      <c r="AX59" s="152"/>
      <c r="AY59" s="152"/>
      <c r="AZ59" s="152"/>
      <c r="BA59" s="152"/>
      <c r="BB59" s="152"/>
      <c r="BC59" s="152"/>
      <c r="BD59" s="153" t="str">
        <f>IF((RD[[#This Row],[33 kV_F1_Ex (O2RE9)]]-AX58)*150000&lt;=0,"",(RD[[#This Row],[33 kV_F1_Ex (O2RE9)]]-AX58)*150000)</f>
        <v/>
      </c>
      <c r="BE59" s="153">
        <f>IF((RD[[#This Row],[33kV_OG1_Ex (O2RE9)]]-AY58)*1000&lt;=0,0,(RD[[#This Row],[33kV_OG1_Ex (O2RE9)]]-AY58)*1000)</f>
        <v>0</v>
      </c>
      <c r="BF59" s="153"/>
      <c r="BG59" s="153" t="str">
        <f>IF((RD[[#This Row],[33 kV_F2_Ex (O2RE19)]]-BA58)*150000&lt;=0,"",(RD[[#This Row],[33 kV_F2_Ex (O2RE19)]]-BA58)*150000)</f>
        <v/>
      </c>
      <c r="BH59" s="153">
        <f>IF((RD[[#This Row],[33kV_OG2_Ex (O2RE19)]]-BB58)*1000&lt;=0,0,(RD[[#This Row],[33kV_OG2_Ex (O2RE19)]]-BB58)*1000)</f>
        <v>0</v>
      </c>
      <c r="BI59" s="153">
        <f>IF((RD[[#This Row],[33kV_Aux2_Im (O2RE19)]]-BC58)*1000&lt;0,"",(RD[[#This Row],[33kV_Aux2_Im (O2RE19)]]-BC58)*1000)</f>
        <v>0</v>
      </c>
      <c r="BJ59" s="153">
        <f>IF((RD[[#This Row],[33kV_Aux1_Im (O2RE9)]]-AZ58)*1000&lt;0,"",(RD[[#This Row],[33kV_Aux1_Im (O2RE9)]]-AZ58)*1000)</f>
        <v>0</v>
      </c>
      <c r="BK59" s="153">
        <f>SUM(RD[[#This Row],[33kV_OG1_O2RE9_Energy (KWh)]],RD[[#This Row],[33kV_OG2_O2RE19_Energy (KWh)]])</f>
        <v>0</v>
      </c>
      <c r="BL59" s="62" t="str">
        <f>IFERROR(RD[[#This Row],[33 kV Total Export (KWH)]]/RD[[#This Row],[Inv Total Gneration (MWh)]]-1,"")</f>
        <v/>
      </c>
      <c r="BM59" s="63">
        <f>IFERROR((RD[[#This Row],[Sunset Time (POA&lt;20 W/m2)]]-RD[[#This Row],[Sunrise Time (POA&gt;20 W/m2)]])*24,0)</f>
        <v>0</v>
      </c>
      <c r="BN59" s="64">
        <f>SUM(RD[[#This Row],[33kV_OG1_O2RE9_Energy (KWh)]],RD[[#This Row],[33kV_OG2_O2RE19_Energy (KWh)]])</f>
        <v>0</v>
      </c>
      <c r="BO59" s="64">
        <f>IFERROR(RD[[#This Row],[ Export (33 kV)]]*(1-RD[[#This Row],[33 kV Line Loss (%)]]),RD[[#This Row],[ Export (33 kV)]])</f>
        <v>0</v>
      </c>
      <c r="BP59" s="216"/>
      <c r="BQ59" s="121"/>
      <c r="BR59" s="121"/>
      <c r="BS59" t="str">
        <f>IFERROR(RD[[#This Row],[E_AC (WPR)]]/RD[[#This Row],[E_DC (WPR)]],"")</f>
        <v/>
      </c>
    </row>
    <row r="60" spans="1:71">
      <c r="A60" s="147">
        <f t="shared" si="69"/>
        <v>45894</v>
      </c>
      <c r="B60" s="150">
        <f>YEAR(RD[[#This Row],[Date]])+IF(MONTH(RD[[#This Row],[Date]])&gt;=4,1,0)</f>
        <v>2026</v>
      </c>
      <c r="C60" s="150">
        <f>YEAR(RD[[#This Row],[Date]])</f>
        <v>2025</v>
      </c>
      <c r="D60" s="151">
        <f t="shared" si="68"/>
        <v>45870</v>
      </c>
      <c r="E60" s="150">
        <f>DAY(EOMONTH(RD[[#This Row],[Date]],0))</f>
        <v>31</v>
      </c>
      <c r="F60" s="121"/>
      <c r="G60" s="121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66"/>
      <c r="AF60" s="166"/>
      <c r="AG60" s="166"/>
      <c r="AH60" s="166"/>
      <c r="AI60" s="166"/>
      <c r="AJ60" s="166"/>
      <c r="AK60" s="166"/>
      <c r="AL60" s="166"/>
      <c r="AM60" s="58"/>
      <c r="AN60" s="58"/>
      <c r="AO60" s="58"/>
      <c r="AP60" s="58"/>
      <c r="AQ60" s="58"/>
      <c r="AR60" s="58"/>
      <c r="AS60" s="58"/>
      <c r="AT60" s="58"/>
      <c r="AU60" s="60">
        <f>SUM(RD[[#This Row],[IS2Inv1M1]:[IS4Inv1M3]])</f>
        <v>0</v>
      </c>
      <c r="AV60" s="60">
        <f>SUM(RD[[#This Row],[IS5Inv1M1]:[IS5Inv2M3]])</f>
        <v>0</v>
      </c>
      <c r="AW60" s="60">
        <f>SUM(RD[[#This Row],[O2RE9]:[O2RE192]])</f>
        <v>0</v>
      </c>
      <c r="AX60" s="152"/>
      <c r="AY60" s="152"/>
      <c r="AZ60" s="152"/>
      <c r="BA60" s="152"/>
      <c r="BB60" s="152"/>
      <c r="BC60" s="152"/>
      <c r="BD60" s="153" t="str">
        <f>IF((RD[[#This Row],[33 kV_F1_Ex (O2RE9)]]-AX59)*150000&lt;=0,"",(RD[[#This Row],[33 kV_F1_Ex (O2RE9)]]-AX59)*150000)</f>
        <v/>
      </c>
      <c r="BE60" s="153">
        <f>IF((RD[[#This Row],[33kV_OG1_Ex (O2RE9)]]-AY59)*1000&lt;=0,0,(RD[[#This Row],[33kV_OG1_Ex (O2RE9)]]-AY59)*1000)</f>
        <v>0</v>
      </c>
      <c r="BF60" s="153"/>
      <c r="BG60" s="153" t="str">
        <f>IF((RD[[#This Row],[33 kV_F2_Ex (O2RE19)]]-BA59)*150000&lt;=0,"",(RD[[#This Row],[33 kV_F2_Ex (O2RE19)]]-BA59)*150000)</f>
        <v/>
      </c>
      <c r="BH60" s="153">
        <f>IF((RD[[#This Row],[33kV_OG2_Ex (O2RE19)]]-BB59)*1000&lt;=0,0,(RD[[#This Row],[33kV_OG2_Ex (O2RE19)]]-BB59)*1000)</f>
        <v>0</v>
      </c>
      <c r="BI60" s="153">
        <f>IF((RD[[#This Row],[33kV_Aux2_Im (O2RE19)]]-BC59)*1000&lt;0,"",(RD[[#This Row],[33kV_Aux2_Im (O2RE19)]]-BC59)*1000)</f>
        <v>0</v>
      </c>
      <c r="BJ60" s="153">
        <f>IF((RD[[#This Row],[33kV_Aux1_Im (O2RE9)]]-AZ59)*1000&lt;0,"",(RD[[#This Row],[33kV_Aux1_Im (O2RE9)]]-AZ59)*1000)</f>
        <v>0</v>
      </c>
      <c r="BK60" s="153">
        <f>SUM(RD[[#This Row],[33kV_OG1_O2RE9_Energy (KWh)]],RD[[#This Row],[33kV_OG2_O2RE19_Energy (KWh)]])</f>
        <v>0</v>
      </c>
      <c r="BL60" s="62" t="str">
        <f>IFERROR(RD[[#This Row],[33 kV Total Export (KWH)]]/RD[[#This Row],[Inv Total Gneration (MWh)]]-1,"")</f>
        <v/>
      </c>
      <c r="BM60" s="63">
        <f>IFERROR((RD[[#This Row],[Sunset Time (POA&lt;20 W/m2)]]-RD[[#This Row],[Sunrise Time (POA&gt;20 W/m2)]])*24,0)</f>
        <v>0</v>
      </c>
      <c r="BN60" s="64">
        <f>SUM(RD[[#This Row],[33kV_OG1_O2RE9_Energy (KWh)]],RD[[#This Row],[33kV_OG2_O2RE19_Energy (KWh)]])</f>
        <v>0</v>
      </c>
      <c r="BO60" s="64">
        <f>IFERROR(RD[[#This Row],[ Export (33 kV)]]*(1-RD[[#This Row],[33 kV Line Loss (%)]]),RD[[#This Row],[ Export (33 kV)]])</f>
        <v>0</v>
      </c>
      <c r="BP60" s="216"/>
      <c r="BQ60" s="121"/>
      <c r="BR60" s="121"/>
      <c r="BS60" t="str">
        <f>IFERROR(RD[[#This Row],[E_AC (WPR)]]/RD[[#This Row],[E_DC (WPR)]],"")</f>
        <v/>
      </c>
    </row>
    <row r="61" spans="1:71">
      <c r="A61" s="147">
        <f t="shared" si="69"/>
        <v>45895</v>
      </c>
      <c r="B61" s="150">
        <f>YEAR(RD[[#This Row],[Date]])+IF(MONTH(RD[[#This Row],[Date]])&gt;=4,1,0)</f>
        <v>2026</v>
      </c>
      <c r="C61" s="150">
        <f>YEAR(RD[[#This Row],[Date]])</f>
        <v>2025</v>
      </c>
      <c r="D61" s="151">
        <f t="shared" si="68"/>
        <v>45870</v>
      </c>
      <c r="E61" s="150">
        <f>DAY(EOMONTH(RD[[#This Row],[Date]],0))</f>
        <v>31</v>
      </c>
      <c r="F61" s="121"/>
      <c r="G61" s="121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66"/>
      <c r="AF61" s="166"/>
      <c r="AG61" s="166"/>
      <c r="AH61" s="166"/>
      <c r="AI61" s="166"/>
      <c r="AJ61" s="166"/>
      <c r="AK61" s="166"/>
      <c r="AL61" s="166"/>
      <c r="AM61" s="58"/>
      <c r="AN61" s="58"/>
      <c r="AO61" s="58"/>
      <c r="AP61" s="58"/>
      <c r="AQ61" s="58"/>
      <c r="AR61" s="58"/>
      <c r="AS61" s="58"/>
      <c r="AT61" s="58"/>
      <c r="AU61" s="60">
        <f>SUM(RD[[#This Row],[IS2Inv1M1]:[IS4Inv1M3]])</f>
        <v>0</v>
      </c>
      <c r="AV61" s="60">
        <f>SUM(RD[[#This Row],[IS5Inv1M1]:[IS5Inv2M3]])</f>
        <v>0</v>
      </c>
      <c r="AW61" s="60">
        <f>SUM(RD[[#This Row],[O2RE9]:[O2RE192]])</f>
        <v>0</v>
      </c>
      <c r="AX61" s="152"/>
      <c r="AY61" s="152"/>
      <c r="AZ61" s="152"/>
      <c r="BA61" s="152"/>
      <c r="BB61" s="152"/>
      <c r="BC61" s="152"/>
      <c r="BD61" s="153" t="str">
        <f>IF((RD[[#This Row],[33 kV_F1_Ex (O2RE9)]]-AX60)*150000&lt;=0,"",(RD[[#This Row],[33 kV_F1_Ex (O2RE9)]]-AX60)*150000)</f>
        <v/>
      </c>
      <c r="BE61" s="153">
        <f>IF((RD[[#This Row],[33kV_OG1_Ex (O2RE9)]]-AY60)*1000&lt;=0,0,(RD[[#This Row],[33kV_OG1_Ex (O2RE9)]]-AY60)*1000)</f>
        <v>0</v>
      </c>
      <c r="BF61" s="153"/>
      <c r="BG61" s="153" t="str">
        <f>IF((RD[[#This Row],[33 kV_F2_Ex (O2RE19)]]-BA60)*150000&lt;=0,"",(RD[[#This Row],[33 kV_F2_Ex (O2RE19)]]-BA60)*150000)</f>
        <v/>
      </c>
      <c r="BH61" s="153">
        <f>IF((RD[[#This Row],[33kV_OG2_Ex (O2RE19)]]-BB60)*1000&lt;=0,0,(RD[[#This Row],[33kV_OG2_Ex (O2RE19)]]-BB60)*1000)</f>
        <v>0</v>
      </c>
      <c r="BI61" s="153">
        <f>IF((RD[[#This Row],[33kV_Aux2_Im (O2RE19)]]-BC60)*1000&lt;0,"",(RD[[#This Row],[33kV_Aux2_Im (O2RE19)]]-BC60)*1000)</f>
        <v>0</v>
      </c>
      <c r="BJ61" s="153">
        <f>IF((RD[[#This Row],[33kV_Aux1_Im (O2RE9)]]-AZ60)*1000&lt;0,"",(RD[[#This Row],[33kV_Aux1_Im (O2RE9)]]-AZ60)*1000)</f>
        <v>0</v>
      </c>
      <c r="BK61" s="153">
        <f>SUM(RD[[#This Row],[33kV_OG1_O2RE9_Energy (KWh)]],RD[[#This Row],[33kV_OG2_O2RE19_Energy (KWh)]])</f>
        <v>0</v>
      </c>
      <c r="BL61" s="62" t="str">
        <f>IFERROR(RD[[#This Row],[33 kV Total Export (KWH)]]/RD[[#This Row],[Inv Total Gneration (MWh)]]-1,"")</f>
        <v/>
      </c>
      <c r="BM61" s="63">
        <f>IFERROR((RD[[#This Row],[Sunset Time (POA&lt;20 W/m2)]]-RD[[#This Row],[Sunrise Time (POA&gt;20 W/m2)]])*24,0)</f>
        <v>0</v>
      </c>
      <c r="BN61" s="64">
        <f>SUM(RD[[#This Row],[33kV_OG1_O2RE9_Energy (KWh)]],RD[[#This Row],[33kV_OG2_O2RE19_Energy (KWh)]])</f>
        <v>0</v>
      </c>
      <c r="BO61" s="64">
        <f>IFERROR(RD[[#This Row],[ Export (33 kV)]]*(1-RD[[#This Row],[33 kV Line Loss (%)]]),RD[[#This Row],[ Export (33 kV)]])</f>
        <v>0</v>
      </c>
      <c r="BP61" s="216"/>
      <c r="BQ61" s="121"/>
      <c r="BR61" s="121"/>
      <c r="BS61" t="str">
        <f>IFERROR(RD[[#This Row],[E_AC (WPR)]]/RD[[#This Row],[E_DC (WPR)]],"")</f>
        <v/>
      </c>
    </row>
    <row r="62" spans="1:71">
      <c r="A62" s="147">
        <f t="shared" si="69"/>
        <v>45896</v>
      </c>
      <c r="B62" s="150">
        <f>YEAR(RD[[#This Row],[Date]])+IF(MONTH(RD[[#This Row],[Date]])&gt;=4,1,0)</f>
        <v>2026</v>
      </c>
      <c r="C62" s="150">
        <f>YEAR(RD[[#This Row],[Date]])</f>
        <v>2025</v>
      </c>
      <c r="D62" s="151">
        <f t="shared" si="68"/>
        <v>45870</v>
      </c>
      <c r="E62" s="150">
        <f>DAY(EOMONTH(RD[[#This Row],[Date]],0))</f>
        <v>31</v>
      </c>
      <c r="F62" s="121"/>
      <c r="G62" s="121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66"/>
      <c r="AF62" s="166"/>
      <c r="AG62" s="166"/>
      <c r="AH62" s="166"/>
      <c r="AI62" s="166"/>
      <c r="AJ62" s="166"/>
      <c r="AK62" s="166"/>
      <c r="AL62" s="166"/>
      <c r="AM62" s="58"/>
      <c r="AN62" s="58"/>
      <c r="AO62" s="58"/>
      <c r="AP62" s="58"/>
      <c r="AQ62" s="58"/>
      <c r="AR62" s="58"/>
      <c r="AS62" s="58"/>
      <c r="AT62" s="58"/>
      <c r="AU62" s="60">
        <f>SUM(RD[[#This Row],[IS2Inv1M1]:[IS4Inv1M3]])</f>
        <v>0</v>
      </c>
      <c r="AV62" s="60">
        <f>SUM(RD[[#This Row],[IS5Inv1M1]:[IS5Inv2M3]])</f>
        <v>0</v>
      </c>
      <c r="AW62" s="60">
        <f>SUM(RD[[#This Row],[O2RE9]:[O2RE192]])</f>
        <v>0</v>
      </c>
      <c r="AX62" s="152"/>
      <c r="AY62" s="152"/>
      <c r="AZ62" s="152"/>
      <c r="BA62" s="152"/>
      <c r="BB62" s="152"/>
      <c r="BC62" s="152"/>
      <c r="BD62" s="153" t="str">
        <f>IF((RD[[#This Row],[33 kV_F1_Ex (O2RE9)]]-AX61)*150000&lt;=0,"",(RD[[#This Row],[33 kV_F1_Ex (O2RE9)]]-AX61)*150000)</f>
        <v/>
      </c>
      <c r="BE62" s="153">
        <f>IF((RD[[#This Row],[33kV_OG1_Ex (O2RE9)]]-AY61)*1000&lt;=0,0,(RD[[#This Row],[33kV_OG1_Ex (O2RE9)]]-AY61)*1000)</f>
        <v>0</v>
      </c>
      <c r="BF62" s="153"/>
      <c r="BG62" s="153" t="str">
        <f>IF((RD[[#This Row],[33 kV_F2_Ex (O2RE19)]]-BA61)*150000&lt;=0,"",(RD[[#This Row],[33 kV_F2_Ex (O2RE19)]]-BA61)*150000)</f>
        <v/>
      </c>
      <c r="BH62" s="153">
        <f>IF((RD[[#This Row],[33kV_OG2_Ex (O2RE19)]]-BB61)*1000&lt;=0,0,(RD[[#This Row],[33kV_OG2_Ex (O2RE19)]]-BB61)*1000)</f>
        <v>0</v>
      </c>
      <c r="BI62" s="153">
        <f>IF((RD[[#This Row],[33kV_Aux2_Im (O2RE19)]]-BC61)*1000&lt;0,"",(RD[[#This Row],[33kV_Aux2_Im (O2RE19)]]-BC61)*1000)</f>
        <v>0</v>
      </c>
      <c r="BJ62" s="153">
        <f>IF((RD[[#This Row],[33kV_Aux1_Im (O2RE9)]]-AZ61)*1000&lt;0,"",(RD[[#This Row],[33kV_Aux1_Im (O2RE9)]]-AZ61)*1000)</f>
        <v>0</v>
      </c>
      <c r="BK62" s="153">
        <f>SUM(RD[[#This Row],[33kV_OG1_O2RE9_Energy (KWh)]],RD[[#This Row],[33kV_OG2_O2RE19_Energy (KWh)]])</f>
        <v>0</v>
      </c>
      <c r="BL62" s="62" t="str">
        <f>IFERROR(RD[[#This Row],[33 kV Total Export (KWH)]]/RD[[#This Row],[Inv Total Gneration (MWh)]]-1,"")</f>
        <v/>
      </c>
      <c r="BM62" s="63">
        <f>IFERROR((RD[[#This Row],[Sunset Time (POA&lt;20 W/m2)]]-RD[[#This Row],[Sunrise Time (POA&gt;20 W/m2)]])*24,0)</f>
        <v>0</v>
      </c>
      <c r="BN62" s="64">
        <f>SUM(RD[[#This Row],[33kV_OG1_O2RE9_Energy (KWh)]],RD[[#This Row],[33kV_OG2_O2RE19_Energy (KWh)]])</f>
        <v>0</v>
      </c>
      <c r="BO62" s="64">
        <f>IFERROR(RD[[#This Row],[ Export (33 kV)]]*(1-RD[[#This Row],[33 kV Line Loss (%)]]),RD[[#This Row],[ Export (33 kV)]])</f>
        <v>0</v>
      </c>
      <c r="BP62" s="216"/>
      <c r="BQ62" s="121"/>
      <c r="BR62" s="121"/>
      <c r="BS62" t="str">
        <f>IFERROR(RD[[#This Row],[E_AC (WPR)]]/RD[[#This Row],[E_DC (WPR)]],"")</f>
        <v/>
      </c>
    </row>
    <row r="63" spans="1:71">
      <c r="A63" s="147">
        <f t="shared" si="69"/>
        <v>45897</v>
      </c>
      <c r="B63" s="150">
        <f>YEAR(RD[[#This Row],[Date]])+IF(MONTH(RD[[#This Row],[Date]])&gt;=4,1,0)</f>
        <v>2026</v>
      </c>
      <c r="C63" s="150">
        <f>YEAR(RD[[#This Row],[Date]])</f>
        <v>2025</v>
      </c>
      <c r="D63" s="151">
        <f t="shared" si="68"/>
        <v>45870</v>
      </c>
      <c r="E63" s="150">
        <f>DAY(EOMONTH(RD[[#This Row],[Date]],0))</f>
        <v>31</v>
      </c>
      <c r="F63" s="121"/>
      <c r="G63" s="121"/>
      <c r="H63" s="137"/>
      <c r="I63" s="137"/>
      <c r="J63" s="137"/>
      <c r="K63" s="281"/>
      <c r="L63" s="281"/>
      <c r="M63" s="281"/>
      <c r="N63" s="281"/>
      <c r="O63" s="281"/>
      <c r="P63" s="281"/>
      <c r="Q63" s="281"/>
      <c r="R63" s="281"/>
      <c r="S63" s="281"/>
      <c r="T63" s="281"/>
      <c r="U63" s="281"/>
      <c r="V63" s="281"/>
      <c r="W63" s="281"/>
      <c r="X63" s="281"/>
      <c r="Y63" s="281"/>
      <c r="Z63" s="281"/>
      <c r="AA63" s="137"/>
      <c r="AB63" s="137"/>
      <c r="AC63" s="137"/>
      <c r="AD63" s="137"/>
      <c r="AE63" s="166"/>
      <c r="AF63" s="166"/>
      <c r="AG63" s="166"/>
      <c r="AH63" s="166"/>
      <c r="AI63" s="166"/>
      <c r="AJ63" s="166"/>
      <c r="AK63" s="166"/>
      <c r="AL63" s="166"/>
      <c r="AM63" s="58"/>
      <c r="AN63" s="58"/>
      <c r="AO63" s="58"/>
      <c r="AP63" s="58"/>
      <c r="AQ63" s="58"/>
      <c r="AR63" s="58"/>
      <c r="AS63" s="58"/>
      <c r="AT63" s="58"/>
      <c r="AU63" s="60">
        <f>SUM(RD[[#This Row],[IS2Inv1M1]:[IS4Inv1M3]])</f>
        <v>0</v>
      </c>
      <c r="AV63" s="60">
        <f>SUM(RD[[#This Row],[IS5Inv1M1]:[IS5Inv2M3]])</f>
        <v>0</v>
      </c>
      <c r="AW63" s="60">
        <f>SUM(RD[[#This Row],[O2RE9]:[O2RE192]])</f>
        <v>0</v>
      </c>
      <c r="AX63" s="152"/>
      <c r="AY63" s="152"/>
      <c r="AZ63" s="152"/>
      <c r="BA63" s="152"/>
      <c r="BB63" s="152"/>
      <c r="BC63" s="152"/>
      <c r="BD63" s="153" t="str">
        <f>IF((RD[[#This Row],[33 kV_F1_Ex (O2RE9)]]-AX62)*150000&lt;=0,"",(RD[[#This Row],[33 kV_F1_Ex (O2RE9)]]-AX62)*150000)</f>
        <v/>
      </c>
      <c r="BE63" s="153">
        <f>IF((RD[[#This Row],[33kV_OG1_Ex (O2RE9)]]-AY62)*1000&lt;=0,0,(RD[[#This Row],[33kV_OG1_Ex (O2RE9)]]-AY62)*1000)</f>
        <v>0</v>
      </c>
      <c r="BF63" s="153"/>
      <c r="BG63" s="153" t="str">
        <f>IF((RD[[#This Row],[33 kV_F2_Ex (O2RE19)]]-BA62)*150000&lt;=0,"",(RD[[#This Row],[33 kV_F2_Ex (O2RE19)]]-BA62)*150000)</f>
        <v/>
      </c>
      <c r="BH63" s="153">
        <f>IF((RD[[#This Row],[33kV_OG2_Ex (O2RE19)]]-BB62)*1000&lt;=0,0,(RD[[#This Row],[33kV_OG2_Ex (O2RE19)]]-BB62)*1000)</f>
        <v>0</v>
      </c>
      <c r="BI63" s="153">
        <f>IF((RD[[#This Row],[33kV_Aux2_Im (O2RE19)]]-BC62)*1000&lt;0,"",(RD[[#This Row],[33kV_Aux2_Im (O2RE19)]]-BC62)*1000)</f>
        <v>0</v>
      </c>
      <c r="BJ63" s="153">
        <f>IF((RD[[#This Row],[33kV_Aux1_Im (O2RE9)]]-AZ62)*1000&lt;0,"",(RD[[#This Row],[33kV_Aux1_Im (O2RE9)]]-AZ62)*1000)</f>
        <v>0</v>
      </c>
      <c r="BK63" s="153">
        <f>SUM(RD[[#This Row],[33kV_OG1_O2RE9_Energy (KWh)]],RD[[#This Row],[33kV_OG2_O2RE19_Energy (KWh)]])</f>
        <v>0</v>
      </c>
      <c r="BL63" s="62" t="str">
        <f>IFERROR(RD[[#This Row],[33 kV Total Export (KWH)]]/RD[[#This Row],[Inv Total Gneration (MWh)]]-1,"")</f>
        <v/>
      </c>
      <c r="BM63" s="63">
        <f>IFERROR((RD[[#This Row],[Sunset Time (POA&lt;20 W/m2)]]-RD[[#This Row],[Sunrise Time (POA&gt;20 W/m2)]])*24,0)</f>
        <v>0</v>
      </c>
      <c r="BN63" s="64">
        <f>SUM(RD[[#This Row],[33kV_OG1_O2RE9_Energy (KWh)]],RD[[#This Row],[33kV_OG2_O2RE19_Energy (KWh)]])</f>
        <v>0</v>
      </c>
      <c r="BO63" s="64">
        <f>IFERROR(RD[[#This Row],[ Export (33 kV)]]*(1-RD[[#This Row],[33 kV Line Loss (%)]]),RD[[#This Row],[ Export (33 kV)]])</f>
        <v>0</v>
      </c>
      <c r="BP63" s="216"/>
      <c r="BQ63" s="121"/>
      <c r="BR63" s="121"/>
      <c r="BS63" t="str">
        <f>IFERROR(RD[[#This Row],[E_AC (WPR)]]/RD[[#This Row],[E_DC (WPR)]],"")</f>
        <v/>
      </c>
    </row>
    <row r="64" spans="1:71">
      <c r="A64" s="147">
        <f t="shared" si="69"/>
        <v>45898</v>
      </c>
      <c r="B64" s="150">
        <f>YEAR(RD[[#This Row],[Date]])+IF(MONTH(RD[[#This Row],[Date]])&gt;=4,1,0)</f>
        <v>2026</v>
      </c>
      <c r="C64" s="150">
        <f>YEAR(RD[[#This Row],[Date]])</f>
        <v>2025</v>
      </c>
      <c r="D64" s="151">
        <f t="shared" si="68"/>
        <v>45870</v>
      </c>
      <c r="E64" s="150">
        <f>DAY(EOMONTH(RD[[#This Row],[Date]],0))</f>
        <v>31</v>
      </c>
      <c r="F64" s="121"/>
      <c r="G64" s="121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66"/>
      <c r="AF64" s="166"/>
      <c r="AG64" s="166"/>
      <c r="AH64" s="166"/>
      <c r="AI64" s="166"/>
      <c r="AJ64" s="166"/>
      <c r="AK64" s="166"/>
      <c r="AL64" s="166"/>
      <c r="AM64" s="58"/>
      <c r="AN64" s="58"/>
      <c r="AO64" s="58"/>
      <c r="AP64" s="58"/>
      <c r="AQ64" s="58"/>
      <c r="AR64" s="58"/>
      <c r="AS64" s="58"/>
      <c r="AT64" s="58"/>
      <c r="AU64" s="60">
        <f>SUM(RD[[#This Row],[IS2Inv1M1]:[IS4Inv1M3]])</f>
        <v>0</v>
      </c>
      <c r="AV64" s="60">
        <f>SUM(RD[[#This Row],[IS5Inv1M1]:[IS5Inv2M3]])</f>
        <v>0</v>
      </c>
      <c r="AW64" s="60">
        <f>SUM(RD[[#This Row],[O2RE9]:[O2RE192]])</f>
        <v>0</v>
      </c>
      <c r="AX64" s="152"/>
      <c r="AY64" s="152"/>
      <c r="AZ64" s="152"/>
      <c r="BA64" s="152"/>
      <c r="BB64" s="152"/>
      <c r="BC64" s="152"/>
      <c r="BD64" s="153" t="str">
        <f>IF((RD[[#This Row],[33 kV_F1_Ex (O2RE9)]]-AX63)*150000&lt;=0,"",(RD[[#This Row],[33 kV_F1_Ex (O2RE9)]]-AX63)*150000)</f>
        <v/>
      </c>
      <c r="BE64" s="153">
        <f>IF((RD[[#This Row],[33kV_OG1_Ex (O2RE9)]]-AY63)*1000&lt;=0,0,(RD[[#This Row],[33kV_OG1_Ex (O2RE9)]]-AY63)*1000)</f>
        <v>0</v>
      </c>
      <c r="BF64" s="153"/>
      <c r="BG64" s="153" t="str">
        <f>IF((RD[[#This Row],[33 kV_F2_Ex (O2RE19)]]-BA63)*150000&lt;=0,"",(RD[[#This Row],[33 kV_F2_Ex (O2RE19)]]-BA63)*150000)</f>
        <v/>
      </c>
      <c r="BH64" s="153">
        <f>IF((RD[[#This Row],[33kV_OG2_Ex (O2RE19)]]-BB63)*1000&lt;=0,0,(RD[[#This Row],[33kV_OG2_Ex (O2RE19)]]-BB63)*1000)</f>
        <v>0</v>
      </c>
      <c r="BI64" s="153">
        <f>IF((RD[[#This Row],[33kV_Aux2_Im (O2RE19)]]-BC63)*1000&lt;0,"",(RD[[#This Row],[33kV_Aux2_Im (O2RE19)]]-BC63)*1000)</f>
        <v>0</v>
      </c>
      <c r="BJ64" s="153">
        <f>IF((RD[[#This Row],[33kV_Aux1_Im (O2RE9)]]-AZ63)*1000&lt;0,"",(RD[[#This Row],[33kV_Aux1_Im (O2RE9)]]-AZ63)*1000)</f>
        <v>0</v>
      </c>
      <c r="BK64" s="153">
        <f>SUM(RD[[#This Row],[33kV_OG1_O2RE9_Energy (KWh)]],RD[[#This Row],[33kV_OG2_O2RE19_Energy (KWh)]])</f>
        <v>0</v>
      </c>
      <c r="BL64" s="62" t="str">
        <f>IFERROR(RD[[#This Row],[33 kV Total Export (KWH)]]/RD[[#This Row],[Inv Total Gneration (MWh)]]-1,"")</f>
        <v/>
      </c>
      <c r="BM64" s="63">
        <f>IFERROR((RD[[#This Row],[Sunset Time (POA&lt;20 W/m2)]]-RD[[#This Row],[Sunrise Time (POA&gt;20 W/m2)]])*24,0)</f>
        <v>0</v>
      </c>
      <c r="BN64" s="64">
        <f>SUM(RD[[#This Row],[33kV_OG1_O2RE9_Energy (KWh)]],RD[[#This Row],[33kV_OG2_O2RE19_Energy (KWh)]])</f>
        <v>0</v>
      </c>
      <c r="BO64" s="64">
        <f>IFERROR(RD[[#This Row],[ Export (33 kV)]]*(1-RD[[#This Row],[33 kV Line Loss (%)]]),RD[[#This Row],[ Export (33 kV)]])</f>
        <v>0</v>
      </c>
      <c r="BP64" s="216"/>
      <c r="BQ64" s="121"/>
      <c r="BR64" s="121"/>
      <c r="BS64" t="str">
        <f>IFERROR(RD[[#This Row],[E_AC (WPR)]]/RD[[#This Row],[E_DC (WPR)]],"")</f>
        <v/>
      </c>
    </row>
    <row r="65" spans="1:71">
      <c r="A65" s="147">
        <f t="shared" si="69"/>
        <v>45899</v>
      </c>
      <c r="B65" s="150">
        <f>YEAR(RD[[#This Row],[Date]])+IF(MONTH(RD[[#This Row],[Date]])&gt;=4,1,0)</f>
        <v>2026</v>
      </c>
      <c r="C65" s="150">
        <f>YEAR(RD[[#This Row],[Date]])</f>
        <v>2025</v>
      </c>
      <c r="D65" s="151">
        <f t="shared" si="68"/>
        <v>45870</v>
      </c>
      <c r="E65" s="150">
        <f>DAY(EOMONTH(RD[[#This Row],[Date]],0))</f>
        <v>31</v>
      </c>
      <c r="F65" s="121"/>
      <c r="G65" s="121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66"/>
      <c r="AF65" s="166"/>
      <c r="AG65" s="166"/>
      <c r="AH65" s="166"/>
      <c r="AI65" s="166"/>
      <c r="AJ65" s="166"/>
      <c r="AK65" s="166"/>
      <c r="AL65" s="166"/>
      <c r="AM65" s="58"/>
      <c r="AN65" s="58"/>
      <c r="AO65" s="58"/>
      <c r="AP65" s="58"/>
      <c r="AQ65" s="58"/>
      <c r="AR65" s="58"/>
      <c r="AS65" s="58"/>
      <c r="AT65" s="58"/>
      <c r="AU65" s="60">
        <f>SUM(RD[[#This Row],[IS2Inv1M1]:[IS4Inv1M3]])</f>
        <v>0</v>
      </c>
      <c r="AV65" s="60">
        <f>SUM(RD[[#This Row],[IS5Inv1M1]:[IS5Inv2M3]])</f>
        <v>0</v>
      </c>
      <c r="AW65" s="60">
        <f>SUM(RD[[#This Row],[O2RE9]:[O2RE192]])</f>
        <v>0</v>
      </c>
      <c r="AX65" s="152"/>
      <c r="AY65" s="152"/>
      <c r="AZ65" s="152"/>
      <c r="BA65" s="152"/>
      <c r="BB65" s="152"/>
      <c r="BC65" s="152"/>
      <c r="BD65" s="153" t="str">
        <f>IF((RD[[#This Row],[33 kV_F1_Ex (O2RE9)]]-AX64)*150000&lt;=0,"",(RD[[#This Row],[33 kV_F1_Ex (O2RE9)]]-AX64)*150000)</f>
        <v/>
      </c>
      <c r="BE65" s="153">
        <f>IF((RD[[#This Row],[33kV_OG1_Ex (O2RE9)]]-AY64)*1000&lt;=0,0,(RD[[#This Row],[33kV_OG1_Ex (O2RE9)]]-AY64)*1000)</f>
        <v>0</v>
      </c>
      <c r="BF65" s="153"/>
      <c r="BG65" s="153" t="str">
        <f>IF((RD[[#This Row],[33 kV_F2_Ex (O2RE19)]]-BA64)*150000&lt;=0,"",(RD[[#This Row],[33 kV_F2_Ex (O2RE19)]]-BA64)*150000)</f>
        <v/>
      </c>
      <c r="BH65" s="153">
        <f>IF((RD[[#This Row],[33kV_OG2_Ex (O2RE19)]]-BB64)*1000&lt;=0,0,(RD[[#This Row],[33kV_OG2_Ex (O2RE19)]]-BB64)*1000)</f>
        <v>0</v>
      </c>
      <c r="BI65" s="153">
        <f>IF((RD[[#This Row],[33kV_Aux2_Im (O2RE19)]]-BC64)*1000&lt;0,"",(RD[[#This Row],[33kV_Aux2_Im (O2RE19)]]-BC64)*1000)</f>
        <v>0</v>
      </c>
      <c r="BJ65" s="153">
        <f>IF((RD[[#This Row],[33kV_Aux1_Im (O2RE9)]]-AZ64)*1000&lt;0,"",(RD[[#This Row],[33kV_Aux1_Im (O2RE9)]]-AZ64)*1000)</f>
        <v>0</v>
      </c>
      <c r="BK65" s="153">
        <f>SUM(RD[[#This Row],[33kV_OG1_O2RE9_Energy (KWh)]],RD[[#This Row],[33kV_OG2_O2RE19_Energy (KWh)]])</f>
        <v>0</v>
      </c>
      <c r="BL65" s="62" t="str">
        <f>IFERROR(RD[[#This Row],[33 kV Total Export (KWH)]]/RD[[#This Row],[Inv Total Gneration (MWh)]]-1,"")</f>
        <v/>
      </c>
      <c r="BM65" s="63">
        <f>IFERROR((RD[[#This Row],[Sunset Time (POA&lt;20 W/m2)]]-RD[[#This Row],[Sunrise Time (POA&gt;20 W/m2)]])*24,0)</f>
        <v>0</v>
      </c>
      <c r="BN65" s="64">
        <f>SUM(RD[[#This Row],[33kV_OG1_O2RE9_Energy (KWh)]],RD[[#This Row],[33kV_OG2_O2RE19_Energy (KWh)]])</f>
        <v>0</v>
      </c>
      <c r="BO65" s="64">
        <f>IFERROR(RD[[#This Row],[ Export (33 kV)]]*(1-RD[[#This Row],[33 kV Line Loss (%)]]),RD[[#This Row],[ Export (33 kV)]])</f>
        <v>0</v>
      </c>
      <c r="BP65" s="216"/>
      <c r="BQ65" s="121"/>
      <c r="BR65" s="121"/>
      <c r="BS65" t="str">
        <f>IFERROR(RD[[#This Row],[E_AC (WPR)]]/RD[[#This Row],[E_DC (WPR)]],"")</f>
        <v/>
      </c>
    </row>
    <row r="66" spans="1:71">
      <c r="A66" s="147">
        <f t="shared" si="69"/>
        <v>45900</v>
      </c>
      <c r="B66" s="150">
        <f>YEAR(RD[[#This Row],[Date]])+IF(MONTH(RD[[#This Row],[Date]])&gt;=4,1,0)</f>
        <v>2026</v>
      </c>
      <c r="C66" s="150">
        <f>YEAR(RD[[#This Row],[Date]])</f>
        <v>2025</v>
      </c>
      <c r="D66" s="151">
        <f t="shared" si="68"/>
        <v>45870</v>
      </c>
      <c r="E66" s="150">
        <f>DAY(EOMONTH(RD[[#This Row],[Date]],0))</f>
        <v>31</v>
      </c>
      <c r="F66" s="121"/>
      <c r="G66" s="121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66"/>
      <c r="AF66" s="166"/>
      <c r="AG66" s="166"/>
      <c r="AH66" s="166"/>
      <c r="AI66" s="166"/>
      <c r="AJ66" s="166"/>
      <c r="AK66" s="166"/>
      <c r="AL66" s="166"/>
      <c r="AM66" s="58"/>
      <c r="AN66" s="58"/>
      <c r="AO66" s="58"/>
      <c r="AP66" s="58"/>
      <c r="AQ66" s="58"/>
      <c r="AR66" s="58"/>
      <c r="AS66" s="58"/>
      <c r="AT66" s="58"/>
      <c r="AU66" s="60">
        <f>SUM(RD[[#This Row],[IS2Inv1M1]:[IS4Inv1M3]])</f>
        <v>0</v>
      </c>
      <c r="AV66" s="60">
        <f>SUM(RD[[#This Row],[IS5Inv1M1]:[IS5Inv2M3]])</f>
        <v>0</v>
      </c>
      <c r="AW66" s="60">
        <f>SUM(RD[[#This Row],[O2RE9]:[O2RE192]])</f>
        <v>0</v>
      </c>
      <c r="AX66" s="152"/>
      <c r="AY66" s="152"/>
      <c r="AZ66" s="152"/>
      <c r="BA66" s="152"/>
      <c r="BB66" s="152"/>
      <c r="BC66" s="152"/>
      <c r="BD66" s="153" t="str">
        <f>IF((RD[[#This Row],[33 kV_F1_Ex (O2RE9)]]-AX65)*150000&lt;=0,"",(RD[[#This Row],[33 kV_F1_Ex (O2RE9)]]-AX65)*150000)</f>
        <v/>
      </c>
      <c r="BE66" s="153">
        <f>IF((RD[[#This Row],[33kV_OG1_Ex (O2RE9)]]-AY65)*1000&lt;=0,0,(RD[[#This Row],[33kV_OG1_Ex (O2RE9)]]-AY65)*1000)</f>
        <v>0</v>
      </c>
      <c r="BF66" s="153"/>
      <c r="BG66" s="153" t="str">
        <f>IF((RD[[#This Row],[33 kV_F2_Ex (O2RE19)]]-BA65)*150000&lt;=0,"",(RD[[#This Row],[33 kV_F2_Ex (O2RE19)]]-BA65)*150000)</f>
        <v/>
      </c>
      <c r="BH66" s="153">
        <f>IF((RD[[#This Row],[33kV_OG2_Ex (O2RE19)]]-BB65)*1000&lt;=0,0,(RD[[#This Row],[33kV_OG2_Ex (O2RE19)]]-BB65)*1000)</f>
        <v>0</v>
      </c>
      <c r="BI66" s="153">
        <f>IF((RD[[#This Row],[33kV_Aux2_Im (O2RE19)]]-BC65)*1000&lt;0,"",(RD[[#This Row],[33kV_Aux2_Im (O2RE19)]]-BC65)*1000)</f>
        <v>0</v>
      </c>
      <c r="BJ66" s="153">
        <f>IF((RD[[#This Row],[33kV_Aux1_Im (O2RE9)]]-AZ65)*1000&lt;0,"",(RD[[#This Row],[33kV_Aux1_Im (O2RE9)]]-AZ65)*1000)</f>
        <v>0</v>
      </c>
      <c r="BK66" s="153">
        <f>SUM(RD[[#This Row],[33kV_OG1_O2RE9_Energy (KWh)]],RD[[#This Row],[33kV_OG2_O2RE19_Energy (KWh)]])</f>
        <v>0</v>
      </c>
      <c r="BL66" s="62" t="str">
        <f>IFERROR(RD[[#This Row],[33 kV Total Export (KWH)]]/RD[[#This Row],[Inv Total Gneration (MWh)]]-1,"")</f>
        <v/>
      </c>
      <c r="BM66" s="63">
        <f>IFERROR((RD[[#This Row],[Sunset Time (POA&lt;20 W/m2)]]-RD[[#This Row],[Sunrise Time (POA&gt;20 W/m2)]])*24,0)</f>
        <v>0</v>
      </c>
      <c r="BN66" s="64">
        <f>SUM(RD[[#This Row],[33kV_OG1_O2RE9_Energy (KWh)]],RD[[#This Row],[33kV_OG2_O2RE19_Energy (KWh)]])</f>
        <v>0</v>
      </c>
      <c r="BO66" s="64">
        <f>IFERROR(RD[[#This Row],[ Export (33 kV)]]*(1-RD[[#This Row],[33 kV Line Loss (%)]]),RD[[#This Row],[ Export (33 kV)]])</f>
        <v>0</v>
      </c>
      <c r="BP66" s="216"/>
      <c r="BQ66" s="121"/>
      <c r="BR66" s="121"/>
      <c r="BS66" t="str">
        <f>IFERROR(RD[[#This Row],[E_AC (WPR)]]/RD[[#This Row],[E_DC (WPR)]],"")</f>
        <v/>
      </c>
    </row>
    <row r="67" spans="1:71">
      <c r="A67" s="147">
        <f t="shared" si="69"/>
        <v>45901</v>
      </c>
      <c r="B67" s="150">
        <f>YEAR(RD[[#This Row],[Date]])+IF(MONTH(RD[[#This Row],[Date]])&gt;=4,1,0)</f>
        <v>2026</v>
      </c>
      <c r="C67" s="150">
        <f>YEAR(RD[[#This Row],[Date]])</f>
        <v>2025</v>
      </c>
      <c r="D67" s="151">
        <f t="shared" si="68"/>
        <v>45901</v>
      </c>
      <c r="E67" s="150">
        <f>DAY(EOMONTH(RD[[#This Row],[Date]],0))</f>
        <v>30</v>
      </c>
      <c r="F67" s="121"/>
      <c r="G67" s="121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66"/>
      <c r="AF67" s="166"/>
      <c r="AG67" s="166"/>
      <c r="AH67" s="166"/>
      <c r="AI67" s="166"/>
      <c r="AJ67" s="166"/>
      <c r="AK67" s="166"/>
      <c r="AL67" s="166"/>
      <c r="AM67" s="58"/>
      <c r="AN67" s="58"/>
      <c r="AO67" s="58"/>
      <c r="AP67" s="58"/>
      <c r="AQ67" s="58"/>
      <c r="AR67" s="58"/>
      <c r="AS67" s="58"/>
      <c r="AT67" s="58"/>
      <c r="AU67" s="60">
        <f>SUM(RD[[#This Row],[IS2Inv1M1]:[IS4Inv1M3]])</f>
        <v>0</v>
      </c>
      <c r="AV67" s="60">
        <f>SUM(RD[[#This Row],[IS5Inv1M1]:[IS5Inv2M3]])</f>
        <v>0</v>
      </c>
      <c r="AW67" s="60">
        <f>SUM(RD[[#This Row],[O2RE9]:[O2RE192]])</f>
        <v>0</v>
      </c>
      <c r="AX67" s="152"/>
      <c r="AY67" s="152"/>
      <c r="AZ67" s="152"/>
      <c r="BA67" s="152"/>
      <c r="BB67" s="152"/>
      <c r="BC67" s="152"/>
      <c r="BD67" s="153" t="str">
        <f>IF((RD[[#This Row],[33 kV_F1_Ex (O2RE9)]]-AX66)*150000&lt;=0,"",(RD[[#This Row],[33 kV_F1_Ex (O2RE9)]]-AX66)*150000)</f>
        <v/>
      </c>
      <c r="BE67" s="153">
        <f>IF((RD[[#This Row],[33kV_OG1_Ex (O2RE9)]]-AY66)*1000&lt;=0,0,(RD[[#This Row],[33kV_OG1_Ex (O2RE9)]]-AY66)*1000)</f>
        <v>0</v>
      </c>
      <c r="BF67" s="153"/>
      <c r="BG67" s="153" t="str">
        <f>IF((RD[[#This Row],[33 kV_F2_Ex (O2RE19)]]-BA66)*150000&lt;=0,"",(RD[[#This Row],[33 kV_F2_Ex (O2RE19)]]-BA66)*150000)</f>
        <v/>
      </c>
      <c r="BH67" s="153">
        <f>IF((RD[[#This Row],[33kV_OG2_Ex (O2RE19)]]-BB66)*1000&lt;=0,0,(RD[[#This Row],[33kV_OG2_Ex (O2RE19)]]-BB66)*1000)</f>
        <v>0</v>
      </c>
      <c r="BI67" s="153">
        <f>IF((RD[[#This Row],[33kV_Aux2_Im (O2RE19)]]-BC66)*1000&lt;0,"",(RD[[#This Row],[33kV_Aux2_Im (O2RE19)]]-BC66)*1000)</f>
        <v>0</v>
      </c>
      <c r="BJ67" s="153">
        <f>IF((RD[[#This Row],[33kV_Aux1_Im (O2RE9)]]-AZ66)*1000&lt;0,"",(RD[[#This Row],[33kV_Aux1_Im (O2RE9)]]-AZ66)*1000)</f>
        <v>0</v>
      </c>
      <c r="BK67" s="153">
        <f>SUM(RD[[#This Row],[33kV_OG1_O2RE9_Energy (KWh)]],RD[[#This Row],[33kV_OG2_O2RE19_Energy (KWh)]])</f>
        <v>0</v>
      </c>
      <c r="BL67" s="62" t="str">
        <f>IFERROR(RD[[#This Row],[33 kV Total Export (KWH)]]/RD[[#This Row],[Inv Total Gneration (MWh)]]-1,"")</f>
        <v/>
      </c>
      <c r="BM67" s="63">
        <f>IFERROR((RD[[#This Row],[Sunset Time (POA&lt;20 W/m2)]]-RD[[#This Row],[Sunrise Time (POA&gt;20 W/m2)]])*24,0)</f>
        <v>0</v>
      </c>
      <c r="BN67" s="64">
        <f>SUM(RD[[#This Row],[33kV_OG1_O2RE9_Energy (KWh)]],RD[[#This Row],[33kV_OG2_O2RE19_Energy (KWh)]])</f>
        <v>0</v>
      </c>
      <c r="BO67" s="64">
        <f>IFERROR(RD[[#This Row],[ Export (33 kV)]]*(1-RD[[#This Row],[33 kV Line Loss (%)]]),RD[[#This Row],[ Export (33 kV)]])</f>
        <v>0</v>
      </c>
      <c r="BP67" s="216"/>
      <c r="BQ67" s="121"/>
      <c r="BR67" s="121"/>
      <c r="BS67" t="str">
        <f>IFERROR(RD[[#This Row],[E_AC (WPR)]]/RD[[#This Row],[E_DC (WPR)]],"")</f>
        <v/>
      </c>
    </row>
    <row r="68" spans="1:71">
      <c r="A68" s="147">
        <f t="shared" si="69"/>
        <v>45902</v>
      </c>
      <c r="B68" s="150">
        <f>YEAR(RD[[#This Row],[Date]])+IF(MONTH(RD[[#This Row],[Date]])&gt;=4,1,0)</f>
        <v>2026</v>
      </c>
      <c r="C68" s="150">
        <f>YEAR(RD[[#This Row],[Date]])</f>
        <v>2025</v>
      </c>
      <c r="D68" s="151">
        <f t="shared" si="68"/>
        <v>45901</v>
      </c>
      <c r="E68" s="150">
        <f>DAY(EOMONTH(RD[[#This Row],[Date]],0))</f>
        <v>30</v>
      </c>
      <c r="F68" s="121"/>
      <c r="G68" s="121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66"/>
      <c r="AF68" s="166"/>
      <c r="AG68" s="166"/>
      <c r="AH68" s="166"/>
      <c r="AI68" s="166"/>
      <c r="AJ68" s="166"/>
      <c r="AK68" s="166"/>
      <c r="AL68" s="166"/>
      <c r="AM68" s="58"/>
      <c r="AN68" s="58"/>
      <c r="AO68" s="58"/>
      <c r="AP68" s="58"/>
      <c r="AQ68" s="58"/>
      <c r="AR68" s="58"/>
      <c r="AS68" s="58"/>
      <c r="AT68" s="58"/>
      <c r="AU68" s="60">
        <f>SUM(RD[[#This Row],[IS2Inv1M1]:[IS4Inv1M3]])</f>
        <v>0</v>
      </c>
      <c r="AV68" s="60">
        <f>SUM(RD[[#This Row],[IS5Inv1M1]:[IS5Inv2M3]])</f>
        <v>0</v>
      </c>
      <c r="AW68" s="60">
        <f>SUM(RD[[#This Row],[O2RE9]:[O2RE192]])</f>
        <v>0</v>
      </c>
      <c r="AX68" s="152"/>
      <c r="AY68" s="152"/>
      <c r="AZ68" s="152"/>
      <c r="BA68" s="152"/>
      <c r="BB68" s="152"/>
      <c r="BC68" s="152"/>
      <c r="BD68" s="153" t="str">
        <f>IF((RD[[#This Row],[33 kV_F1_Ex (O2RE9)]]-AX67)*150000&lt;=0,"",(RD[[#This Row],[33 kV_F1_Ex (O2RE9)]]-AX67)*150000)</f>
        <v/>
      </c>
      <c r="BE68" s="153">
        <f>IF((RD[[#This Row],[33kV_OG1_Ex (O2RE9)]]-AY67)*1000&lt;=0,0,(RD[[#This Row],[33kV_OG1_Ex (O2RE9)]]-AY67)*1000)</f>
        <v>0</v>
      </c>
      <c r="BF68" s="153"/>
      <c r="BG68" s="153" t="str">
        <f>IF((RD[[#This Row],[33 kV_F2_Ex (O2RE19)]]-BA67)*150000&lt;=0,"",(RD[[#This Row],[33 kV_F2_Ex (O2RE19)]]-BA67)*150000)</f>
        <v/>
      </c>
      <c r="BH68" s="153">
        <f>IF((RD[[#This Row],[33kV_OG2_Ex (O2RE19)]]-BB67)*1000&lt;=0,0,(RD[[#This Row],[33kV_OG2_Ex (O2RE19)]]-BB67)*1000)</f>
        <v>0</v>
      </c>
      <c r="BI68" s="153">
        <f>IF((RD[[#This Row],[33kV_Aux2_Im (O2RE19)]]-BC67)*1000&lt;0,"",(RD[[#This Row],[33kV_Aux2_Im (O2RE19)]]-BC67)*1000)</f>
        <v>0</v>
      </c>
      <c r="BJ68" s="153">
        <f>IF((RD[[#This Row],[33kV_Aux1_Im (O2RE9)]]-AZ67)*1000&lt;0,"",(RD[[#This Row],[33kV_Aux1_Im (O2RE9)]]-AZ67)*1000)</f>
        <v>0</v>
      </c>
      <c r="BK68" s="153">
        <f>SUM(RD[[#This Row],[33kV_OG1_O2RE9_Energy (KWh)]],RD[[#This Row],[33kV_OG2_O2RE19_Energy (KWh)]])</f>
        <v>0</v>
      </c>
      <c r="BL68" s="62" t="str">
        <f>IFERROR(RD[[#This Row],[33 kV Total Export (KWH)]]/RD[[#This Row],[Inv Total Gneration (MWh)]]-1,"")</f>
        <v/>
      </c>
      <c r="BM68" s="63">
        <f>IFERROR((RD[[#This Row],[Sunset Time (POA&lt;20 W/m2)]]-RD[[#This Row],[Sunrise Time (POA&gt;20 W/m2)]])*24,0)</f>
        <v>0</v>
      </c>
      <c r="BN68" s="64">
        <f>SUM(RD[[#This Row],[33kV_OG1_O2RE9_Energy (KWh)]],RD[[#This Row],[33kV_OG2_O2RE19_Energy (KWh)]])</f>
        <v>0</v>
      </c>
      <c r="BO68" s="64">
        <f>IFERROR(RD[[#This Row],[ Export (33 kV)]]*(1-RD[[#This Row],[33 kV Line Loss (%)]]),RD[[#This Row],[ Export (33 kV)]])</f>
        <v>0</v>
      </c>
      <c r="BP68" s="216"/>
      <c r="BQ68" s="121"/>
      <c r="BR68" s="121"/>
      <c r="BS68" t="str">
        <f>IFERROR(RD[[#This Row],[E_AC (WPR)]]/RD[[#This Row],[E_DC (WPR)]],"")</f>
        <v/>
      </c>
    </row>
    <row r="69" spans="1:71">
      <c r="A69" s="147">
        <f t="shared" si="69"/>
        <v>45903</v>
      </c>
      <c r="B69" s="150">
        <f>YEAR(RD[[#This Row],[Date]])+IF(MONTH(RD[[#This Row],[Date]])&gt;=4,1,0)</f>
        <v>2026</v>
      </c>
      <c r="C69" s="150">
        <f>YEAR(RD[[#This Row],[Date]])</f>
        <v>2025</v>
      </c>
      <c r="D69" s="151">
        <f t="shared" si="68"/>
        <v>45901</v>
      </c>
      <c r="E69" s="150">
        <f>DAY(EOMONTH(RD[[#This Row],[Date]],0))</f>
        <v>30</v>
      </c>
      <c r="F69" s="121"/>
      <c r="G69" s="121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66"/>
      <c r="AF69" s="166"/>
      <c r="AG69" s="166"/>
      <c r="AH69" s="166"/>
      <c r="AI69" s="166"/>
      <c r="AJ69" s="166"/>
      <c r="AK69" s="166"/>
      <c r="AL69" s="166"/>
      <c r="AM69" s="58"/>
      <c r="AN69" s="58"/>
      <c r="AO69" s="58"/>
      <c r="AP69" s="58"/>
      <c r="AQ69" s="58"/>
      <c r="AR69" s="58"/>
      <c r="AS69" s="58"/>
      <c r="AT69" s="58"/>
      <c r="AU69" s="60">
        <f>SUM(RD[[#This Row],[IS2Inv1M1]:[IS4Inv1M3]])</f>
        <v>0</v>
      </c>
      <c r="AV69" s="60">
        <f>SUM(RD[[#This Row],[IS5Inv1M1]:[IS5Inv2M3]])</f>
        <v>0</v>
      </c>
      <c r="AW69" s="60">
        <f>SUM(RD[[#This Row],[O2RE9]:[O2RE192]])</f>
        <v>0</v>
      </c>
      <c r="AX69" s="152"/>
      <c r="AY69" s="152"/>
      <c r="AZ69" s="152"/>
      <c r="BA69" s="152"/>
      <c r="BB69" s="152"/>
      <c r="BC69" s="152"/>
      <c r="BD69" s="153" t="str">
        <f>IF((RD[[#This Row],[33 kV_F1_Ex (O2RE9)]]-AX68)*150000&lt;=0,"",(RD[[#This Row],[33 kV_F1_Ex (O2RE9)]]-AX68)*150000)</f>
        <v/>
      </c>
      <c r="BE69" s="153">
        <f>IF((RD[[#This Row],[33kV_OG1_Ex (O2RE9)]]-AY68)*1000&lt;=0,0,(RD[[#This Row],[33kV_OG1_Ex (O2RE9)]]-AY68)*1000)</f>
        <v>0</v>
      </c>
      <c r="BF69" s="153"/>
      <c r="BG69" s="153" t="str">
        <f>IF((RD[[#This Row],[33 kV_F2_Ex (O2RE19)]]-BA68)*150000&lt;=0,"",(RD[[#This Row],[33 kV_F2_Ex (O2RE19)]]-BA68)*150000)</f>
        <v/>
      </c>
      <c r="BH69" s="153">
        <f>IF((RD[[#This Row],[33kV_OG2_Ex (O2RE19)]]-BB68)*1000&lt;=0,0,(RD[[#This Row],[33kV_OG2_Ex (O2RE19)]]-BB68)*1000)</f>
        <v>0</v>
      </c>
      <c r="BI69" s="153">
        <f>IF((RD[[#This Row],[33kV_Aux2_Im (O2RE19)]]-BC68)*1000&lt;0,"",(RD[[#This Row],[33kV_Aux2_Im (O2RE19)]]-BC68)*1000)</f>
        <v>0</v>
      </c>
      <c r="BJ69" s="153">
        <f>IF((RD[[#This Row],[33kV_Aux1_Im (O2RE9)]]-AZ68)*1000&lt;0,"",(RD[[#This Row],[33kV_Aux1_Im (O2RE9)]]-AZ68)*1000)</f>
        <v>0</v>
      </c>
      <c r="BK69" s="153">
        <f>SUM(RD[[#This Row],[33kV_OG1_O2RE9_Energy (KWh)]],RD[[#This Row],[33kV_OG2_O2RE19_Energy (KWh)]])</f>
        <v>0</v>
      </c>
      <c r="BL69" s="62" t="str">
        <f>IFERROR(RD[[#This Row],[33 kV Total Export (KWH)]]/RD[[#This Row],[Inv Total Gneration (MWh)]]-1,"")</f>
        <v/>
      </c>
      <c r="BM69" s="63">
        <f>IFERROR((RD[[#This Row],[Sunset Time (POA&lt;20 W/m2)]]-RD[[#This Row],[Sunrise Time (POA&gt;20 W/m2)]])*24,0)</f>
        <v>0</v>
      </c>
      <c r="BN69" s="64">
        <f>SUM(RD[[#This Row],[33kV_OG1_O2RE9_Energy (KWh)]],RD[[#This Row],[33kV_OG2_O2RE19_Energy (KWh)]])</f>
        <v>0</v>
      </c>
      <c r="BO69" s="64">
        <f>IFERROR(RD[[#This Row],[ Export (33 kV)]]*(1-RD[[#This Row],[33 kV Line Loss (%)]]),RD[[#This Row],[ Export (33 kV)]])</f>
        <v>0</v>
      </c>
      <c r="BP69" s="216"/>
      <c r="BQ69" s="121"/>
      <c r="BR69" s="121"/>
      <c r="BS69" t="str">
        <f>IFERROR(RD[[#This Row],[E_AC (WPR)]]/RD[[#This Row],[E_DC (WPR)]],"")</f>
        <v/>
      </c>
    </row>
    <row r="70" spans="1:71">
      <c r="A70" s="147">
        <f t="shared" si="69"/>
        <v>45904</v>
      </c>
      <c r="B70" s="150">
        <f>YEAR(RD[[#This Row],[Date]])+IF(MONTH(RD[[#This Row],[Date]])&gt;=4,1,0)</f>
        <v>2026</v>
      </c>
      <c r="C70" s="150">
        <f>YEAR(RD[[#This Row],[Date]])</f>
        <v>2025</v>
      </c>
      <c r="D70" s="151">
        <f t="shared" si="68"/>
        <v>45901</v>
      </c>
      <c r="E70" s="150">
        <f>DAY(EOMONTH(RD[[#This Row],[Date]],0))</f>
        <v>30</v>
      </c>
      <c r="F70" s="121"/>
      <c r="G70" s="121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66"/>
      <c r="AF70" s="166"/>
      <c r="AG70" s="166"/>
      <c r="AH70" s="166"/>
      <c r="AI70" s="166"/>
      <c r="AJ70" s="166"/>
      <c r="AK70" s="166"/>
      <c r="AL70" s="166"/>
      <c r="AM70" s="58"/>
      <c r="AN70" s="58"/>
      <c r="AO70" s="58"/>
      <c r="AP70" s="58"/>
      <c r="AQ70" s="58"/>
      <c r="AR70" s="58"/>
      <c r="AS70" s="58"/>
      <c r="AT70" s="58"/>
      <c r="AU70" s="60">
        <f>SUM(RD[[#This Row],[IS2Inv1M1]:[IS4Inv1M3]])</f>
        <v>0</v>
      </c>
      <c r="AV70" s="60">
        <f>SUM(RD[[#This Row],[IS5Inv1M1]:[IS5Inv2M3]])</f>
        <v>0</v>
      </c>
      <c r="AW70" s="60">
        <f>SUM(RD[[#This Row],[O2RE9]:[O2RE192]])</f>
        <v>0</v>
      </c>
      <c r="AX70" s="152"/>
      <c r="AY70" s="152"/>
      <c r="AZ70" s="152"/>
      <c r="BA70" s="152"/>
      <c r="BB70" s="152"/>
      <c r="BC70" s="152"/>
      <c r="BD70" s="153" t="str">
        <f>IF((RD[[#This Row],[33 kV_F1_Ex (O2RE9)]]-AX69)*150000&lt;=0,"",(RD[[#This Row],[33 kV_F1_Ex (O2RE9)]]-AX69)*150000)</f>
        <v/>
      </c>
      <c r="BE70" s="153">
        <f>IF((RD[[#This Row],[33kV_OG1_Ex (O2RE9)]]-AY69)*1000&lt;=0,0,(RD[[#This Row],[33kV_OG1_Ex (O2RE9)]]-AY69)*1000)</f>
        <v>0</v>
      </c>
      <c r="BF70" s="153"/>
      <c r="BG70" s="153" t="str">
        <f>IF((RD[[#This Row],[33 kV_F2_Ex (O2RE19)]]-BA69)*150000&lt;=0,"",(RD[[#This Row],[33 kV_F2_Ex (O2RE19)]]-BA69)*150000)</f>
        <v/>
      </c>
      <c r="BH70" s="153">
        <f>IF((RD[[#This Row],[33kV_OG2_Ex (O2RE19)]]-BB69)*1000&lt;=0,0,(RD[[#This Row],[33kV_OG2_Ex (O2RE19)]]-BB69)*1000)</f>
        <v>0</v>
      </c>
      <c r="BI70" s="153">
        <f>IF((RD[[#This Row],[33kV_Aux2_Im (O2RE19)]]-BC69)*1000&lt;0,"",(RD[[#This Row],[33kV_Aux2_Im (O2RE19)]]-BC69)*1000)</f>
        <v>0</v>
      </c>
      <c r="BJ70" s="153">
        <f>IF((RD[[#This Row],[33kV_Aux1_Im (O2RE9)]]-AZ69)*1000&lt;0,"",(RD[[#This Row],[33kV_Aux1_Im (O2RE9)]]-AZ69)*1000)</f>
        <v>0</v>
      </c>
      <c r="BK70" s="153">
        <f>SUM(RD[[#This Row],[33kV_OG1_O2RE9_Energy (KWh)]],RD[[#This Row],[33kV_OG2_O2RE19_Energy (KWh)]])</f>
        <v>0</v>
      </c>
      <c r="BL70" s="62" t="str">
        <f>IFERROR(RD[[#This Row],[33 kV Total Export (KWH)]]/RD[[#This Row],[Inv Total Gneration (MWh)]]-1,"")</f>
        <v/>
      </c>
      <c r="BM70" s="63">
        <f>IFERROR((RD[[#This Row],[Sunset Time (POA&lt;20 W/m2)]]-RD[[#This Row],[Sunrise Time (POA&gt;20 W/m2)]])*24,0)</f>
        <v>0</v>
      </c>
      <c r="BN70" s="64">
        <f>SUM(RD[[#This Row],[33kV_OG1_O2RE9_Energy (KWh)]],RD[[#This Row],[33kV_OG2_O2RE19_Energy (KWh)]])</f>
        <v>0</v>
      </c>
      <c r="BO70" s="64">
        <f>IFERROR(RD[[#This Row],[ Export (33 kV)]]*(1-RD[[#This Row],[33 kV Line Loss (%)]]),RD[[#This Row],[ Export (33 kV)]])</f>
        <v>0</v>
      </c>
      <c r="BP70" s="216"/>
      <c r="BQ70" s="121"/>
      <c r="BR70" s="121"/>
      <c r="BS70" t="str">
        <f>IFERROR(RD[[#This Row],[E_AC (WPR)]]/RD[[#This Row],[E_DC (WPR)]],"")</f>
        <v/>
      </c>
    </row>
    <row r="71" spans="1:71">
      <c r="A71" s="147">
        <f t="shared" si="69"/>
        <v>45905</v>
      </c>
      <c r="B71" s="150">
        <f>YEAR(RD[[#This Row],[Date]])+IF(MONTH(RD[[#This Row],[Date]])&gt;=4,1,0)</f>
        <v>2026</v>
      </c>
      <c r="C71" s="150">
        <f>YEAR(RD[[#This Row],[Date]])</f>
        <v>2025</v>
      </c>
      <c r="D71" s="151">
        <f t="shared" si="68"/>
        <v>45901</v>
      </c>
      <c r="E71" s="150">
        <f>DAY(EOMONTH(RD[[#This Row],[Date]],0))</f>
        <v>30</v>
      </c>
      <c r="F71" s="121"/>
      <c r="G71" s="121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66"/>
      <c r="AF71" s="166"/>
      <c r="AG71" s="166"/>
      <c r="AH71" s="166"/>
      <c r="AI71" s="166"/>
      <c r="AJ71" s="166"/>
      <c r="AK71" s="166"/>
      <c r="AL71" s="166"/>
      <c r="AM71" s="58"/>
      <c r="AN71" s="58"/>
      <c r="AO71" s="58"/>
      <c r="AP71" s="58"/>
      <c r="AQ71" s="58"/>
      <c r="AR71" s="58"/>
      <c r="AS71" s="58"/>
      <c r="AT71" s="58"/>
      <c r="AU71" s="60">
        <f>SUM(RD[[#This Row],[IS2Inv1M1]:[IS4Inv1M3]])</f>
        <v>0</v>
      </c>
      <c r="AV71" s="60">
        <f>SUM(RD[[#This Row],[IS5Inv1M1]:[IS5Inv2M3]])</f>
        <v>0</v>
      </c>
      <c r="AW71" s="60">
        <f>SUM(RD[[#This Row],[O2RE9]:[O2RE192]])</f>
        <v>0</v>
      </c>
      <c r="AX71" s="152"/>
      <c r="AY71" s="152"/>
      <c r="AZ71" s="152"/>
      <c r="BA71" s="152"/>
      <c r="BB71" s="152"/>
      <c r="BC71" s="152"/>
      <c r="BD71" s="153" t="str">
        <f>IF((RD[[#This Row],[33 kV_F1_Ex (O2RE9)]]-AX70)*150000&lt;=0,"",(RD[[#This Row],[33 kV_F1_Ex (O2RE9)]]-AX70)*150000)</f>
        <v/>
      </c>
      <c r="BE71" s="153">
        <f>IF((RD[[#This Row],[33kV_OG1_Ex (O2RE9)]]-AY70)*1000&lt;=0,0,(RD[[#This Row],[33kV_OG1_Ex (O2RE9)]]-AY70)*1000)</f>
        <v>0</v>
      </c>
      <c r="BF71" s="153"/>
      <c r="BG71" s="153" t="str">
        <f>IF((RD[[#This Row],[33 kV_F2_Ex (O2RE19)]]-BA70)*150000&lt;=0,"",(RD[[#This Row],[33 kV_F2_Ex (O2RE19)]]-BA70)*150000)</f>
        <v/>
      </c>
      <c r="BH71" s="153">
        <f>IF((RD[[#This Row],[33kV_OG2_Ex (O2RE19)]]-BB70)*1000&lt;=0,0,(RD[[#This Row],[33kV_OG2_Ex (O2RE19)]]-BB70)*1000)</f>
        <v>0</v>
      </c>
      <c r="BI71" s="153">
        <f>IF((RD[[#This Row],[33kV_Aux2_Im (O2RE19)]]-BC70)*1000&lt;0,"",(RD[[#This Row],[33kV_Aux2_Im (O2RE19)]]-BC70)*1000)</f>
        <v>0</v>
      </c>
      <c r="BJ71" s="153">
        <f>IF((RD[[#This Row],[33kV_Aux1_Im (O2RE9)]]-AZ70)*1000&lt;0,"",(RD[[#This Row],[33kV_Aux1_Im (O2RE9)]]-AZ70)*1000)</f>
        <v>0</v>
      </c>
      <c r="BK71" s="153">
        <f>SUM(RD[[#This Row],[33kV_OG1_O2RE9_Energy (KWh)]],RD[[#This Row],[33kV_OG2_O2RE19_Energy (KWh)]])</f>
        <v>0</v>
      </c>
      <c r="BL71" s="62" t="str">
        <f>IFERROR(RD[[#This Row],[33 kV Total Export (KWH)]]/RD[[#This Row],[Inv Total Gneration (MWh)]]-1,"")</f>
        <v/>
      </c>
      <c r="BM71" s="63">
        <f>IFERROR((RD[[#This Row],[Sunset Time (POA&lt;20 W/m2)]]-RD[[#This Row],[Sunrise Time (POA&gt;20 W/m2)]])*24,0)</f>
        <v>0</v>
      </c>
      <c r="BN71" s="64">
        <f>SUM(RD[[#This Row],[33kV_OG1_O2RE9_Energy (KWh)]],RD[[#This Row],[33kV_OG2_O2RE19_Energy (KWh)]])</f>
        <v>0</v>
      </c>
      <c r="BO71" s="64">
        <f>IFERROR(RD[[#This Row],[ Export (33 kV)]]*(1-RD[[#This Row],[33 kV Line Loss (%)]]),RD[[#This Row],[ Export (33 kV)]])</f>
        <v>0</v>
      </c>
      <c r="BP71" s="216"/>
      <c r="BQ71" s="121"/>
      <c r="BR71" s="121"/>
      <c r="BS71" t="str">
        <f>IFERROR(RD[[#This Row],[E_AC (WPR)]]/RD[[#This Row],[E_DC (WPR)]],"")</f>
        <v/>
      </c>
    </row>
    <row r="72" spans="1:71">
      <c r="A72" s="147">
        <f t="shared" si="69"/>
        <v>45906</v>
      </c>
      <c r="B72" s="150">
        <f>YEAR(RD[[#This Row],[Date]])+IF(MONTH(RD[[#This Row],[Date]])&gt;=4,1,0)</f>
        <v>2026</v>
      </c>
      <c r="C72" s="150">
        <f>YEAR(RD[[#This Row],[Date]])</f>
        <v>2025</v>
      </c>
      <c r="D72" s="151">
        <f t="shared" si="68"/>
        <v>45901</v>
      </c>
      <c r="E72" s="150">
        <f>DAY(EOMONTH(RD[[#This Row],[Date]],0))</f>
        <v>30</v>
      </c>
      <c r="F72" s="121"/>
      <c r="G72" s="121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66"/>
      <c r="AF72" s="166"/>
      <c r="AG72" s="166"/>
      <c r="AH72" s="166"/>
      <c r="AI72" s="166"/>
      <c r="AJ72" s="166"/>
      <c r="AK72" s="166"/>
      <c r="AL72" s="166"/>
      <c r="AM72" s="58"/>
      <c r="AN72" s="58"/>
      <c r="AO72" s="58"/>
      <c r="AP72" s="58"/>
      <c r="AQ72" s="58"/>
      <c r="AR72" s="58"/>
      <c r="AS72" s="58"/>
      <c r="AT72" s="58"/>
      <c r="AU72" s="60">
        <f>SUM(RD[[#This Row],[IS2Inv1M1]:[IS4Inv1M3]])</f>
        <v>0</v>
      </c>
      <c r="AV72" s="60">
        <f>SUM(RD[[#This Row],[IS5Inv1M1]:[IS5Inv2M3]])</f>
        <v>0</v>
      </c>
      <c r="AW72" s="60">
        <f>SUM(RD[[#This Row],[O2RE9]:[O2RE192]])</f>
        <v>0</v>
      </c>
      <c r="AX72" s="152"/>
      <c r="AY72" s="152"/>
      <c r="AZ72" s="152"/>
      <c r="BA72" s="152"/>
      <c r="BB72" s="152"/>
      <c r="BC72" s="152"/>
      <c r="BD72" s="153" t="str">
        <f>IF((RD[[#This Row],[33 kV_F1_Ex (O2RE9)]]-AX71)*150000&lt;=0,"",(RD[[#This Row],[33 kV_F1_Ex (O2RE9)]]-AX71)*150000)</f>
        <v/>
      </c>
      <c r="BE72" s="153">
        <f>IF((RD[[#This Row],[33kV_OG1_Ex (O2RE9)]]-AY71)*1000&lt;=0,0,(RD[[#This Row],[33kV_OG1_Ex (O2RE9)]]-AY71)*1000)</f>
        <v>0</v>
      </c>
      <c r="BF72" s="153"/>
      <c r="BG72" s="153" t="str">
        <f>IF((RD[[#This Row],[33 kV_F2_Ex (O2RE19)]]-BA71)*150000&lt;=0,"",(RD[[#This Row],[33 kV_F2_Ex (O2RE19)]]-BA71)*150000)</f>
        <v/>
      </c>
      <c r="BH72" s="153">
        <f>IF((RD[[#This Row],[33kV_OG2_Ex (O2RE19)]]-BB71)*1000&lt;=0,0,(RD[[#This Row],[33kV_OG2_Ex (O2RE19)]]-BB71)*1000)</f>
        <v>0</v>
      </c>
      <c r="BI72" s="153">
        <f>IF((RD[[#This Row],[33kV_Aux2_Im (O2RE19)]]-BC71)*1000&lt;0,"",(RD[[#This Row],[33kV_Aux2_Im (O2RE19)]]-BC71)*1000)</f>
        <v>0</v>
      </c>
      <c r="BJ72" s="153">
        <f>IF((RD[[#This Row],[33kV_Aux1_Im (O2RE9)]]-AZ71)*1000&lt;0,"",(RD[[#This Row],[33kV_Aux1_Im (O2RE9)]]-AZ71)*1000)</f>
        <v>0</v>
      </c>
      <c r="BK72" s="153">
        <f>SUM(RD[[#This Row],[33kV_OG1_O2RE9_Energy (KWh)]],RD[[#This Row],[33kV_OG2_O2RE19_Energy (KWh)]])</f>
        <v>0</v>
      </c>
      <c r="BL72" s="62" t="str">
        <f>IFERROR(RD[[#This Row],[33 kV Total Export (KWH)]]/RD[[#This Row],[Inv Total Gneration (MWh)]]-1,"")</f>
        <v/>
      </c>
      <c r="BM72" s="63">
        <f>IFERROR((RD[[#This Row],[Sunset Time (POA&lt;20 W/m2)]]-RD[[#This Row],[Sunrise Time (POA&gt;20 W/m2)]])*24,0)</f>
        <v>0</v>
      </c>
      <c r="BN72" s="64">
        <f>SUM(RD[[#This Row],[33kV_OG1_O2RE9_Energy (KWh)]],RD[[#This Row],[33kV_OG2_O2RE19_Energy (KWh)]])</f>
        <v>0</v>
      </c>
      <c r="BO72" s="64">
        <f>IFERROR(RD[[#This Row],[ Export (33 kV)]]*(1-RD[[#This Row],[33 kV Line Loss (%)]]),RD[[#This Row],[ Export (33 kV)]])</f>
        <v>0</v>
      </c>
      <c r="BP72" s="216"/>
      <c r="BQ72" s="121"/>
      <c r="BR72" s="121"/>
      <c r="BS72" t="str">
        <f>IFERROR(RD[[#This Row],[E_AC (WPR)]]/RD[[#This Row],[E_DC (WPR)]],"")</f>
        <v/>
      </c>
    </row>
    <row r="73" spans="1:71">
      <c r="A73" s="147">
        <f t="shared" si="69"/>
        <v>45907</v>
      </c>
      <c r="B73" s="150">
        <f>YEAR(RD[[#This Row],[Date]])+IF(MONTH(RD[[#This Row],[Date]])&gt;=4,1,0)</f>
        <v>2026</v>
      </c>
      <c r="C73" s="150">
        <f>YEAR(RD[[#This Row],[Date]])</f>
        <v>2025</v>
      </c>
      <c r="D73" s="151">
        <f t="shared" si="68"/>
        <v>45901</v>
      </c>
      <c r="E73" s="150">
        <f>DAY(EOMONTH(RD[[#This Row],[Date]],0))</f>
        <v>30</v>
      </c>
      <c r="F73" s="121"/>
      <c r="G73" s="121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66"/>
      <c r="AF73" s="166"/>
      <c r="AG73" s="166"/>
      <c r="AH73" s="166"/>
      <c r="AI73" s="166"/>
      <c r="AJ73" s="166"/>
      <c r="AK73" s="166"/>
      <c r="AL73" s="166"/>
      <c r="AM73" s="58"/>
      <c r="AN73" s="58"/>
      <c r="AO73" s="58"/>
      <c r="AP73" s="58"/>
      <c r="AQ73" s="58"/>
      <c r="AR73" s="58"/>
      <c r="AS73" s="58"/>
      <c r="AT73" s="58"/>
      <c r="AU73" s="60">
        <f>SUM(RD[[#This Row],[IS2Inv1M1]:[IS4Inv1M3]])</f>
        <v>0</v>
      </c>
      <c r="AV73" s="60">
        <f>SUM(RD[[#This Row],[IS5Inv1M1]:[IS5Inv2M3]])</f>
        <v>0</v>
      </c>
      <c r="AW73" s="60">
        <f>SUM(RD[[#This Row],[O2RE9]:[O2RE192]])</f>
        <v>0</v>
      </c>
      <c r="AX73" s="152"/>
      <c r="AY73" s="152"/>
      <c r="AZ73" s="152"/>
      <c r="BA73" s="152"/>
      <c r="BB73" s="152"/>
      <c r="BC73" s="152"/>
      <c r="BD73" s="153" t="str">
        <f>IF((RD[[#This Row],[33 kV_F1_Ex (O2RE9)]]-AX72)*150000&lt;=0,"",(RD[[#This Row],[33 kV_F1_Ex (O2RE9)]]-AX72)*150000)</f>
        <v/>
      </c>
      <c r="BE73" s="153">
        <f>IF((RD[[#This Row],[33kV_OG1_Ex (O2RE9)]]-AY72)*1000&lt;=0,0,(RD[[#This Row],[33kV_OG1_Ex (O2RE9)]]-AY72)*1000)</f>
        <v>0</v>
      </c>
      <c r="BF73" s="153"/>
      <c r="BG73" s="153" t="str">
        <f>IF((RD[[#This Row],[33 kV_F2_Ex (O2RE19)]]-BA72)*150000&lt;=0,"",(RD[[#This Row],[33 kV_F2_Ex (O2RE19)]]-BA72)*150000)</f>
        <v/>
      </c>
      <c r="BH73" s="153">
        <f>IF((RD[[#This Row],[33kV_OG2_Ex (O2RE19)]]-BB72)*1000&lt;=0,0,(RD[[#This Row],[33kV_OG2_Ex (O2RE19)]]-BB72)*1000)</f>
        <v>0</v>
      </c>
      <c r="BI73" s="153">
        <f>IF((RD[[#This Row],[33kV_Aux2_Im (O2RE19)]]-BC72)*1000&lt;0,"",(RD[[#This Row],[33kV_Aux2_Im (O2RE19)]]-BC72)*1000)</f>
        <v>0</v>
      </c>
      <c r="BJ73" s="153">
        <f>IF((RD[[#This Row],[33kV_Aux1_Im (O2RE9)]]-AZ72)*1000&lt;0,"",(RD[[#This Row],[33kV_Aux1_Im (O2RE9)]]-AZ72)*1000)</f>
        <v>0</v>
      </c>
      <c r="BK73" s="153">
        <f>SUM(RD[[#This Row],[33kV_OG1_O2RE9_Energy (KWh)]],RD[[#This Row],[33kV_OG2_O2RE19_Energy (KWh)]])</f>
        <v>0</v>
      </c>
      <c r="BL73" s="62" t="str">
        <f>IFERROR(RD[[#This Row],[33 kV Total Export (KWH)]]/RD[[#This Row],[Inv Total Gneration (MWh)]]-1,"")</f>
        <v/>
      </c>
      <c r="BM73" s="63">
        <f>IFERROR((RD[[#This Row],[Sunset Time (POA&lt;20 W/m2)]]-RD[[#This Row],[Sunrise Time (POA&gt;20 W/m2)]])*24,0)</f>
        <v>0</v>
      </c>
      <c r="BN73" s="64">
        <f>SUM(RD[[#This Row],[33kV_OG1_O2RE9_Energy (KWh)]],RD[[#This Row],[33kV_OG2_O2RE19_Energy (KWh)]])</f>
        <v>0</v>
      </c>
      <c r="BO73" s="64">
        <f>IFERROR(RD[[#This Row],[ Export (33 kV)]]*(1-RD[[#This Row],[33 kV Line Loss (%)]]),RD[[#This Row],[ Export (33 kV)]])</f>
        <v>0</v>
      </c>
      <c r="BP73" s="216"/>
      <c r="BQ73" s="121"/>
      <c r="BR73" s="121"/>
      <c r="BS73" t="str">
        <f>IFERROR(RD[[#This Row],[E_AC (WPR)]]/RD[[#This Row],[E_DC (WPR)]],"")</f>
        <v/>
      </c>
    </row>
    <row r="74" spans="1:71">
      <c r="A74" s="147">
        <f t="shared" si="69"/>
        <v>45908</v>
      </c>
      <c r="B74" s="150">
        <f>YEAR(RD[[#This Row],[Date]])+IF(MONTH(RD[[#This Row],[Date]])&gt;=4,1,0)</f>
        <v>2026</v>
      </c>
      <c r="C74" s="150">
        <f>YEAR(RD[[#This Row],[Date]])</f>
        <v>2025</v>
      </c>
      <c r="D74" s="151">
        <f t="shared" si="68"/>
        <v>45901</v>
      </c>
      <c r="E74" s="150">
        <f>DAY(EOMONTH(RD[[#This Row],[Date]],0))</f>
        <v>30</v>
      </c>
      <c r="F74" s="121"/>
      <c r="G74" s="121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66"/>
      <c r="AF74" s="166"/>
      <c r="AG74" s="166"/>
      <c r="AH74" s="166"/>
      <c r="AI74" s="166"/>
      <c r="AJ74" s="166"/>
      <c r="AK74" s="166"/>
      <c r="AL74" s="166"/>
      <c r="AM74" s="58"/>
      <c r="AN74" s="58"/>
      <c r="AO74" s="58"/>
      <c r="AP74" s="58"/>
      <c r="AQ74" s="58"/>
      <c r="AR74" s="58"/>
      <c r="AS74" s="58"/>
      <c r="AT74" s="58"/>
      <c r="AU74" s="60">
        <f>SUM(RD[[#This Row],[IS2Inv1M1]:[IS4Inv1M3]])</f>
        <v>0</v>
      </c>
      <c r="AV74" s="60">
        <f>SUM(RD[[#This Row],[IS5Inv1M1]:[IS5Inv2M3]])</f>
        <v>0</v>
      </c>
      <c r="AW74" s="60">
        <f>SUM(RD[[#This Row],[O2RE9]:[O2RE192]])</f>
        <v>0</v>
      </c>
      <c r="AX74" s="152"/>
      <c r="AY74" s="152"/>
      <c r="AZ74" s="152"/>
      <c r="BA74" s="152"/>
      <c r="BB74" s="152"/>
      <c r="BC74" s="152"/>
      <c r="BD74" s="153" t="str">
        <f>IF((RD[[#This Row],[33 kV_F1_Ex (O2RE9)]]-AX73)*150000&lt;=0,"",(RD[[#This Row],[33 kV_F1_Ex (O2RE9)]]-AX73)*150000)</f>
        <v/>
      </c>
      <c r="BE74" s="153">
        <f>IF((RD[[#This Row],[33kV_OG1_Ex (O2RE9)]]-AY73)*1000&lt;=0,0,(RD[[#This Row],[33kV_OG1_Ex (O2RE9)]]-AY73)*1000)</f>
        <v>0</v>
      </c>
      <c r="BF74" s="153"/>
      <c r="BG74" s="153" t="str">
        <f>IF((RD[[#This Row],[33 kV_F2_Ex (O2RE19)]]-BA73)*150000&lt;=0,"",(RD[[#This Row],[33 kV_F2_Ex (O2RE19)]]-BA73)*150000)</f>
        <v/>
      </c>
      <c r="BH74" s="153">
        <f>IF((RD[[#This Row],[33kV_OG2_Ex (O2RE19)]]-BB73)*1000&lt;=0,0,(RD[[#This Row],[33kV_OG2_Ex (O2RE19)]]-BB73)*1000)</f>
        <v>0</v>
      </c>
      <c r="BI74" s="153">
        <f>IF((RD[[#This Row],[33kV_Aux2_Im (O2RE19)]]-BC73)*1000&lt;0,"",(RD[[#This Row],[33kV_Aux2_Im (O2RE19)]]-BC73)*1000)</f>
        <v>0</v>
      </c>
      <c r="BJ74" s="153">
        <f>IF((RD[[#This Row],[33kV_Aux1_Im (O2RE9)]]-AZ73)*1000&lt;0,"",(RD[[#This Row],[33kV_Aux1_Im (O2RE9)]]-AZ73)*1000)</f>
        <v>0</v>
      </c>
      <c r="BK74" s="153">
        <f>SUM(RD[[#This Row],[33kV_OG1_O2RE9_Energy (KWh)]],RD[[#This Row],[33kV_OG2_O2RE19_Energy (KWh)]])</f>
        <v>0</v>
      </c>
      <c r="BL74" s="62" t="str">
        <f>IFERROR(RD[[#This Row],[33 kV Total Export (KWH)]]/RD[[#This Row],[Inv Total Gneration (MWh)]]-1,"")</f>
        <v/>
      </c>
      <c r="BM74" s="63">
        <f>IFERROR((RD[[#This Row],[Sunset Time (POA&lt;20 W/m2)]]-RD[[#This Row],[Sunrise Time (POA&gt;20 W/m2)]])*24,0)</f>
        <v>0</v>
      </c>
      <c r="BN74" s="64">
        <f>SUM(RD[[#This Row],[33kV_OG1_O2RE9_Energy (KWh)]],RD[[#This Row],[33kV_OG2_O2RE19_Energy (KWh)]])</f>
        <v>0</v>
      </c>
      <c r="BO74" s="64">
        <f>IFERROR(RD[[#This Row],[ Export (33 kV)]]*(1-RD[[#This Row],[33 kV Line Loss (%)]]),RD[[#This Row],[ Export (33 kV)]])</f>
        <v>0</v>
      </c>
      <c r="BP74" s="216"/>
      <c r="BQ74" s="121"/>
      <c r="BR74" s="121"/>
      <c r="BS74" t="str">
        <f>IFERROR(RD[[#This Row],[E_AC (WPR)]]/RD[[#This Row],[E_DC (WPR)]],"")</f>
        <v/>
      </c>
    </row>
    <row r="75" spans="1:71">
      <c r="A75" s="147">
        <f t="shared" si="69"/>
        <v>45909</v>
      </c>
      <c r="B75" s="150">
        <f>YEAR(RD[[#This Row],[Date]])+IF(MONTH(RD[[#This Row],[Date]])&gt;=4,1,0)</f>
        <v>2026</v>
      </c>
      <c r="C75" s="150">
        <f>YEAR(RD[[#This Row],[Date]])</f>
        <v>2025</v>
      </c>
      <c r="D75" s="151">
        <f t="shared" si="68"/>
        <v>45901</v>
      </c>
      <c r="E75" s="150">
        <f>DAY(EOMONTH(RD[[#This Row],[Date]],0))</f>
        <v>30</v>
      </c>
      <c r="F75" s="121"/>
      <c r="G75" s="121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66"/>
      <c r="AF75" s="166"/>
      <c r="AG75" s="166"/>
      <c r="AH75" s="166"/>
      <c r="AI75" s="166"/>
      <c r="AJ75" s="166"/>
      <c r="AK75" s="166"/>
      <c r="AL75" s="166"/>
      <c r="AM75" s="58"/>
      <c r="AN75" s="58"/>
      <c r="AO75" s="58"/>
      <c r="AP75" s="58"/>
      <c r="AQ75" s="58"/>
      <c r="AR75" s="58"/>
      <c r="AS75" s="58"/>
      <c r="AT75" s="58"/>
      <c r="AU75" s="60">
        <f>SUM(RD[[#This Row],[IS2Inv1M1]:[IS4Inv1M3]])</f>
        <v>0</v>
      </c>
      <c r="AV75" s="60">
        <f>SUM(RD[[#This Row],[IS5Inv1M1]:[IS5Inv2M3]])</f>
        <v>0</v>
      </c>
      <c r="AW75" s="60">
        <f>SUM(RD[[#This Row],[O2RE9]:[O2RE192]])</f>
        <v>0</v>
      </c>
      <c r="AX75" s="152"/>
      <c r="AY75" s="152"/>
      <c r="AZ75" s="152"/>
      <c r="BA75" s="152"/>
      <c r="BB75" s="152"/>
      <c r="BC75" s="152"/>
      <c r="BD75" s="153" t="str">
        <f>IF((RD[[#This Row],[33 kV_F1_Ex (O2RE9)]]-AX74)*150000&lt;=0,"",(RD[[#This Row],[33 kV_F1_Ex (O2RE9)]]-AX74)*150000)</f>
        <v/>
      </c>
      <c r="BE75" s="153">
        <f>IF((RD[[#This Row],[33kV_OG1_Ex (O2RE9)]]-AY74)*1000&lt;=0,0,(RD[[#This Row],[33kV_OG1_Ex (O2RE9)]]-AY74)*1000)</f>
        <v>0</v>
      </c>
      <c r="BF75" s="153"/>
      <c r="BG75" s="153" t="str">
        <f>IF((RD[[#This Row],[33 kV_F2_Ex (O2RE19)]]-BA74)*150000&lt;=0,"",(RD[[#This Row],[33 kV_F2_Ex (O2RE19)]]-BA74)*150000)</f>
        <v/>
      </c>
      <c r="BH75" s="153">
        <f>IF((RD[[#This Row],[33kV_OG2_Ex (O2RE19)]]-BB74)*1000&lt;=0,0,(RD[[#This Row],[33kV_OG2_Ex (O2RE19)]]-BB74)*1000)</f>
        <v>0</v>
      </c>
      <c r="BI75" s="153">
        <f>IF((RD[[#This Row],[33kV_Aux2_Im (O2RE19)]]-BC74)*1000&lt;0,"",(RD[[#This Row],[33kV_Aux2_Im (O2RE19)]]-BC74)*1000)</f>
        <v>0</v>
      </c>
      <c r="BJ75" s="153">
        <f>IF((RD[[#This Row],[33kV_Aux1_Im (O2RE9)]]-AZ74)*1000&lt;0,"",(RD[[#This Row],[33kV_Aux1_Im (O2RE9)]]-AZ74)*1000)</f>
        <v>0</v>
      </c>
      <c r="BK75" s="153">
        <f>SUM(RD[[#This Row],[33kV_OG1_O2RE9_Energy (KWh)]],RD[[#This Row],[33kV_OG2_O2RE19_Energy (KWh)]])</f>
        <v>0</v>
      </c>
      <c r="BL75" s="62" t="str">
        <f>IFERROR(RD[[#This Row],[33 kV Total Export (KWH)]]/RD[[#This Row],[Inv Total Gneration (MWh)]]-1,"")</f>
        <v/>
      </c>
      <c r="BM75" s="63">
        <f>IFERROR((RD[[#This Row],[Sunset Time (POA&lt;20 W/m2)]]-RD[[#This Row],[Sunrise Time (POA&gt;20 W/m2)]])*24,0)</f>
        <v>0</v>
      </c>
      <c r="BN75" s="64">
        <f>SUM(RD[[#This Row],[33kV_OG1_O2RE9_Energy (KWh)]],RD[[#This Row],[33kV_OG2_O2RE19_Energy (KWh)]])</f>
        <v>0</v>
      </c>
      <c r="BO75" s="64">
        <f>IFERROR(RD[[#This Row],[ Export (33 kV)]]*(1-RD[[#This Row],[33 kV Line Loss (%)]]),RD[[#This Row],[ Export (33 kV)]])</f>
        <v>0</v>
      </c>
      <c r="BP75" s="216"/>
      <c r="BQ75" s="121"/>
      <c r="BR75" s="121"/>
      <c r="BS75" t="str">
        <f>IFERROR(RD[[#This Row],[E_AC (WPR)]]/RD[[#This Row],[E_DC (WPR)]],"")</f>
        <v/>
      </c>
    </row>
    <row r="76" spans="1:71">
      <c r="A76" s="147">
        <f t="shared" si="69"/>
        <v>45910</v>
      </c>
      <c r="B76" s="150">
        <f>YEAR(RD[[#This Row],[Date]])+IF(MONTH(RD[[#This Row],[Date]])&gt;=4,1,0)</f>
        <v>2026</v>
      </c>
      <c r="C76" s="150">
        <f>YEAR(RD[[#This Row],[Date]])</f>
        <v>2025</v>
      </c>
      <c r="D76" s="151">
        <f t="shared" si="68"/>
        <v>45901</v>
      </c>
      <c r="E76" s="150">
        <f>DAY(EOMONTH(RD[[#This Row],[Date]],0))</f>
        <v>30</v>
      </c>
      <c r="F76" s="121"/>
      <c r="G76" s="121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66"/>
      <c r="AF76" s="166"/>
      <c r="AG76" s="166"/>
      <c r="AH76" s="166"/>
      <c r="AI76" s="166"/>
      <c r="AJ76" s="166"/>
      <c r="AK76" s="166"/>
      <c r="AL76" s="166"/>
      <c r="AM76" s="58"/>
      <c r="AN76" s="58"/>
      <c r="AO76" s="58"/>
      <c r="AP76" s="58"/>
      <c r="AQ76" s="58"/>
      <c r="AR76" s="58"/>
      <c r="AS76" s="58"/>
      <c r="AT76" s="58"/>
      <c r="AU76" s="60">
        <f>SUM(RD[[#This Row],[IS2Inv1M1]:[IS4Inv1M3]])</f>
        <v>0</v>
      </c>
      <c r="AV76" s="60">
        <f>SUM(RD[[#This Row],[IS5Inv1M1]:[IS5Inv2M3]])</f>
        <v>0</v>
      </c>
      <c r="AW76" s="60">
        <f>SUM(RD[[#This Row],[O2RE9]:[O2RE192]])</f>
        <v>0</v>
      </c>
      <c r="AX76" s="152"/>
      <c r="AY76" s="152"/>
      <c r="AZ76" s="152"/>
      <c r="BA76" s="152"/>
      <c r="BB76" s="152"/>
      <c r="BC76" s="152"/>
      <c r="BD76" s="153" t="str">
        <f>IF((RD[[#This Row],[33 kV_F1_Ex (O2RE9)]]-AX75)*150000&lt;=0,"",(RD[[#This Row],[33 kV_F1_Ex (O2RE9)]]-AX75)*150000)</f>
        <v/>
      </c>
      <c r="BE76" s="153">
        <f>IF((RD[[#This Row],[33kV_OG1_Ex (O2RE9)]]-AY75)*1000&lt;=0,0,(RD[[#This Row],[33kV_OG1_Ex (O2RE9)]]-AY75)*1000)</f>
        <v>0</v>
      </c>
      <c r="BF76" s="153"/>
      <c r="BG76" s="153" t="str">
        <f>IF((RD[[#This Row],[33 kV_F2_Ex (O2RE19)]]-BA75)*150000&lt;=0,"",(RD[[#This Row],[33 kV_F2_Ex (O2RE19)]]-BA75)*150000)</f>
        <v/>
      </c>
      <c r="BH76" s="153">
        <f>IF((RD[[#This Row],[33kV_OG2_Ex (O2RE19)]]-BB75)*1000&lt;=0,0,(RD[[#This Row],[33kV_OG2_Ex (O2RE19)]]-BB75)*1000)</f>
        <v>0</v>
      </c>
      <c r="BI76" s="153">
        <f>IF((RD[[#This Row],[33kV_Aux2_Im (O2RE19)]]-BC75)*1000&lt;0,"",(RD[[#This Row],[33kV_Aux2_Im (O2RE19)]]-BC75)*1000)</f>
        <v>0</v>
      </c>
      <c r="BJ76" s="153">
        <f>IF((RD[[#This Row],[33kV_Aux1_Im (O2RE9)]]-AZ75)*1000&lt;0,"",(RD[[#This Row],[33kV_Aux1_Im (O2RE9)]]-AZ75)*1000)</f>
        <v>0</v>
      </c>
      <c r="BK76" s="153">
        <f>SUM(RD[[#This Row],[33kV_OG1_O2RE9_Energy (KWh)]],RD[[#This Row],[33kV_OG2_O2RE19_Energy (KWh)]])</f>
        <v>0</v>
      </c>
      <c r="BL76" s="62" t="str">
        <f>IFERROR(RD[[#This Row],[33 kV Total Export (KWH)]]/RD[[#This Row],[Inv Total Gneration (MWh)]]-1,"")</f>
        <v/>
      </c>
      <c r="BM76" s="63">
        <f>IFERROR((RD[[#This Row],[Sunset Time (POA&lt;20 W/m2)]]-RD[[#This Row],[Sunrise Time (POA&gt;20 W/m2)]])*24,0)</f>
        <v>0</v>
      </c>
      <c r="BN76" s="64">
        <f>SUM(RD[[#This Row],[33kV_OG1_O2RE9_Energy (KWh)]],RD[[#This Row],[33kV_OG2_O2RE19_Energy (KWh)]])</f>
        <v>0</v>
      </c>
      <c r="BO76" s="64">
        <f>IFERROR(RD[[#This Row],[ Export (33 kV)]]*(1-RD[[#This Row],[33 kV Line Loss (%)]]),RD[[#This Row],[ Export (33 kV)]])</f>
        <v>0</v>
      </c>
      <c r="BP76" s="216"/>
      <c r="BQ76" s="121"/>
      <c r="BR76" s="121"/>
      <c r="BS76" t="str">
        <f>IFERROR(RD[[#This Row],[E_AC (WPR)]]/RD[[#This Row],[E_DC (WPR)]],"")</f>
        <v/>
      </c>
    </row>
    <row r="77" spans="1:71">
      <c r="A77" s="147">
        <f t="shared" si="69"/>
        <v>45911</v>
      </c>
      <c r="B77" s="150">
        <f>YEAR(RD[[#This Row],[Date]])+IF(MONTH(RD[[#This Row],[Date]])&gt;=4,1,0)</f>
        <v>2026</v>
      </c>
      <c r="C77" s="150">
        <f>YEAR(RD[[#This Row],[Date]])</f>
        <v>2025</v>
      </c>
      <c r="D77" s="151">
        <f t="shared" ref="D77:D140" si="70">A77-DAY(A77)+1</f>
        <v>45901</v>
      </c>
      <c r="E77" s="150">
        <f>DAY(EOMONTH(RD[[#This Row],[Date]],0))</f>
        <v>30</v>
      </c>
      <c r="F77" s="121"/>
      <c r="G77" s="121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66"/>
      <c r="AF77" s="166"/>
      <c r="AG77" s="166"/>
      <c r="AH77" s="166"/>
      <c r="AI77" s="166"/>
      <c r="AJ77" s="166"/>
      <c r="AK77" s="166"/>
      <c r="AL77" s="166"/>
      <c r="AM77" s="58"/>
      <c r="AN77" s="58"/>
      <c r="AO77" s="58"/>
      <c r="AP77" s="58"/>
      <c r="AQ77" s="58"/>
      <c r="AR77" s="58"/>
      <c r="AS77" s="58"/>
      <c r="AT77" s="58"/>
      <c r="AU77" s="60">
        <f>SUM(RD[[#This Row],[IS2Inv1M1]:[IS4Inv1M3]])</f>
        <v>0</v>
      </c>
      <c r="AV77" s="60">
        <f>SUM(RD[[#This Row],[IS5Inv1M1]:[IS5Inv2M3]])</f>
        <v>0</v>
      </c>
      <c r="AW77" s="60">
        <f>SUM(RD[[#This Row],[O2RE9]:[O2RE192]])</f>
        <v>0</v>
      </c>
      <c r="AX77" s="152"/>
      <c r="AY77" s="152"/>
      <c r="AZ77" s="152"/>
      <c r="BA77" s="152"/>
      <c r="BB77" s="152"/>
      <c r="BC77" s="152"/>
      <c r="BD77" s="153" t="str">
        <f>IF((RD[[#This Row],[33 kV_F1_Ex (O2RE9)]]-AX76)*150000&lt;=0,"",(RD[[#This Row],[33 kV_F1_Ex (O2RE9)]]-AX76)*150000)</f>
        <v/>
      </c>
      <c r="BE77" s="153">
        <f>IF((RD[[#This Row],[33kV_OG1_Ex (O2RE9)]]-AY76)*1000&lt;=0,0,(RD[[#This Row],[33kV_OG1_Ex (O2RE9)]]-AY76)*1000)</f>
        <v>0</v>
      </c>
      <c r="BF77" s="153"/>
      <c r="BG77" s="153" t="str">
        <f>IF((RD[[#This Row],[33 kV_F2_Ex (O2RE19)]]-BA76)*150000&lt;=0,"",(RD[[#This Row],[33 kV_F2_Ex (O2RE19)]]-BA76)*150000)</f>
        <v/>
      </c>
      <c r="BH77" s="153">
        <f>IF((RD[[#This Row],[33kV_OG2_Ex (O2RE19)]]-BB76)*1000&lt;=0,0,(RD[[#This Row],[33kV_OG2_Ex (O2RE19)]]-BB76)*1000)</f>
        <v>0</v>
      </c>
      <c r="BI77" s="153">
        <f>IF((RD[[#This Row],[33kV_Aux2_Im (O2RE19)]]-BC76)*1000&lt;0,"",(RD[[#This Row],[33kV_Aux2_Im (O2RE19)]]-BC76)*1000)</f>
        <v>0</v>
      </c>
      <c r="BJ77" s="153">
        <f>IF((RD[[#This Row],[33kV_Aux1_Im (O2RE9)]]-AZ76)*1000&lt;0,"",(RD[[#This Row],[33kV_Aux1_Im (O2RE9)]]-AZ76)*1000)</f>
        <v>0</v>
      </c>
      <c r="BK77" s="153">
        <f>SUM(RD[[#This Row],[33kV_OG1_O2RE9_Energy (KWh)]],RD[[#This Row],[33kV_OG2_O2RE19_Energy (KWh)]])</f>
        <v>0</v>
      </c>
      <c r="BL77" s="62" t="str">
        <f>IFERROR(RD[[#This Row],[33 kV Total Export (KWH)]]/RD[[#This Row],[Inv Total Gneration (MWh)]]-1,"")</f>
        <v/>
      </c>
      <c r="BM77" s="63">
        <f>IFERROR((RD[[#This Row],[Sunset Time (POA&lt;20 W/m2)]]-RD[[#This Row],[Sunrise Time (POA&gt;20 W/m2)]])*24,0)</f>
        <v>0</v>
      </c>
      <c r="BN77" s="64">
        <f>SUM(RD[[#This Row],[33kV_OG1_O2RE9_Energy (KWh)]],RD[[#This Row],[33kV_OG2_O2RE19_Energy (KWh)]])</f>
        <v>0</v>
      </c>
      <c r="BO77" s="64">
        <f>IFERROR(RD[[#This Row],[ Export (33 kV)]]*(1-RD[[#This Row],[33 kV Line Loss (%)]]),RD[[#This Row],[ Export (33 kV)]])</f>
        <v>0</v>
      </c>
      <c r="BP77" s="216"/>
      <c r="BQ77" s="121"/>
      <c r="BR77" s="121"/>
      <c r="BS77" t="str">
        <f>IFERROR(RD[[#This Row],[E_AC (WPR)]]/RD[[#This Row],[E_DC (WPR)]],"")</f>
        <v/>
      </c>
    </row>
    <row r="78" spans="1:71">
      <c r="A78" s="147">
        <f t="shared" si="69"/>
        <v>45912</v>
      </c>
      <c r="B78" s="150">
        <f>YEAR(RD[[#This Row],[Date]])+IF(MONTH(RD[[#This Row],[Date]])&gt;=4,1,0)</f>
        <v>2026</v>
      </c>
      <c r="C78" s="150">
        <f>YEAR(RD[[#This Row],[Date]])</f>
        <v>2025</v>
      </c>
      <c r="D78" s="151">
        <f t="shared" si="70"/>
        <v>45901</v>
      </c>
      <c r="E78" s="150">
        <f>DAY(EOMONTH(RD[[#This Row],[Date]],0))</f>
        <v>30</v>
      </c>
      <c r="F78" s="121"/>
      <c r="G78" s="121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66"/>
      <c r="AF78" s="166"/>
      <c r="AG78" s="166"/>
      <c r="AH78" s="166"/>
      <c r="AI78" s="166"/>
      <c r="AJ78" s="166"/>
      <c r="AK78" s="166"/>
      <c r="AL78" s="166"/>
      <c r="AM78" s="58"/>
      <c r="AN78" s="58"/>
      <c r="AO78" s="58"/>
      <c r="AP78" s="58"/>
      <c r="AQ78" s="58"/>
      <c r="AR78" s="58"/>
      <c r="AS78" s="58"/>
      <c r="AT78" s="58"/>
      <c r="AU78" s="60">
        <f>SUM(RD[[#This Row],[IS2Inv1M1]:[IS4Inv1M3]])</f>
        <v>0</v>
      </c>
      <c r="AV78" s="60">
        <f>SUM(RD[[#This Row],[IS5Inv1M1]:[IS5Inv2M3]])</f>
        <v>0</v>
      </c>
      <c r="AW78" s="60">
        <f>SUM(RD[[#This Row],[O2RE9]:[O2RE192]])</f>
        <v>0</v>
      </c>
      <c r="AX78" s="152"/>
      <c r="AY78" s="152"/>
      <c r="AZ78" s="152"/>
      <c r="BA78" s="152"/>
      <c r="BB78" s="152"/>
      <c r="BC78" s="152"/>
      <c r="BD78" s="153" t="str">
        <f>IF((RD[[#This Row],[33 kV_F1_Ex (O2RE9)]]-AX77)*150000&lt;=0,"",(RD[[#This Row],[33 kV_F1_Ex (O2RE9)]]-AX77)*150000)</f>
        <v/>
      </c>
      <c r="BE78" s="153">
        <f>IF((RD[[#This Row],[33kV_OG1_Ex (O2RE9)]]-AY77)*1000&lt;=0,0,(RD[[#This Row],[33kV_OG1_Ex (O2RE9)]]-AY77)*1000)</f>
        <v>0</v>
      </c>
      <c r="BF78" s="153"/>
      <c r="BG78" s="153" t="str">
        <f>IF((RD[[#This Row],[33 kV_F2_Ex (O2RE19)]]-BA77)*150000&lt;=0,"",(RD[[#This Row],[33 kV_F2_Ex (O2RE19)]]-BA77)*150000)</f>
        <v/>
      </c>
      <c r="BH78" s="153">
        <f>IF((RD[[#This Row],[33kV_OG2_Ex (O2RE19)]]-BB77)*1000&lt;=0,0,(RD[[#This Row],[33kV_OG2_Ex (O2RE19)]]-BB77)*1000)</f>
        <v>0</v>
      </c>
      <c r="BI78" s="153">
        <f>IF((RD[[#This Row],[33kV_Aux2_Im (O2RE19)]]-BC77)*1000&lt;0,"",(RD[[#This Row],[33kV_Aux2_Im (O2RE19)]]-BC77)*1000)</f>
        <v>0</v>
      </c>
      <c r="BJ78" s="153">
        <f>IF((RD[[#This Row],[33kV_Aux1_Im (O2RE9)]]-AZ77)*1000&lt;0,"",(RD[[#This Row],[33kV_Aux1_Im (O2RE9)]]-AZ77)*1000)</f>
        <v>0</v>
      </c>
      <c r="BK78" s="153">
        <f>SUM(RD[[#This Row],[33kV_OG1_O2RE9_Energy (KWh)]],RD[[#This Row],[33kV_OG2_O2RE19_Energy (KWh)]])</f>
        <v>0</v>
      </c>
      <c r="BL78" s="62" t="str">
        <f>IFERROR(RD[[#This Row],[33 kV Total Export (KWH)]]/RD[[#This Row],[Inv Total Gneration (MWh)]]-1,"")</f>
        <v/>
      </c>
      <c r="BM78" s="63">
        <f>IFERROR((RD[[#This Row],[Sunset Time (POA&lt;20 W/m2)]]-RD[[#This Row],[Sunrise Time (POA&gt;20 W/m2)]])*24,0)</f>
        <v>0</v>
      </c>
      <c r="BN78" s="64">
        <f>SUM(RD[[#This Row],[33kV_OG1_O2RE9_Energy (KWh)]],RD[[#This Row],[33kV_OG2_O2RE19_Energy (KWh)]])</f>
        <v>0</v>
      </c>
      <c r="BO78" s="64">
        <f>IFERROR(RD[[#This Row],[ Export (33 kV)]]*(1-RD[[#This Row],[33 kV Line Loss (%)]]),RD[[#This Row],[ Export (33 kV)]])</f>
        <v>0</v>
      </c>
      <c r="BP78" s="216"/>
      <c r="BQ78" s="121"/>
      <c r="BR78" s="121"/>
      <c r="BS78" t="str">
        <f>IFERROR(RD[[#This Row],[E_AC (WPR)]]/RD[[#This Row],[E_DC (WPR)]],"")</f>
        <v/>
      </c>
    </row>
    <row r="79" spans="1:71">
      <c r="A79" s="147">
        <f t="shared" ref="A79:A142" si="71">A78+1</f>
        <v>45913</v>
      </c>
      <c r="B79" s="150">
        <f>YEAR(RD[[#This Row],[Date]])+IF(MONTH(RD[[#This Row],[Date]])&gt;=4,1,0)</f>
        <v>2026</v>
      </c>
      <c r="C79" s="150">
        <f>YEAR(RD[[#This Row],[Date]])</f>
        <v>2025</v>
      </c>
      <c r="D79" s="151">
        <f t="shared" si="70"/>
        <v>45901</v>
      </c>
      <c r="E79" s="150">
        <f>DAY(EOMONTH(RD[[#This Row],[Date]],0))</f>
        <v>30</v>
      </c>
      <c r="F79" s="121"/>
      <c r="G79" s="121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66"/>
      <c r="AF79" s="166"/>
      <c r="AG79" s="166"/>
      <c r="AH79" s="166"/>
      <c r="AI79" s="166"/>
      <c r="AJ79" s="166"/>
      <c r="AK79" s="166"/>
      <c r="AL79" s="166"/>
      <c r="AM79" s="58"/>
      <c r="AN79" s="58"/>
      <c r="AO79" s="58"/>
      <c r="AP79" s="58"/>
      <c r="AQ79" s="58"/>
      <c r="AR79" s="58"/>
      <c r="AS79" s="58"/>
      <c r="AT79" s="58"/>
      <c r="AU79" s="60">
        <f>SUM(RD[[#This Row],[IS2Inv1M1]:[IS4Inv1M3]])</f>
        <v>0</v>
      </c>
      <c r="AV79" s="60">
        <f>SUM(RD[[#This Row],[IS5Inv1M1]:[IS5Inv2M3]])</f>
        <v>0</v>
      </c>
      <c r="AW79" s="60">
        <f>SUM(RD[[#This Row],[O2RE9]:[O2RE192]])</f>
        <v>0</v>
      </c>
      <c r="AX79" s="152"/>
      <c r="AY79" s="152"/>
      <c r="AZ79" s="152"/>
      <c r="BA79" s="152"/>
      <c r="BB79" s="152"/>
      <c r="BC79" s="152"/>
      <c r="BD79" s="153" t="str">
        <f>IF((RD[[#This Row],[33 kV_F1_Ex (O2RE9)]]-AX78)*150000&lt;=0,"",(RD[[#This Row],[33 kV_F1_Ex (O2RE9)]]-AX78)*150000)</f>
        <v/>
      </c>
      <c r="BE79" s="153">
        <f>IF((RD[[#This Row],[33kV_OG1_Ex (O2RE9)]]-AY78)*1000&lt;=0,0,(RD[[#This Row],[33kV_OG1_Ex (O2RE9)]]-AY78)*1000)</f>
        <v>0</v>
      </c>
      <c r="BF79" s="153"/>
      <c r="BG79" s="153" t="str">
        <f>IF((RD[[#This Row],[33 kV_F2_Ex (O2RE19)]]-BA78)*150000&lt;=0,"",(RD[[#This Row],[33 kV_F2_Ex (O2RE19)]]-BA78)*150000)</f>
        <v/>
      </c>
      <c r="BH79" s="153">
        <f>IF((RD[[#This Row],[33kV_OG2_Ex (O2RE19)]]-BB78)*1000&lt;=0,0,(RD[[#This Row],[33kV_OG2_Ex (O2RE19)]]-BB78)*1000)</f>
        <v>0</v>
      </c>
      <c r="BI79" s="153">
        <f>IF((RD[[#This Row],[33kV_Aux2_Im (O2RE19)]]-BC78)*1000&lt;0,"",(RD[[#This Row],[33kV_Aux2_Im (O2RE19)]]-BC78)*1000)</f>
        <v>0</v>
      </c>
      <c r="BJ79" s="153">
        <f>IF((RD[[#This Row],[33kV_Aux1_Im (O2RE9)]]-AZ78)*1000&lt;0,"",(RD[[#This Row],[33kV_Aux1_Im (O2RE9)]]-AZ78)*1000)</f>
        <v>0</v>
      </c>
      <c r="BK79" s="153">
        <f>SUM(RD[[#This Row],[33kV_OG1_O2RE9_Energy (KWh)]],RD[[#This Row],[33kV_OG2_O2RE19_Energy (KWh)]])</f>
        <v>0</v>
      </c>
      <c r="BL79" s="62" t="str">
        <f>IFERROR(RD[[#This Row],[33 kV Total Export (KWH)]]/RD[[#This Row],[Inv Total Gneration (MWh)]]-1,"")</f>
        <v/>
      </c>
      <c r="BM79" s="63">
        <f>IFERROR((RD[[#This Row],[Sunset Time (POA&lt;20 W/m2)]]-RD[[#This Row],[Sunrise Time (POA&gt;20 W/m2)]])*24,0)</f>
        <v>0</v>
      </c>
      <c r="BN79" s="64">
        <f>SUM(RD[[#This Row],[33kV_OG1_O2RE9_Energy (KWh)]],RD[[#This Row],[33kV_OG2_O2RE19_Energy (KWh)]])</f>
        <v>0</v>
      </c>
      <c r="BO79" s="64">
        <f>IFERROR(RD[[#This Row],[ Export (33 kV)]]*(1-RD[[#This Row],[33 kV Line Loss (%)]]),RD[[#This Row],[ Export (33 kV)]])</f>
        <v>0</v>
      </c>
      <c r="BP79" s="216"/>
      <c r="BQ79" s="121"/>
      <c r="BR79" s="121"/>
      <c r="BS79" t="str">
        <f>IFERROR(RD[[#This Row],[E_AC (WPR)]]/RD[[#This Row],[E_DC (WPR)]],"")</f>
        <v/>
      </c>
    </row>
    <row r="80" spans="1:71">
      <c r="A80" s="147">
        <f t="shared" si="71"/>
        <v>45914</v>
      </c>
      <c r="B80" s="150">
        <f>YEAR(RD[[#This Row],[Date]])+IF(MONTH(RD[[#This Row],[Date]])&gt;=4,1,0)</f>
        <v>2026</v>
      </c>
      <c r="C80" s="150">
        <f>YEAR(RD[[#This Row],[Date]])</f>
        <v>2025</v>
      </c>
      <c r="D80" s="151">
        <f t="shared" si="70"/>
        <v>45901</v>
      </c>
      <c r="E80" s="150">
        <f>DAY(EOMONTH(RD[[#This Row],[Date]],0))</f>
        <v>30</v>
      </c>
      <c r="F80" s="121"/>
      <c r="G80" s="121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66"/>
      <c r="AF80" s="166"/>
      <c r="AG80" s="166"/>
      <c r="AH80" s="166"/>
      <c r="AI80" s="166"/>
      <c r="AJ80" s="166"/>
      <c r="AK80" s="166"/>
      <c r="AL80" s="166"/>
      <c r="AM80" s="58"/>
      <c r="AN80" s="58"/>
      <c r="AO80" s="58"/>
      <c r="AP80" s="58"/>
      <c r="AQ80" s="58"/>
      <c r="AR80" s="58"/>
      <c r="AS80" s="58"/>
      <c r="AT80" s="58"/>
      <c r="AU80" s="60">
        <f>SUM(RD[[#This Row],[IS2Inv1M1]:[IS4Inv1M3]])</f>
        <v>0</v>
      </c>
      <c r="AV80" s="60">
        <f>SUM(RD[[#This Row],[IS5Inv1M1]:[IS5Inv2M3]])</f>
        <v>0</v>
      </c>
      <c r="AW80" s="60">
        <f>SUM(RD[[#This Row],[O2RE9]:[O2RE192]])</f>
        <v>0</v>
      </c>
      <c r="AX80" s="152"/>
      <c r="AY80" s="152"/>
      <c r="AZ80" s="152"/>
      <c r="BA80" s="152"/>
      <c r="BB80" s="152"/>
      <c r="BC80" s="152"/>
      <c r="BD80" s="153" t="str">
        <f>IF((RD[[#This Row],[33 kV_F1_Ex (O2RE9)]]-AX79)*150000&lt;=0,"",(RD[[#This Row],[33 kV_F1_Ex (O2RE9)]]-AX79)*150000)</f>
        <v/>
      </c>
      <c r="BE80" s="153">
        <f>IF((RD[[#This Row],[33kV_OG1_Ex (O2RE9)]]-AY79)*1000&lt;=0,0,(RD[[#This Row],[33kV_OG1_Ex (O2RE9)]]-AY79)*1000)</f>
        <v>0</v>
      </c>
      <c r="BF80" s="153"/>
      <c r="BG80" s="153" t="str">
        <f>IF((RD[[#This Row],[33 kV_F2_Ex (O2RE19)]]-BA79)*150000&lt;=0,"",(RD[[#This Row],[33 kV_F2_Ex (O2RE19)]]-BA79)*150000)</f>
        <v/>
      </c>
      <c r="BH80" s="153">
        <f>IF((RD[[#This Row],[33kV_OG2_Ex (O2RE19)]]-BB79)*1000&lt;=0,0,(RD[[#This Row],[33kV_OG2_Ex (O2RE19)]]-BB79)*1000)</f>
        <v>0</v>
      </c>
      <c r="BI80" s="153">
        <f>IF((RD[[#This Row],[33kV_Aux2_Im (O2RE19)]]-BC79)*1000&lt;0,"",(RD[[#This Row],[33kV_Aux2_Im (O2RE19)]]-BC79)*1000)</f>
        <v>0</v>
      </c>
      <c r="BJ80" s="153">
        <f>IF((RD[[#This Row],[33kV_Aux1_Im (O2RE9)]]-AZ79)*1000&lt;0,"",(RD[[#This Row],[33kV_Aux1_Im (O2RE9)]]-AZ79)*1000)</f>
        <v>0</v>
      </c>
      <c r="BK80" s="153">
        <f>SUM(RD[[#This Row],[33kV_OG1_O2RE9_Energy (KWh)]],RD[[#This Row],[33kV_OG2_O2RE19_Energy (KWh)]])</f>
        <v>0</v>
      </c>
      <c r="BL80" s="62" t="str">
        <f>IFERROR(RD[[#This Row],[33 kV Total Export (KWH)]]/RD[[#This Row],[Inv Total Gneration (MWh)]]-1,"")</f>
        <v/>
      </c>
      <c r="BM80" s="63">
        <f>IFERROR((RD[[#This Row],[Sunset Time (POA&lt;20 W/m2)]]-RD[[#This Row],[Sunrise Time (POA&gt;20 W/m2)]])*24,0)</f>
        <v>0</v>
      </c>
      <c r="BN80" s="64">
        <f>SUM(RD[[#This Row],[33kV_OG1_O2RE9_Energy (KWh)]],RD[[#This Row],[33kV_OG2_O2RE19_Energy (KWh)]])</f>
        <v>0</v>
      </c>
      <c r="BO80" s="64">
        <f>IFERROR(RD[[#This Row],[ Export (33 kV)]]*(1-RD[[#This Row],[33 kV Line Loss (%)]]),RD[[#This Row],[ Export (33 kV)]])</f>
        <v>0</v>
      </c>
      <c r="BP80" s="216"/>
      <c r="BQ80" s="121"/>
      <c r="BR80" s="121"/>
      <c r="BS80" t="str">
        <f>IFERROR(RD[[#This Row],[E_AC (WPR)]]/RD[[#This Row],[E_DC (WPR)]],"")</f>
        <v/>
      </c>
    </row>
    <row r="81" spans="1:71">
      <c r="A81" s="147">
        <f t="shared" si="71"/>
        <v>45915</v>
      </c>
      <c r="B81" s="150">
        <f>YEAR(RD[[#This Row],[Date]])+IF(MONTH(RD[[#This Row],[Date]])&gt;=4,1,0)</f>
        <v>2026</v>
      </c>
      <c r="C81" s="150">
        <f>YEAR(RD[[#This Row],[Date]])</f>
        <v>2025</v>
      </c>
      <c r="D81" s="151">
        <f t="shared" si="70"/>
        <v>45901</v>
      </c>
      <c r="E81" s="150">
        <f>DAY(EOMONTH(RD[[#This Row],[Date]],0))</f>
        <v>30</v>
      </c>
      <c r="F81" s="121"/>
      <c r="G81" s="121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66"/>
      <c r="AF81" s="166"/>
      <c r="AG81" s="166"/>
      <c r="AH81" s="166"/>
      <c r="AI81" s="166"/>
      <c r="AJ81" s="166"/>
      <c r="AK81" s="166"/>
      <c r="AL81" s="166"/>
      <c r="AM81" s="58"/>
      <c r="AN81" s="58"/>
      <c r="AO81" s="58"/>
      <c r="AP81" s="58"/>
      <c r="AQ81" s="58"/>
      <c r="AR81" s="58"/>
      <c r="AS81" s="58"/>
      <c r="AT81" s="58"/>
      <c r="AU81" s="60">
        <f>SUM(RD[[#This Row],[IS2Inv1M1]:[IS4Inv1M3]])</f>
        <v>0</v>
      </c>
      <c r="AV81" s="60">
        <f>SUM(RD[[#This Row],[IS5Inv1M1]:[IS5Inv2M3]])</f>
        <v>0</v>
      </c>
      <c r="AW81" s="60">
        <f>SUM(RD[[#This Row],[O2RE9]:[O2RE192]])</f>
        <v>0</v>
      </c>
      <c r="AX81" s="152"/>
      <c r="AY81" s="152"/>
      <c r="AZ81" s="152"/>
      <c r="BA81" s="152"/>
      <c r="BB81" s="152"/>
      <c r="BC81" s="152"/>
      <c r="BD81" s="153" t="str">
        <f>IF((RD[[#This Row],[33 kV_F1_Ex (O2RE9)]]-AX80)*150000&lt;=0,"",(RD[[#This Row],[33 kV_F1_Ex (O2RE9)]]-AX80)*150000)</f>
        <v/>
      </c>
      <c r="BE81" s="153">
        <f>IF((RD[[#This Row],[33kV_OG1_Ex (O2RE9)]]-AY80)*1000&lt;=0,0,(RD[[#This Row],[33kV_OG1_Ex (O2RE9)]]-AY80)*1000)</f>
        <v>0</v>
      </c>
      <c r="BF81" s="153"/>
      <c r="BG81" s="153" t="str">
        <f>IF((RD[[#This Row],[33 kV_F2_Ex (O2RE19)]]-BA80)*150000&lt;=0,"",(RD[[#This Row],[33 kV_F2_Ex (O2RE19)]]-BA80)*150000)</f>
        <v/>
      </c>
      <c r="BH81" s="153">
        <f>IF((RD[[#This Row],[33kV_OG2_Ex (O2RE19)]]-BB80)*1000&lt;=0,0,(RD[[#This Row],[33kV_OG2_Ex (O2RE19)]]-BB80)*1000)</f>
        <v>0</v>
      </c>
      <c r="BI81" s="153">
        <f>IF((RD[[#This Row],[33kV_Aux2_Im (O2RE19)]]-BC80)*1000&lt;0,"",(RD[[#This Row],[33kV_Aux2_Im (O2RE19)]]-BC80)*1000)</f>
        <v>0</v>
      </c>
      <c r="BJ81" s="153">
        <f>IF((RD[[#This Row],[33kV_Aux1_Im (O2RE9)]]-AZ80)*1000&lt;0,"",(RD[[#This Row],[33kV_Aux1_Im (O2RE9)]]-AZ80)*1000)</f>
        <v>0</v>
      </c>
      <c r="BK81" s="153">
        <f>SUM(RD[[#This Row],[33kV_OG1_O2RE9_Energy (KWh)]],RD[[#This Row],[33kV_OG2_O2RE19_Energy (KWh)]])</f>
        <v>0</v>
      </c>
      <c r="BL81" s="62" t="str">
        <f>IFERROR(RD[[#This Row],[33 kV Total Export (KWH)]]/RD[[#This Row],[Inv Total Gneration (MWh)]]-1,"")</f>
        <v/>
      </c>
      <c r="BM81" s="63">
        <f>IFERROR((RD[[#This Row],[Sunset Time (POA&lt;20 W/m2)]]-RD[[#This Row],[Sunrise Time (POA&gt;20 W/m2)]])*24,0)</f>
        <v>0</v>
      </c>
      <c r="BN81" s="64">
        <f>SUM(RD[[#This Row],[33kV_OG1_O2RE9_Energy (KWh)]],RD[[#This Row],[33kV_OG2_O2RE19_Energy (KWh)]])</f>
        <v>0</v>
      </c>
      <c r="BO81" s="64">
        <f>IFERROR(RD[[#This Row],[ Export (33 kV)]]*(1-RD[[#This Row],[33 kV Line Loss (%)]]),RD[[#This Row],[ Export (33 kV)]])</f>
        <v>0</v>
      </c>
      <c r="BP81" s="216"/>
      <c r="BQ81" s="121"/>
      <c r="BR81" s="121"/>
      <c r="BS81" t="str">
        <f>IFERROR(RD[[#This Row],[E_AC (WPR)]]/RD[[#This Row],[E_DC (WPR)]],"")</f>
        <v/>
      </c>
    </row>
    <row r="82" spans="1:71">
      <c r="A82" s="147">
        <f t="shared" si="71"/>
        <v>45916</v>
      </c>
      <c r="B82" s="150">
        <f>YEAR(RD[[#This Row],[Date]])+IF(MONTH(RD[[#This Row],[Date]])&gt;=4,1,0)</f>
        <v>2026</v>
      </c>
      <c r="C82" s="150">
        <f>YEAR(RD[[#This Row],[Date]])</f>
        <v>2025</v>
      </c>
      <c r="D82" s="151">
        <f t="shared" si="70"/>
        <v>45901</v>
      </c>
      <c r="E82" s="150">
        <f>DAY(EOMONTH(RD[[#This Row],[Date]],0))</f>
        <v>30</v>
      </c>
      <c r="F82" s="121"/>
      <c r="G82" s="121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66"/>
      <c r="AF82" s="166"/>
      <c r="AG82" s="166"/>
      <c r="AH82" s="166"/>
      <c r="AI82" s="166"/>
      <c r="AJ82" s="166"/>
      <c r="AK82" s="166"/>
      <c r="AL82" s="166"/>
      <c r="AM82" s="58"/>
      <c r="AN82" s="58"/>
      <c r="AO82" s="58"/>
      <c r="AP82" s="58"/>
      <c r="AQ82" s="58"/>
      <c r="AR82" s="58"/>
      <c r="AS82" s="58"/>
      <c r="AT82" s="58"/>
      <c r="AU82" s="60">
        <f>SUM(RD[[#This Row],[IS2Inv1M1]:[IS4Inv1M3]])</f>
        <v>0</v>
      </c>
      <c r="AV82" s="60">
        <f>SUM(RD[[#This Row],[IS5Inv1M1]:[IS5Inv2M3]])</f>
        <v>0</v>
      </c>
      <c r="AW82" s="60">
        <f>SUM(RD[[#This Row],[O2RE9]:[O2RE192]])</f>
        <v>0</v>
      </c>
      <c r="AX82" s="152"/>
      <c r="AY82" s="152"/>
      <c r="AZ82" s="152"/>
      <c r="BA82" s="152"/>
      <c r="BB82" s="152"/>
      <c r="BC82" s="152"/>
      <c r="BD82" s="153" t="str">
        <f>IF((RD[[#This Row],[33 kV_F1_Ex (O2RE9)]]-AX81)*150000&lt;=0,"",(RD[[#This Row],[33 kV_F1_Ex (O2RE9)]]-AX81)*150000)</f>
        <v/>
      </c>
      <c r="BE82" s="153">
        <f>IF((RD[[#This Row],[33kV_OG1_Ex (O2RE9)]]-AY81)*1000&lt;=0,0,(RD[[#This Row],[33kV_OG1_Ex (O2RE9)]]-AY81)*1000)</f>
        <v>0</v>
      </c>
      <c r="BF82" s="153"/>
      <c r="BG82" s="153" t="str">
        <f>IF((RD[[#This Row],[33 kV_F2_Ex (O2RE19)]]-BA81)*150000&lt;=0,"",(RD[[#This Row],[33 kV_F2_Ex (O2RE19)]]-BA81)*150000)</f>
        <v/>
      </c>
      <c r="BH82" s="153">
        <f>IF((RD[[#This Row],[33kV_OG2_Ex (O2RE19)]]-BB81)*1000&lt;=0,0,(RD[[#This Row],[33kV_OG2_Ex (O2RE19)]]-BB81)*1000)</f>
        <v>0</v>
      </c>
      <c r="BI82" s="153">
        <f>IF((RD[[#This Row],[33kV_Aux2_Im (O2RE19)]]-BC81)*1000&lt;0,"",(RD[[#This Row],[33kV_Aux2_Im (O2RE19)]]-BC81)*1000)</f>
        <v>0</v>
      </c>
      <c r="BJ82" s="153">
        <f>IF((RD[[#This Row],[33kV_Aux1_Im (O2RE9)]]-AZ81)*1000&lt;0,"",(RD[[#This Row],[33kV_Aux1_Im (O2RE9)]]-AZ81)*1000)</f>
        <v>0</v>
      </c>
      <c r="BK82" s="153">
        <f>SUM(RD[[#This Row],[33kV_OG1_O2RE9_Energy (KWh)]],RD[[#This Row],[33kV_OG2_O2RE19_Energy (KWh)]])</f>
        <v>0</v>
      </c>
      <c r="BL82" s="62" t="str">
        <f>IFERROR(RD[[#This Row],[33 kV Total Export (KWH)]]/RD[[#This Row],[Inv Total Gneration (MWh)]]-1,"")</f>
        <v/>
      </c>
      <c r="BM82" s="63">
        <f>IFERROR((RD[[#This Row],[Sunset Time (POA&lt;20 W/m2)]]-RD[[#This Row],[Sunrise Time (POA&gt;20 W/m2)]])*24,0)</f>
        <v>0</v>
      </c>
      <c r="BN82" s="64">
        <f>SUM(RD[[#This Row],[33kV_OG1_O2RE9_Energy (KWh)]],RD[[#This Row],[33kV_OG2_O2RE19_Energy (KWh)]])</f>
        <v>0</v>
      </c>
      <c r="BO82" s="64">
        <f>IFERROR(RD[[#This Row],[ Export (33 kV)]]*(1-RD[[#This Row],[33 kV Line Loss (%)]]),RD[[#This Row],[ Export (33 kV)]])</f>
        <v>0</v>
      </c>
      <c r="BP82" s="216"/>
      <c r="BQ82" s="121"/>
      <c r="BR82" s="121"/>
      <c r="BS82" t="str">
        <f>IFERROR(RD[[#This Row],[E_AC (WPR)]]/RD[[#This Row],[E_DC (WPR)]],"")</f>
        <v/>
      </c>
    </row>
    <row r="83" spans="1:71">
      <c r="A83" s="147">
        <f t="shared" si="71"/>
        <v>45917</v>
      </c>
      <c r="B83" s="150">
        <f>YEAR(RD[[#This Row],[Date]])+IF(MONTH(RD[[#This Row],[Date]])&gt;=4,1,0)</f>
        <v>2026</v>
      </c>
      <c r="C83" s="150">
        <f>YEAR(RD[[#This Row],[Date]])</f>
        <v>2025</v>
      </c>
      <c r="D83" s="151">
        <f t="shared" si="70"/>
        <v>45901</v>
      </c>
      <c r="E83" s="150">
        <f>DAY(EOMONTH(RD[[#This Row],[Date]],0))</f>
        <v>30</v>
      </c>
      <c r="F83" s="121"/>
      <c r="G83" s="121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66"/>
      <c r="AF83" s="166"/>
      <c r="AG83" s="166"/>
      <c r="AH83" s="166"/>
      <c r="AI83" s="166"/>
      <c r="AJ83" s="166"/>
      <c r="AK83" s="166"/>
      <c r="AL83" s="166"/>
      <c r="AM83" s="58"/>
      <c r="AN83" s="58"/>
      <c r="AO83" s="58"/>
      <c r="AP83" s="58"/>
      <c r="AQ83" s="58"/>
      <c r="AR83" s="58"/>
      <c r="AS83" s="58"/>
      <c r="AT83" s="58"/>
      <c r="AU83" s="60">
        <f>SUM(RD[[#This Row],[IS2Inv1M1]:[IS4Inv1M3]])</f>
        <v>0</v>
      </c>
      <c r="AV83" s="60">
        <f>SUM(RD[[#This Row],[IS5Inv1M1]:[IS5Inv2M3]])</f>
        <v>0</v>
      </c>
      <c r="AW83" s="60">
        <f>SUM(RD[[#This Row],[O2RE9]:[O2RE192]])</f>
        <v>0</v>
      </c>
      <c r="AX83" s="152"/>
      <c r="AY83" s="152"/>
      <c r="AZ83" s="152"/>
      <c r="BA83" s="152"/>
      <c r="BB83" s="152"/>
      <c r="BC83" s="152"/>
      <c r="BD83" s="153" t="str">
        <f>IF((RD[[#This Row],[33 kV_F1_Ex (O2RE9)]]-AX82)*150000&lt;=0,"",(RD[[#This Row],[33 kV_F1_Ex (O2RE9)]]-AX82)*150000)</f>
        <v/>
      </c>
      <c r="BE83" s="153">
        <f>IF((RD[[#This Row],[33kV_OG1_Ex (O2RE9)]]-AY82)*1000&lt;=0,0,(RD[[#This Row],[33kV_OG1_Ex (O2RE9)]]-AY82)*1000)</f>
        <v>0</v>
      </c>
      <c r="BF83" s="153"/>
      <c r="BG83" s="153" t="str">
        <f>IF((RD[[#This Row],[33 kV_F2_Ex (O2RE19)]]-BA82)*150000&lt;=0,"",(RD[[#This Row],[33 kV_F2_Ex (O2RE19)]]-BA82)*150000)</f>
        <v/>
      </c>
      <c r="BH83" s="153">
        <f>IF((RD[[#This Row],[33kV_OG2_Ex (O2RE19)]]-BB82)*1000&lt;=0,0,(RD[[#This Row],[33kV_OG2_Ex (O2RE19)]]-BB82)*1000)</f>
        <v>0</v>
      </c>
      <c r="BI83" s="153">
        <f>IF((RD[[#This Row],[33kV_Aux2_Im (O2RE19)]]-BC82)*1000&lt;0,"",(RD[[#This Row],[33kV_Aux2_Im (O2RE19)]]-BC82)*1000)</f>
        <v>0</v>
      </c>
      <c r="BJ83" s="153">
        <f>IF((RD[[#This Row],[33kV_Aux1_Im (O2RE9)]]-AZ82)*1000&lt;0,"",(RD[[#This Row],[33kV_Aux1_Im (O2RE9)]]-AZ82)*1000)</f>
        <v>0</v>
      </c>
      <c r="BK83" s="153">
        <f>SUM(RD[[#This Row],[33kV_OG1_O2RE9_Energy (KWh)]],RD[[#This Row],[33kV_OG2_O2RE19_Energy (KWh)]])</f>
        <v>0</v>
      </c>
      <c r="BL83" s="62" t="str">
        <f>IFERROR(RD[[#This Row],[33 kV Total Export (KWH)]]/RD[[#This Row],[Inv Total Gneration (MWh)]]-1,"")</f>
        <v/>
      </c>
      <c r="BM83" s="63">
        <f>IFERROR((RD[[#This Row],[Sunset Time (POA&lt;20 W/m2)]]-RD[[#This Row],[Sunrise Time (POA&gt;20 W/m2)]])*24,0)</f>
        <v>0</v>
      </c>
      <c r="BN83" s="64">
        <f>SUM(RD[[#This Row],[33kV_OG1_O2RE9_Energy (KWh)]],RD[[#This Row],[33kV_OG2_O2RE19_Energy (KWh)]])</f>
        <v>0</v>
      </c>
      <c r="BO83" s="64">
        <f>IFERROR(RD[[#This Row],[ Export (33 kV)]]*(1-RD[[#This Row],[33 kV Line Loss (%)]]),RD[[#This Row],[ Export (33 kV)]])</f>
        <v>0</v>
      </c>
      <c r="BP83" s="216"/>
      <c r="BQ83" s="121"/>
      <c r="BR83" s="121"/>
      <c r="BS83" t="str">
        <f>IFERROR(RD[[#This Row],[E_AC (WPR)]]/RD[[#This Row],[E_DC (WPR)]],"")</f>
        <v/>
      </c>
    </row>
    <row r="84" spans="1:71">
      <c r="A84" s="147">
        <f t="shared" si="71"/>
        <v>45918</v>
      </c>
      <c r="B84" s="150">
        <f>YEAR(RD[[#This Row],[Date]])+IF(MONTH(RD[[#This Row],[Date]])&gt;=4,1,0)</f>
        <v>2026</v>
      </c>
      <c r="C84" s="150">
        <f>YEAR(RD[[#This Row],[Date]])</f>
        <v>2025</v>
      </c>
      <c r="D84" s="151">
        <f t="shared" si="70"/>
        <v>45901</v>
      </c>
      <c r="E84" s="150">
        <f>DAY(EOMONTH(RD[[#This Row],[Date]],0))</f>
        <v>30</v>
      </c>
      <c r="F84" s="121"/>
      <c r="G84" s="121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66"/>
      <c r="AF84" s="166"/>
      <c r="AG84" s="166"/>
      <c r="AH84" s="166"/>
      <c r="AI84" s="166"/>
      <c r="AJ84" s="166"/>
      <c r="AK84" s="166"/>
      <c r="AL84" s="166"/>
      <c r="AM84" s="58"/>
      <c r="AN84" s="58"/>
      <c r="AO84" s="58"/>
      <c r="AP84" s="58"/>
      <c r="AQ84" s="58"/>
      <c r="AR84" s="58"/>
      <c r="AS84" s="58"/>
      <c r="AT84" s="58"/>
      <c r="AU84" s="60">
        <f>SUM(RD[[#This Row],[IS2Inv1M1]:[IS4Inv1M3]])</f>
        <v>0</v>
      </c>
      <c r="AV84" s="60">
        <f>SUM(RD[[#This Row],[IS5Inv1M1]:[IS5Inv2M3]])</f>
        <v>0</v>
      </c>
      <c r="AW84" s="60">
        <f>SUM(RD[[#This Row],[O2RE9]:[O2RE192]])</f>
        <v>0</v>
      </c>
      <c r="AX84" s="152"/>
      <c r="AY84" s="152"/>
      <c r="AZ84" s="152"/>
      <c r="BA84" s="152"/>
      <c r="BB84" s="152"/>
      <c r="BC84" s="152"/>
      <c r="BD84" s="153" t="str">
        <f>IF((RD[[#This Row],[33 kV_F1_Ex (O2RE9)]]-AX83)*150000&lt;=0,"",(RD[[#This Row],[33 kV_F1_Ex (O2RE9)]]-AX83)*150000)</f>
        <v/>
      </c>
      <c r="BE84" s="153">
        <f>IF((RD[[#This Row],[33kV_OG1_Ex (O2RE9)]]-AY83)*1000&lt;=0,0,(RD[[#This Row],[33kV_OG1_Ex (O2RE9)]]-AY83)*1000)</f>
        <v>0</v>
      </c>
      <c r="BF84" s="153"/>
      <c r="BG84" s="153" t="str">
        <f>IF((RD[[#This Row],[33 kV_F2_Ex (O2RE19)]]-BA83)*150000&lt;=0,"",(RD[[#This Row],[33 kV_F2_Ex (O2RE19)]]-BA83)*150000)</f>
        <v/>
      </c>
      <c r="BH84" s="153">
        <f>IF((RD[[#This Row],[33kV_OG2_Ex (O2RE19)]]-BB83)*1000&lt;=0,0,(RD[[#This Row],[33kV_OG2_Ex (O2RE19)]]-BB83)*1000)</f>
        <v>0</v>
      </c>
      <c r="BI84" s="153">
        <f>IF((RD[[#This Row],[33kV_Aux2_Im (O2RE19)]]-BC83)*1000&lt;0,"",(RD[[#This Row],[33kV_Aux2_Im (O2RE19)]]-BC83)*1000)</f>
        <v>0</v>
      </c>
      <c r="BJ84" s="153">
        <f>IF((RD[[#This Row],[33kV_Aux1_Im (O2RE9)]]-AZ83)*1000&lt;0,"",(RD[[#This Row],[33kV_Aux1_Im (O2RE9)]]-AZ83)*1000)</f>
        <v>0</v>
      </c>
      <c r="BK84" s="153">
        <f>SUM(RD[[#This Row],[33kV_OG1_O2RE9_Energy (KWh)]],RD[[#This Row],[33kV_OG2_O2RE19_Energy (KWh)]])</f>
        <v>0</v>
      </c>
      <c r="BL84" s="62" t="str">
        <f>IFERROR(RD[[#This Row],[33 kV Total Export (KWH)]]/RD[[#This Row],[Inv Total Gneration (MWh)]]-1,"")</f>
        <v/>
      </c>
      <c r="BM84" s="63">
        <f>IFERROR((RD[[#This Row],[Sunset Time (POA&lt;20 W/m2)]]-RD[[#This Row],[Sunrise Time (POA&gt;20 W/m2)]])*24,0)</f>
        <v>0</v>
      </c>
      <c r="BN84" s="64">
        <f>SUM(RD[[#This Row],[33kV_OG1_O2RE9_Energy (KWh)]],RD[[#This Row],[33kV_OG2_O2RE19_Energy (KWh)]])</f>
        <v>0</v>
      </c>
      <c r="BO84" s="64">
        <f>IFERROR(RD[[#This Row],[ Export (33 kV)]]*(1-RD[[#This Row],[33 kV Line Loss (%)]]),RD[[#This Row],[ Export (33 kV)]])</f>
        <v>0</v>
      </c>
      <c r="BP84" s="216"/>
      <c r="BQ84" s="121"/>
      <c r="BR84" s="121"/>
      <c r="BS84" t="str">
        <f>IFERROR(RD[[#This Row],[E_AC (WPR)]]/RD[[#This Row],[E_DC (WPR)]],"")</f>
        <v/>
      </c>
    </row>
    <row r="85" spans="1:71">
      <c r="A85" s="147">
        <f t="shared" si="71"/>
        <v>45919</v>
      </c>
      <c r="B85" s="150">
        <f>YEAR(RD[[#This Row],[Date]])+IF(MONTH(RD[[#This Row],[Date]])&gt;=4,1,0)</f>
        <v>2026</v>
      </c>
      <c r="C85" s="150">
        <f>YEAR(RD[[#This Row],[Date]])</f>
        <v>2025</v>
      </c>
      <c r="D85" s="151">
        <f t="shared" si="70"/>
        <v>45901</v>
      </c>
      <c r="E85" s="150">
        <f>DAY(EOMONTH(RD[[#This Row],[Date]],0))</f>
        <v>30</v>
      </c>
      <c r="F85" s="121"/>
      <c r="G85" s="121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66"/>
      <c r="AF85" s="166"/>
      <c r="AG85" s="166"/>
      <c r="AH85" s="166"/>
      <c r="AI85" s="166"/>
      <c r="AJ85" s="166"/>
      <c r="AK85" s="166"/>
      <c r="AL85" s="166"/>
      <c r="AM85" s="58"/>
      <c r="AN85" s="58"/>
      <c r="AO85" s="58"/>
      <c r="AP85" s="58"/>
      <c r="AQ85" s="58"/>
      <c r="AR85" s="58"/>
      <c r="AS85" s="58"/>
      <c r="AT85" s="58"/>
      <c r="AU85" s="60">
        <f>SUM(RD[[#This Row],[IS2Inv1M1]:[IS4Inv1M3]])</f>
        <v>0</v>
      </c>
      <c r="AV85" s="60">
        <f>SUM(RD[[#This Row],[IS5Inv1M1]:[IS5Inv2M3]])</f>
        <v>0</v>
      </c>
      <c r="AW85" s="60">
        <f>SUM(RD[[#This Row],[O2RE9]:[O2RE192]])</f>
        <v>0</v>
      </c>
      <c r="AX85" s="152"/>
      <c r="AY85" s="152"/>
      <c r="AZ85" s="152"/>
      <c r="BA85" s="152"/>
      <c r="BB85" s="152"/>
      <c r="BC85" s="152"/>
      <c r="BD85" s="153" t="str">
        <f>IF((RD[[#This Row],[33 kV_F1_Ex (O2RE9)]]-AX84)*150000&lt;=0,"",(RD[[#This Row],[33 kV_F1_Ex (O2RE9)]]-AX84)*150000)</f>
        <v/>
      </c>
      <c r="BE85" s="153">
        <f>IF((RD[[#This Row],[33kV_OG1_Ex (O2RE9)]]-AY84)*1000&lt;=0,0,(RD[[#This Row],[33kV_OG1_Ex (O2RE9)]]-AY84)*1000)</f>
        <v>0</v>
      </c>
      <c r="BF85" s="153"/>
      <c r="BG85" s="153" t="str">
        <f>IF((RD[[#This Row],[33 kV_F2_Ex (O2RE19)]]-BA84)*150000&lt;=0,"",(RD[[#This Row],[33 kV_F2_Ex (O2RE19)]]-BA84)*150000)</f>
        <v/>
      </c>
      <c r="BH85" s="153">
        <f>IF((RD[[#This Row],[33kV_OG2_Ex (O2RE19)]]-BB84)*1000&lt;=0,0,(RD[[#This Row],[33kV_OG2_Ex (O2RE19)]]-BB84)*1000)</f>
        <v>0</v>
      </c>
      <c r="BI85" s="153">
        <f>IF((RD[[#This Row],[33kV_Aux2_Im (O2RE19)]]-BC84)*1000&lt;0,"",(RD[[#This Row],[33kV_Aux2_Im (O2RE19)]]-BC84)*1000)</f>
        <v>0</v>
      </c>
      <c r="BJ85" s="153">
        <f>IF((RD[[#This Row],[33kV_Aux1_Im (O2RE9)]]-AZ84)*1000&lt;0,"",(RD[[#This Row],[33kV_Aux1_Im (O2RE9)]]-AZ84)*1000)</f>
        <v>0</v>
      </c>
      <c r="BK85" s="153">
        <f>SUM(RD[[#This Row],[33kV_OG1_O2RE9_Energy (KWh)]],RD[[#This Row],[33kV_OG2_O2RE19_Energy (KWh)]])</f>
        <v>0</v>
      </c>
      <c r="BL85" s="62" t="str">
        <f>IFERROR(RD[[#This Row],[33 kV Total Export (KWH)]]/RD[[#This Row],[Inv Total Gneration (MWh)]]-1,"")</f>
        <v/>
      </c>
      <c r="BM85" s="63">
        <f>IFERROR((RD[[#This Row],[Sunset Time (POA&lt;20 W/m2)]]-RD[[#This Row],[Sunrise Time (POA&gt;20 W/m2)]])*24,0)</f>
        <v>0</v>
      </c>
      <c r="BN85" s="64">
        <f>SUM(RD[[#This Row],[33kV_OG1_O2RE9_Energy (KWh)]],RD[[#This Row],[33kV_OG2_O2RE19_Energy (KWh)]])</f>
        <v>0</v>
      </c>
      <c r="BO85" s="64">
        <f>IFERROR(RD[[#This Row],[ Export (33 kV)]]*(1-RD[[#This Row],[33 kV Line Loss (%)]]),RD[[#This Row],[ Export (33 kV)]])</f>
        <v>0</v>
      </c>
      <c r="BP85" s="216"/>
      <c r="BQ85" s="121"/>
      <c r="BR85" s="121"/>
      <c r="BS85" t="str">
        <f>IFERROR(RD[[#This Row],[E_AC (WPR)]]/RD[[#This Row],[E_DC (WPR)]],"")</f>
        <v/>
      </c>
    </row>
    <row r="86" spans="1:71">
      <c r="A86" s="147">
        <f t="shared" si="71"/>
        <v>45920</v>
      </c>
      <c r="B86" s="150">
        <f>YEAR(RD[[#This Row],[Date]])+IF(MONTH(RD[[#This Row],[Date]])&gt;=4,1,0)</f>
        <v>2026</v>
      </c>
      <c r="C86" s="150">
        <f>YEAR(RD[[#This Row],[Date]])</f>
        <v>2025</v>
      </c>
      <c r="D86" s="151">
        <f t="shared" si="70"/>
        <v>45901</v>
      </c>
      <c r="E86" s="150">
        <f>DAY(EOMONTH(RD[[#This Row],[Date]],0))</f>
        <v>30</v>
      </c>
      <c r="F86" s="121"/>
      <c r="G86" s="121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66"/>
      <c r="AF86" s="166"/>
      <c r="AG86" s="166"/>
      <c r="AH86" s="166"/>
      <c r="AI86" s="166"/>
      <c r="AJ86" s="166"/>
      <c r="AK86" s="166"/>
      <c r="AL86" s="166"/>
      <c r="AM86" s="58"/>
      <c r="AN86" s="58"/>
      <c r="AO86" s="58"/>
      <c r="AP86" s="58"/>
      <c r="AQ86" s="58"/>
      <c r="AR86" s="58"/>
      <c r="AS86" s="58"/>
      <c r="AT86" s="58"/>
      <c r="AU86" s="60">
        <f>SUM(RD[[#This Row],[IS2Inv1M1]:[IS4Inv1M3]])</f>
        <v>0</v>
      </c>
      <c r="AV86" s="60">
        <f>SUM(RD[[#This Row],[IS5Inv1M1]:[IS5Inv2M3]])</f>
        <v>0</v>
      </c>
      <c r="AW86" s="60">
        <f>SUM(RD[[#This Row],[O2RE9]:[O2RE192]])</f>
        <v>0</v>
      </c>
      <c r="AX86" s="152"/>
      <c r="AY86" s="152"/>
      <c r="AZ86" s="152"/>
      <c r="BA86" s="152"/>
      <c r="BB86" s="152"/>
      <c r="BC86" s="152"/>
      <c r="BD86" s="153" t="str">
        <f>IF((RD[[#This Row],[33 kV_F1_Ex (O2RE9)]]-AX85)*150000&lt;=0,"",(RD[[#This Row],[33 kV_F1_Ex (O2RE9)]]-AX85)*150000)</f>
        <v/>
      </c>
      <c r="BE86" s="153">
        <f>IF((RD[[#This Row],[33kV_OG1_Ex (O2RE9)]]-AY85)*1000&lt;=0,0,(RD[[#This Row],[33kV_OG1_Ex (O2RE9)]]-AY85)*1000)</f>
        <v>0</v>
      </c>
      <c r="BF86" s="153"/>
      <c r="BG86" s="153" t="str">
        <f>IF((RD[[#This Row],[33 kV_F2_Ex (O2RE19)]]-BA85)*150000&lt;=0,"",(RD[[#This Row],[33 kV_F2_Ex (O2RE19)]]-BA85)*150000)</f>
        <v/>
      </c>
      <c r="BH86" s="153">
        <f>IF((RD[[#This Row],[33kV_OG2_Ex (O2RE19)]]-BB85)*1000&lt;=0,0,(RD[[#This Row],[33kV_OG2_Ex (O2RE19)]]-BB85)*1000)</f>
        <v>0</v>
      </c>
      <c r="BI86" s="153">
        <f>IF((RD[[#This Row],[33kV_Aux2_Im (O2RE19)]]-BC85)*1000&lt;0,"",(RD[[#This Row],[33kV_Aux2_Im (O2RE19)]]-BC85)*1000)</f>
        <v>0</v>
      </c>
      <c r="BJ86" s="153">
        <f>IF((RD[[#This Row],[33kV_Aux1_Im (O2RE9)]]-AZ85)*1000&lt;0,"",(RD[[#This Row],[33kV_Aux1_Im (O2RE9)]]-AZ85)*1000)</f>
        <v>0</v>
      </c>
      <c r="BK86" s="153">
        <f>SUM(RD[[#This Row],[33kV_OG1_O2RE9_Energy (KWh)]],RD[[#This Row],[33kV_OG2_O2RE19_Energy (KWh)]])</f>
        <v>0</v>
      </c>
      <c r="BL86" s="62" t="str">
        <f>IFERROR(RD[[#This Row],[33 kV Total Export (KWH)]]/RD[[#This Row],[Inv Total Gneration (MWh)]]-1,"")</f>
        <v/>
      </c>
      <c r="BM86" s="63">
        <f>IFERROR((RD[[#This Row],[Sunset Time (POA&lt;20 W/m2)]]-RD[[#This Row],[Sunrise Time (POA&gt;20 W/m2)]])*24,0)</f>
        <v>0</v>
      </c>
      <c r="BN86" s="64">
        <f>SUM(RD[[#This Row],[33kV_OG1_O2RE9_Energy (KWh)]],RD[[#This Row],[33kV_OG2_O2RE19_Energy (KWh)]])</f>
        <v>0</v>
      </c>
      <c r="BO86" s="64">
        <f>IFERROR(RD[[#This Row],[ Export (33 kV)]]*(1-RD[[#This Row],[33 kV Line Loss (%)]]),RD[[#This Row],[ Export (33 kV)]])</f>
        <v>0</v>
      </c>
      <c r="BP86" s="216"/>
      <c r="BQ86" s="121"/>
      <c r="BR86" s="121"/>
      <c r="BS86" t="str">
        <f>IFERROR(RD[[#This Row],[E_AC (WPR)]]/RD[[#This Row],[E_DC (WPR)]],"")</f>
        <v/>
      </c>
    </row>
    <row r="87" spans="1:71">
      <c r="A87" s="147">
        <f t="shared" si="71"/>
        <v>45921</v>
      </c>
      <c r="B87" s="150">
        <f>YEAR(RD[[#This Row],[Date]])+IF(MONTH(RD[[#This Row],[Date]])&gt;=4,1,0)</f>
        <v>2026</v>
      </c>
      <c r="C87" s="150">
        <f>YEAR(RD[[#This Row],[Date]])</f>
        <v>2025</v>
      </c>
      <c r="D87" s="151">
        <f t="shared" si="70"/>
        <v>45901</v>
      </c>
      <c r="E87" s="150">
        <f>DAY(EOMONTH(RD[[#This Row],[Date]],0))</f>
        <v>30</v>
      </c>
      <c r="F87" s="121"/>
      <c r="G87" s="121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66"/>
      <c r="AF87" s="166"/>
      <c r="AG87" s="166"/>
      <c r="AH87" s="166"/>
      <c r="AI87" s="166"/>
      <c r="AJ87" s="166"/>
      <c r="AK87" s="166"/>
      <c r="AL87" s="166"/>
      <c r="AM87" s="58"/>
      <c r="AN87" s="58"/>
      <c r="AO87" s="58"/>
      <c r="AP87" s="58"/>
      <c r="AQ87" s="58"/>
      <c r="AR87" s="58"/>
      <c r="AS87" s="58"/>
      <c r="AT87" s="58"/>
      <c r="AU87" s="60">
        <f>SUM(RD[[#This Row],[IS2Inv1M1]:[IS4Inv1M3]])</f>
        <v>0</v>
      </c>
      <c r="AV87" s="60">
        <f>SUM(RD[[#This Row],[IS5Inv1M1]:[IS5Inv2M3]])</f>
        <v>0</v>
      </c>
      <c r="AW87" s="60">
        <f>SUM(RD[[#This Row],[O2RE9]:[O2RE192]])</f>
        <v>0</v>
      </c>
      <c r="AX87" s="152"/>
      <c r="AY87" s="152"/>
      <c r="AZ87" s="152"/>
      <c r="BA87" s="152"/>
      <c r="BB87" s="152"/>
      <c r="BC87" s="152"/>
      <c r="BD87" s="153" t="str">
        <f>IF((RD[[#This Row],[33 kV_F1_Ex (O2RE9)]]-AX86)*150000&lt;=0,"",(RD[[#This Row],[33 kV_F1_Ex (O2RE9)]]-AX86)*150000)</f>
        <v/>
      </c>
      <c r="BE87" s="153">
        <f>IF((RD[[#This Row],[33kV_OG1_Ex (O2RE9)]]-AY86)*1000&lt;=0,0,(RD[[#This Row],[33kV_OG1_Ex (O2RE9)]]-AY86)*1000)</f>
        <v>0</v>
      </c>
      <c r="BF87" s="153"/>
      <c r="BG87" s="153" t="str">
        <f>IF((RD[[#This Row],[33 kV_F2_Ex (O2RE19)]]-BA86)*150000&lt;=0,"",(RD[[#This Row],[33 kV_F2_Ex (O2RE19)]]-BA86)*150000)</f>
        <v/>
      </c>
      <c r="BH87" s="153">
        <f>IF((RD[[#This Row],[33kV_OG2_Ex (O2RE19)]]-BB86)*1000&lt;=0,0,(RD[[#This Row],[33kV_OG2_Ex (O2RE19)]]-BB86)*1000)</f>
        <v>0</v>
      </c>
      <c r="BI87" s="153">
        <f>IF((RD[[#This Row],[33kV_Aux2_Im (O2RE19)]]-BC86)*1000&lt;0,"",(RD[[#This Row],[33kV_Aux2_Im (O2RE19)]]-BC86)*1000)</f>
        <v>0</v>
      </c>
      <c r="BJ87" s="153">
        <f>IF((RD[[#This Row],[33kV_Aux1_Im (O2RE9)]]-AZ86)*1000&lt;0,"",(RD[[#This Row],[33kV_Aux1_Im (O2RE9)]]-AZ86)*1000)</f>
        <v>0</v>
      </c>
      <c r="BK87" s="153">
        <f>SUM(RD[[#This Row],[33kV_OG1_O2RE9_Energy (KWh)]],RD[[#This Row],[33kV_OG2_O2RE19_Energy (KWh)]])</f>
        <v>0</v>
      </c>
      <c r="BL87" s="62" t="str">
        <f>IFERROR(RD[[#This Row],[33 kV Total Export (KWH)]]/RD[[#This Row],[Inv Total Gneration (MWh)]]-1,"")</f>
        <v/>
      </c>
      <c r="BM87" s="63">
        <f>IFERROR((RD[[#This Row],[Sunset Time (POA&lt;20 W/m2)]]-RD[[#This Row],[Sunrise Time (POA&gt;20 W/m2)]])*24,0)</f>
        <v>0</v>
      </c>
      <c r="BN87" s="64">
        <f>SUM(RD[[#This Row],[33kV_OG1_O2RE9_Energy (KWh)]],RD[[#This Row],[33kV_OG2_O2RE19_Energy (KWh)]])</f>
        <v>0</v>
      </c>
      <c r="BO87" s="64">
        <f>IFERROR(RD[[#This Row],[ Export (33 kV)]]*(1-RD[[#This Row],[33 kV Line Loss (%)]]),RD[[#This Row],[ Export (33 kV)]])</f>
        <v>0</v>
      </c>
      <c r="BP87" s="216"/>
      <c r="BQ87" s="121"/>
      <c r="BR87" s="121"/>
      <c r="BS87" t="str">
        <f>IFERROR(RD[[#This Row],[E_AC (WPR)]]/RD[[#This Row],[E_DC (WPR)]],"")</f>
        <v/>
      </c>
    </row>
    <row r="88" spans="1:71">
      <c r="A88" s="147">
        <f t="shared" si="71"/>
        <v>45922</v>
      </c>
      <c r="B88" s="150">
        <f>YEAR(RD[[#This Row],[Date]])+IF(MONTH(RD[[#This Row],[Date]])&gt;=4,1,0)</f>
        <v>2026</v>
      </c>
      <c r="C88" s="150">
        <f>YEAR(RD[[#This Row],[Date]])</f>
        <v>2025</v>
      </c>
      <c r="D88" s="151">
        <f t="shared" si="70"/>
        <v>45901</v>
      </c>
      <c r="E88" s="150">
        <f>DAY(EOMONTH(RD[[#This Row],[Date]],0))</f>
        <v>30</v>
      </c>
      <c r="F88" s="121"/>
      <c r="G88" s="121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66"/>
      <c r="AF88" s="166"/>
      <c r="AG88" s="166"/>
      <c r="AH88" s="166"/>
      <c r="AI88" s="166"/>
      <c r="AJ88" s="166"/>
      <c r="AK88" s="166"/>
      <c r="AL88" s="166"/>
      <c r="AM88" s="58"/>
      <c r="AN88" s="58"/>
      <c r="AO88" s="58"/>
      <c r="AP88" s="58"/>
      <c r="AQ88" s="58"/>
      <c r="AR88" s="58"/>
      <c r="AS88" s="58"/>
      <c r="AT88" s="58"/>
      <c r="AU88" s="60">
        <f>SUM(RD[[#This Row],[IS2Inv1M1]:[IS4Inv1M3]])</f>
        <v>0</v>
      </c>
      <c r="AV88" s="60">
        <f>SUM(RD[[#This Row],[IS5Inv1M1]:[IS5Inv2M3]])</f>
        <v>0</v>
      </c>
      <c r="AW88" s="60">
        <f>SUM(RD[[#This Row],[O2RE9]:[O2RE192]])</f>
        <v>0</v>
      </c>
      <c r="AX88" s="152"/>
      <c r="AY88" s="152"/>
      <c r="AZ88" s="152"/>
      <c r="BA88" s="152"/>
      <c r="BB88" s="152"/>
      <c r="BC88" s="152"/>
      <c r="BD88" s="153" t="str">
        <f>IF((RD[[#This Row],[33 kV_F1_Ex (O2RE9)]]-AX87)*150000&lt;=0,"",(RD[[#This Row],[33 kV_F1_Ex (O2RE9)]]-AX87)*150000)</f>
        <v/>
      </c>
      <c r="BE88" s="153">
        <f>IF((RD[[#This Row],[33kV_OG1_Ex (O2RE9)]]-AY87)*1000&lt;=0,0,(RD[[#This Row],[33kV_OG1_Ex (O2RE9)]]-AY87)*1000)</f>
        <v>0</v>
      </c>
      <c r="BF88" s="153"/>
      <c r="BG88" s="153" t="str">
        <f>IF((RD[[#This Row],[33 kV_F2_Ex (O2RE19)]]-BA87)*150000&lt;=0,"",(RD[[#This Row],[33 kV_F2_Ex (O2RE19)]]-BA87)*150000)</f>
        <v/>
      </c>
      <c r="BH88" s="153">
        <f>IF((RD[[#This Row],[33kV_OG2_Ex (O2RE19)]]-BB87)*1000&lt;=0,0,(RD[[#This Row],[33kV_OG2_Ex (O2RE19)]]-BB87)*1000)</f>
        <v>0</v>
      </c>
      <c r="BI88" s="153">
        <f>IF((RD[[#This Row],[33kV_Aux2_Im (O2RE19)]]-BC87)*1000&lt;0,"",(RD[[#This Row],[33kV_Aux2_Im (O2RE19)]]-BC87)*1000)</f>
        <v>0</v>
      </c>
      <c r="BJ88" s="153">
        <f>IF((RD[[#This Row],[33kV_Aux1_Im (O2RE9)]]-AZ87)*1000&lt;0,"",(RD[[#This Row],[33kV_Aux1_Im (O2RE9)]]-AZ87)*1000)</f>
        <v>0</v>
      </c>
      <c r="BK88" s="153">
        <f>SUM(RD[[#This Row],[33kV_OG1_O2RE9_Energy (KWh)]],RD[[#This Row],[33kV_OG2_O2RE19_Energy (KWh)]])</f>
        <v>0</v>
      </c>
      <c r="BL88" s="62" t="str">
        <f>IFERROR(RD[[#This Row],[33 kV Total Export (KWH)]]/RD[[#This Row],[Inv Total Gneration (MWh)]]-1,"")</f>
        <v/>
      </c>
      <c r="BM88" s="63">
        <f>IFERROR((RD[[#This Row],[Sunset Time (POA&lt;20 W/m2)]]-RD[[#This Row],[Sunrise Time (POA&gt;20 W/m2)]])*24,0)</f>
        <v>0</v>
      </c>
      <c r="BN88" s="64">
        <f>SUM(RD[[#This Row],[33kV_OG1_O2RE9_Energy (KWh)]],RD[[#This Row],[33kV_OG2_O2RE19_Energy (KWh)]])</f>
        <v>0</v>
      </c>
      <c r="BO88" s="64">
        <f>IFERROR(RD[[#This Row],[ Export (33 kV)]]*(1-RD[[#This Row],[33 kV Line Loss (%)]]),RD[[#This Row],[ Export (33 kV)]])</f>
        <v>0</v>
      </c>
      <c r="BP88" s="216"/>
      <c r="BQ88" s="121"/>
      <c r="BR88" s="121"/>
      <c r="BS88" t="str">
        <f>IFERROR(RD[[#This Row],[E_AC (WPR)]]/RD[[#This Row],[E_DC (WPR)]],"")</f>
        <v/>
      </c>
    </row>
    <row r="89" spans="1:71">
      <c r="A89" s="147">
        <f t="shared" si="71"/>
        <v>45923</v>
      </c>
      <c r="B89" s="150">
        <f>YEAR(RD[[#This Row],[Date]])+IF(MONTH(RD[[#This Row],[Date]])&gt;=4,1,0)</f>
        <v>2026</v>
      </c>
      <c r="C89" s="150">
        <f>YEAR(RD[[#This Row],[Date]])</f>
        <v>2025</v>
      </c>
      <c r="D89" s="151">
        <f t="shared" si="70"/>
        <v>45901</v>
      </c>
      <c r="E89" s="150">
        <f>DAY(EOMONTH(RD[[#This Row],[Date]],0))</f>
        <v>30</v>
      </c>
      <c r="F89" s="121"/>
      <c r="G89" s="121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66"/>
      <c r="AF89" s="166"/>
      <c r="AG89" s="166"/>
      <c r="AH89" s="166"/>
      <c r="AI89" s="166"/>
      <c r="AJ89" s="166"/>
      <c r="AK89" s="166"/>
      <c r="AL89" s="166"/>
      <c r="AM89" s="58"/>
      <c r="AN89" s="58"/>
      <c r="AO89" s="58"/>
      <c r="AP89" s="58"/>
      <c r="AQ89" s="58"/>
      <c r="AR89" s="58"/>
      <c r="AS89" s="58"/>
      <c r="AT89" s="58"/>
      <c r="AU89" s="60">
        <f>SUM(RD[[#This Row],[IS2Inv1M1]:[IS4Inv1M3]])</f>
        <v>0</v>
      </c>
      <c r="AV89" s="60">
        <f>SUM(RD[[#This Row],[IS5Inv1M1]:[IS5Inv2M3]])</f>
        <v>0</v>
      </c>
      <c r="AW89" s="60">
        <f>SUM(RD[[#This Row],[O2RE9]:[O2RE192]])</f>
        <v>0</v>
      </c>
      <c r="AX89" s="152"/>
      <c r="AY89" s="152"/>
      <c r="AZ89" s="152"/>
      <c r="BA89" s="152"/>
      <c r="BB89" s="152"/>
      <c r="BC89" s="152"/>
      <c r="BD89" s="153" t="str">
        <f>IF((RD[[#This Row],[33 kV_F1_Ex (O2RE9)]]-AX88)*150000&lt;=0,"",(RD[[#This Row],[33 kV_F1_Ex (O2RE9)]]-AX88)*150000)</f>
        <v/>
      </c>
      <c r="BE89" s="153">
        <f>IF((RD[[#This Row],[33kV_OG1_Ex (O2RE9)]]-AY88)*1000&lt;=0,0,(RD[[#This Row],[33kV_OG1_Ex (O2RE9)]]-AY88)*1000)</f>
        <v>0</v>
      </c>
      <c r="BF89" s="153"/>
      <c r="BG89" s="153" t="str">
        <f>IF((RD[[#This Row],[33 kV_F2_Ex (O2RE19)]]-BA88)*150000&lt;=0,"",(RD[[#This Row],[33 kV_F2_Ex (O2RE19)]]-BA88)*150000)</f>
        <v/>
      </c>
      <c r="BH89" s="153">
        <f>IF((RD[[#This Row],[33kV_OG2_Ex (O2RE19)]]-BB88)*1000&lt;=0,0,(RD[[#This Row],[33kV_OG2_Ex (O2RE19)]]-BB88)*1000)</f>
        <v>0</v>
      </c>
      <c r="BI89" s="153">
        <f>IF((RD[[#This Row],[33kV_Aux2_Im (O2RE19)]]-BC88)*1000&lt;0,"",(RD[[#This Row],[33kV_Aux2_Im (O2RE19)]]-BC88)*1000)</f>
        <v>0</v>
      </c>
      <c r="BJ89" s="153">
        <f>IF((RD[[#This Row],[33kV_Aux1_Im (O2RE9)]]-AZ88)*1000&lt;0,"",(RD[[#This Row],[33kV_Aux1_Im (O2RE9)]]-AZ88)*1000)</f>
        <v>0</v>
      </c>
      <c r="BK89" s="153">
        <f>SUM(RD[[#This Row],[33kV_OG1_O2RE9_Energy (KWh)]],RD[[#This Row],[33kV_OG2_O2RE19_Energy (KWh)]])</f>
        <v>0</v>
      </c>
      <c r="BL89" s="62" t="str">
        <f>IFERROR(RD[[#This Row],[33 kV Total Export (KWH)]]/RD[[#This Row],[Inv Total Gneration (MWh)]]-1,"")</f>
        <v/>
      </c>
      <c r="BM89" s="63">
        <f>IFERROR((RD[[#This Row],[Sunset Time (POA&lt;20 W/m2)]]-RD[[#This Row],[Sunrise Time (POA&gt;20 W/m2)]])*24,0)</f>
        <v>0</v>
      </c>
      <c r="BN89" s="64">
        <f>SUM(RD[[#This Row],[33kV_OG1_O2RE9_Energy (KWh)]],RD[[#This Row],[33kV_OG2_O2RE19_Energy (KWh)]])</f>
        <v>0</v>
      </c>
      <c r="BO89" s="64">
        <f>IFERROR(RD[[#This Row],[ Export (33 kV)]]*(1-RD[[#This Row],[33 kV Line Loss (%)]]),RD[[#This Row],[ Export (33 kV)]])</f>
        <v>0</v>
      </c>
      <c r="BP89" s="216"/>
      <c r="BQ89" s="121"/>
      <c r="BR89" s="121"/>
      <c r="BS89" t="str">
        <f>IFERROR(RD[[#This Row],[E_AC (WPR)]]/RD[[#This Row],[E_DC (WPR)]],"")</f>
        <v/>
      </c>
    </row>
    <row r="90" spans="1:71">
      <c r="A90" s="147">
        <f t="shared" si="71"/>
        <v>45924</v>
      </c>
      <c r="B90" s="150">
        <f>YEAR(RD[[#This Row],[Date]])+IF(MONTH(RD[[#This Row],[Date]])&gt;=4,1,0)</f>
        <v>2026</v>
      </c>
      <c r="C90" s="150">
        <f>YEAR(RD[[#This Row],[Date]])</f>
        <v>2025</v>
      </c>
      <c r="D90" s="151">
        <f t="shared" si="70"/>
        <v>45901</v>
      </c>
      <c r="E90" s="150">
        <f>DAY(EOMONTH(RD[[#This Row],[Date]],0))</f>
        <v>30</v>
      </c>
      <c r="F90" s="121"/>
      <c r="G90" s="121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66"/>
      <c r="AF90" s="166"/>
      <c r="AG90" s="166"/>
      <c r="AH90" s="166"/>
      <c r="AI90" s="166"/>
      <c r="AJ90" s="166"/>
      <c r="AK90" s="166"/>
      <c r="AL90" s="166"/>
      <c r="AM90" s="58"/>
      <c r="AN90" s="58"/>
      <c r="AO90" s="58"/>
      <c r="AP90" s="58"/>
      <c r="AQ90" s="58"/>
      <c r="AR90" s="58"/>
      <c r="AS90" s="58"/>
      <c r="AT90" s="58"/>
      <c r="AU90" s="60">
        <f>SUM(RD[[#This Row],[IS2Inv1M1]:[IS4Inv1M3]])</f>
        <v>0</v>
      </c>
      <c r="AV90" s="60">
        <f>SUM(RD[[#This Row],[IS5Inv1M1]:[IS5Inv2M3]])</f>
        <v>0</v>
      </c>
      <c r="AW90" s="60">
        <f>SUM(RD[[#This Row],[O2RE9]:[O2RE192]])</f>
        <v>0</v>
      </c>
      <c r="AX90" s="152"/>
      <c r="AY90" s="152"/>
      <c r="AZ90" s="152"/>
      <c r="BA90" s="152"/>
      <c r="BB90" s="152"/>
      <c r="BC90" s="152"/>
      <c r="BD90" s="153" t="str">
        <f>IF((RD[[#This Row],[33 kV_F1_Ex (O2RE9)]]-AX89)*150000&lt;=0,"",(RD[[#This Row],[33 kV_F1_Ex (O2RE9)]]-AX89)*150000)</f>
        <v/>
      </c>
      <c r="BE90" s="153">
        <f>IF((RD[[#This Row],[33kV_OG1_Ex (O2RE9)]]-AY89)*1000&lt;=0,0,(RD[[#This Row],[33kV_OG1_Ex (O2RE9)]]-AY89)*1000)</f>
        <v>0</v>
      </c>
      <c r="BF90" s="153"/>
      <c r="BG90" s="153" t="str">
        <f>IF((RD[[#This Row],[33 kV_F2_Ex (O2RE19)]]-BA89)*150000&lt;=0,"",(RD[[#This Row],[33 kV_F2_Ex (O2RE19)]]-BA89)*150000)</f>
        <v/>
      </c>
      <c r="BH90" s="153">
        <f>IF((RD[[#This Row],[33kV_OG2_Ex (O2RE19)]]-BB89)*1000&lt;=0,0,(RD[[#This Row],[33kV_OG2_Ex (O2RE19)]]-BB89)*1000)</f>
        <v>0</v>
      </c>
      <c r="BI90" s="153">
        <f>IF((RD[[#This Row],[33kV_Aux2_Im (O2RE19)]]-BC89)*1000&lt;0,"",(RD[[#This Row],[33kV_Aux2_Im (O2RE19)]]-BC89)*1000)</f>
        <v>0</v>
      </c>
      <c r="BJ90" s="153">
        <f>IF((RD[[#This Row],[33kV_Aux1_Im (O2RE9)]]-AZ89)*1000&lt;0,"",(RD[[#This Row],[33kV_Aux1_Im (O2RE9)]]-AZ89)*1000)</f>
        <v>0</v>
      </c>
      <c r="BK90" s="153">
        <f>SUM(RD[[#This Row],[33kV_OG1_O2RE9_Energy (KWh)]],RD[[#This Row],[33kV_OG2_O2RE19_Energy (KWh)]])</f>
        <v>0</v>
      </c>
      <c r="BL90" s="62" t="str">
        <f>IFERROR(RD[[#This Row],[33 kV Total Export (KWH)]]/RD[[#This Row],[Inv Total Gneration (MWh)]]-1,"")</f>
        <v/>
      </c>
      <c r="BM90" s="63">
        <f>IFERROR((RD[[#This Row],[Sunset Time (POA&lt;20 W/m2)]]-RD[[#This Row],[Sunrise Time (POA&gt;20 W/m2)]])*24,0)</f>
        <v>0</v>
      </c>
      <c r="BN90" s="64">
        <f>SUM(RD[[#This Row],[33kV_OG1_O2RE9_Energy (KWh)]],RD[[#This Row],[33kV_OG2_O2RE19_Energy (KWh)]])</f>
        <v>0</v>
      </c>
      <c r="BO90" s="64">
        <f>IFERROR(RD[[#This Row],[ Export (33 kV)]]*(1-RD[[#This Row],[33 kV Line Loss (%)]]),RD[[#This Row],[ Export (33 kV)]])</f>
        <v>0</v>
      </c>
      <c r="BP90" s="216"/>
      <c r="BQ90" s="121"/>
      <c r="BR90" s="121"/>
      <c r="BS90" t="str">
        <f>IFERROR(RD[[#This Row],[E_AC (WPR)]]/RD[[#This Row],[E_DC (WPR)]],"")</f>
        <v/>
      </c>
    </row>
    <row r="91" spans="1:71">
      <c r="A91" s="147">
        <f t="shared" si="71"/>
        <v>45925</v>
      </c>
      <c r="B91" s="150">
        <f>YEAR(RD[[#This Row],[Date]])+IF(MONTH(RD[[#This Row],[Date]])&gt;=4,1,0)</f>
        <v>2026</v>
      </c>
      <c r="C91" s="150">
        <f>YEAR(RD[[#This Row],[Date]])</f>
        <v>2025</v>
      </c>
      <c r="D91" s="151">
        <f t="shared" si="70"/>
        <v>45901</v>
      </c>
      <c r="E91" s="150">
        <f>DAY(EOMONTH(RD[[#This Row],[Date]],0))</f>
        <v>30</v>
      </c>
      <c r="F91" s="121"/>
      <c r="G91" s="121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66"/>
      <c r="AF91" s="166"/>
      <c r="AG91" s="166"/>
      <c r="AH91" s="166"/>
      <c r="AI91" s="166"/>
      <c r="AJ91" s="166"/>
      <c r="AK91" s="166"/>
      <c r="AL91" s="166"/>
      <c r="AM91" s="58"/>
      <c r="AN91" s="58"/>
      <c r="AO91" s="58"/>
      <c r="AP91" s="58"/>
      <c r="AQ91" s="58"/>
      <c r="AR91" s="58"/>
      <c r="AS91" s="58"/>
      <c r="AT91" s="58"/>
      <c r="AU91" s="60">
        <f>SUM(RD[[#This Row],[IS2Inv1M1]:[IS4Inv1M3]])</f>
        <v>0</v>
      </c>
      <c r="AV91" s="60">
        <f>SUM(RD[[#This Row],[IS5Inv1M1]:[IS5Inv2M3]])</f>
        <v>0</v>
      </c>
      <c r="AW91" s="60">
        <f>SUM(RD[[#This Row],[O2RE9]:[O2RE192]])</f>
        <v>0</v>
      </c>
      <c r="AX91" s="152"/>
      <c r="AY91" s="152"/>
      <c r="AZ91" s="152"/>
      <c r="BA91" s="152"/>
      <c r="BB91" s="152"/>
      <c r="BC91" s="152"/>
      <c r="BD91" s="153" t="str">
        <f>IF((RD[[#This Row],[33 kV_F1_Ex (O2RE9)]]-AX90)*150000&lt;=0,"",(RD[[#This Row],[33 kV_F1_Ex (O2RE9)]]-AX90)*150000)</f>
        <v/>
      </c>
      <c r="BE91" s="153">
        <f>IF((RD[[#This Row],[33kV_OG1_Ex (O2RE9)]]-AY90)*1000&lt;=0,0,(RD[[#This Row],[33kV_OG1_Ex (O2RE9)]]-AY90)*1000)</f>
        <v>0</v>
      </c>
      <c r="BF91" s="153"/>
      <c r="BG91" s="153" t="str">
        <f>IF((RD[[#This Row],[33 kV_F2_Ex (O2RE19)]]-BA90)*150000&lt;=0,"",(RD[[#This Row],[33 kV_F2_Ex (O2RE19)]]-BA90)*150000)</f>
        <v/>
      </c>
      <c r="BH91" s="153">
        <f>IF((RD[[#This Row],[33kV_OG2_Ex (O2RE19)]]-BB90)*1000&lt;=0,0,(RD[[#This Row],[33kV_OG2_Ex (O2RE19)]]-BB90)*1000)</f>
        <v>0</v>
      </c>
      <c r="BI91" s="153">
        <f>IF((RD[[#This Row],[33kV_Aux2_Im (O2RE19)]]-BC90)*1000&lt;0,"",(RD[[#This Row],[33kV_Aux2_Im (O2RE19)]]-BC90)*1000)</f>
        <v>0</v>
      </c>
      <c r="BJ91" s="153">
        <f>IF((RD[[#This Row],[33kV_Aux1_Im (O2RE9)]]-AZ90)*1000&lt;0,"",(RD[[#This Row],[33kV_Aux1_Im (O2RE9)]]-AZ90)*1000)</f>
        <v>0</v>
      </c>
      <c r="BK91" s="153">
        <f>SUM(RD[[#This Row],[33kV_OG1_O2RE9_Energy (KWh)]],RD[[#This Row],[33kV_OG2_O2RE19_Energy (KWh)]])</f>
        <v>0</v>
      </c>
      <c r="BL91" s="62" t="str">
        <f>IFERROR(RD[[#This Row],[33 kV Total Export (KWH)]]/RD[[#This Row],[Inv Total Gneration (MWh)]]-1,"")</f>
        <v/>
      </c>
      <c r="BM91" s="63">
        <f>IFERROR((RD[[#This Row],[Sunset Time (POA&lt;20 W/m2)]]-RD[[#This Row],[Sunrise Time (POA&gt;20 W/m2)]])*24,0)</f>
        <v>0</v>
      </c>
      <c r="BN91" s="64">
        <f>SUM(RD[[#This Row],[33kV_OG1_O2RE9_Energy (KWh)]],RD[[#This Row],[33kV_OG2_O2RE19_Energy (KWh)]])</f>
        <v>0</v>
      </c>
      <c r="BO91" s="64">
        <f>IFERROR(RD[[#This Row],[ Export (33 kV)]]*(1-RD[[#This Row],[33 kV Line Loss (%)]]),RD[[#This Row],[ Export (33 kV)]])</f>
        <v>0</v>
      </c>
      <c r="BP91" s="216"/>
      <c r="BQ91" s="121"/>
      <c r="BR91" s="121"/>
      <c r="BS91" t="str">
        <f>IFERROR(RD[[#This Row],[E_AC (WPR)]]/RD[[#This Row],[E_DC (WPR)]],"")</f>
        <v/>
      </c>
    </row>
    <row r="92" spans="1:71">
      <c r="A92" s="147">
        <f t="shared" si="71"/>
        <v>45926</v>
      </c>
      <c r="B92" s="150">
        <f>YEAR(RD[[#This Row],[Date]])+IF(MONTH(RD[[#This Row],[Date]])&gt;=4,1,0)</f>
        <v>2026</v>
      </c>
      <c r="C92" s="150">
        <f>YEAR(RD[[#This Row],[Date]])</f>
        <v>2025</v>
      </c>
      <c r="D92" s="151">
        <f t="shared" si="70"/>
        <v>45901</v>
      </c>
      <c r="E92" s="150">
        <f>DAY(EOMONTH(RD[[#This Row],[Date]],0))</f>
        <v>30</v>
      </c>
      <c r="F92" s="121"/>
      <c r="G92" s="121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66"/>
      <c r="AF92" s="166"/>
      <c r="AG92" s="166"/>
      <c r="AH92" s="166"/>
      <c r="AI92" s="166"/>
      <c r="AJ92" s="166"/>
      <c r="AK92" s="166"/>
      <c r="AL92" s="166"/>
      <c r="AM92" s="58"/>
      <c r="AN92" s="58"/>
      <c r="AO92" s="58"/>
      <c r="AP92" s="58"/>
      <c r="AQ92" s="58"/>
      <c r="AR92" s="58"/>
      <c r="AS92" s="58"/>
      <c r="AT92" s="58"/>
      <c r="AU92" s="60">
        <f>SUM(RD[[#This Row],[IS2Inv1M1]:[IS4Inv1M3]])</f>
        <v>0</v>
      </c>
      <c r="AV92" s="60">
        <f>SUM(RD[[#This Row],[IS5Inv1M1]:[IS5Inv2M3]])</f>
        <v>0</v>
      </c>
      <c r="AW92" s="60">
        <f>SUM(RD[[#This Row],[O2RE9]:[O2RE192]])</f>
        <v>0</v>
      </c>
      <c r="AX92" s="152"/>
      <c r="AY92" s="152"/>
      <c r="AZ92" s="152"/>
      <c r="BA92" s="152"/>
      <c r="BB92" s="152"/>
      <c r="BC92" s="152"/>
      <c r="BD92" s="153" t="str">
        <f>IF((RD[[#This Row],[33 kV_F1_Ex (O2RE9)]]-AX91)*150000&lt;=0,"",(RD[[#This Row],[33 kV_F1_Ex (O2RE9)]]-AX91)*150000)</f>
        <v/>
      </c>
      <c r="BE92" s="153">
        <f>IF((RD[[#This Row],[33kV_OG1_Ex (O2RE9)]]-AY91)*1000&lt;=0,0,(RD[[#This Row],[33kV_OG1_Ex (O2RE9)]]-AY91)*1000)</f>
        <v>0</v>
      </c>
      <c r="BF92" s="153"/>
      <c r="BG92" s="153" t="str">
        <f>IF((RD[[#This Row],[33 kV_F2_Ex (O2RE19)]]-BA91)*150000&lt;=0,"",(RD[[#This Row],[33 kV_F2_Ex (O2RE19)]]-BA91)*150000)</f>
        <v/>
      </c>
      <c r="BH92" s="153">
        <f>IF((RD[[#This Row],[33kV_OG2_Ex (O2RE19)]]-BB91)*1000&lt;=0,0,(RD[[#This Row],[33kV_OG2_Ex (O2RE19)]]-BB91)*1000)</f>
        <v>0</v>
      </c>
      <c r="BI92" s="153">
        <f>IF((RD[[#This Row],[33kV_Aux2_Im (O2RE19)]]-BC91)*1000&lt;0,"",(RD[[#This Row],[33kV_Aux2_Im (O2RE19)]]-BC91)*1000)</f>
        <v>0</v>
      </c>
      <c r="BJ92" s="153">
        <f>IF((RD[[#This Row],[33kV_Aux1_Im (O2RE9)]]-AZ91)*1000&lt;0,"",(RD[[#This Row],[33kV_Aux1_Im (O2RE9)]]-AZ91)*1000)</f>
        <v>0</v>
      </c>
      <c r="BK92" s="153">
        <f>SUM(RD[[#This Row],[33kV_OG1_O2RE9_Energy (KWh)]],RD[[#This Row],[33kV_OG2_O2RE19_Energy (KWh)]])</f>
        <v>0</v>
      </c>
      <c r="BL92" s="62" t="str">
        <f>IFERROR(RD[[#This Row],[33 kV Total Export (KWH)]]/RD[[#This Row],[Inv Total Gneration (MWh)]]-1,"")</f>
        <v/>
      </c>
      <c r="BM92" s="63">
        <f>IFERROR((RD[[#This Row],[Sunset Time (POA&lt;20 W/m2)]]-RD[[#This Row],[Sunrise Time (POA&gt;20 W/m2)]])*24,0)</f>
        <v>0</v>
      </c>
      <c r="BN92" s="64">
        <f>SUM(RD[[#This Row],[33kV_OG1_O2RE9_Energy (KWh)]],RD[[#This Row],[33kV_OG2_O2RE19_Energy (KWh)]])</f>
        <v>0</v>
      </c>
      <c r="BO92" s="64">
        <f>IFERROR(RD[[#This Row],[ Export (33 kV)]]*(1-RD[[#This Row],[33 kV Line Loss (%)]]),RD[[#This Row],[ Export (33 kV)]])</f>
        <v>0</v>
      </c>
      <c r="BP92" s="216"/>
      <c r="BQ92" s="121"/>
      <c r="BR92" s="121"/>
      <c r="BS92" t="str">
        <f>IFERROR(RD[[#This Row],[E_AC (WPR)]]/RD[[#This Row],[E_DC (WPR)]],"")</f>
        <v/>
      </c>
    </row>
    <row r="93" spans="1:71">
      <c r="A93" s="147">
        <f t="shared" si="71"/>
        <v>45927</v>
      </c>
      <c r="B93" s="150">
        <f>YEAR(RD[[#This Row],[Date]])+IF(MONTH(RD[[#This Row],[Date]])&gt;=4,1,0)</f>
        <v>2026</v>
      </c>
      <c r="C93" s="150">
        <f>YEAR(RD[[#This Row],[Date]])</f>
        <v>2025</v>
      </c>
      <c r="D93" s="151">
        <f t="shared" si="70"/>
        <v>45901</v>
      </c>
      <c r="E93" s="150">
        <f>DAY(EOMONTH(RD[[#This Row],[Date]],0))</f>
        <v>30</v>
      </c>
      <c r="F93" s="121"/>
      <c r="G93" s="121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66"/>
      <c r="AF93" s="166"/>
      <c r="AG93" s="166"/>
      <c r="AH93" s="166"/>
      <c r="AI93" s="166"/>
      <c r="AJ93" s="166"/>
      <c r="AK93" s="166"/>
      <c r="AL93" s="166"/>
      <c r="AM93" s="58"/>
      <c r="AN93" s="58"/>
      <c r="AO93" s="58"/>
      <c r="AP93" s="58"/>
      <c r="AQ93" s="58"/>
      <c r="AR93" s="58"/>
      <c r="AS93" s="58"/>
      <c r="AT93" s="58"/>
      <c r="AU93" s="60">
        <f>SUM(RD[[#This Row],[IS2Inv1M1]:[IS4Inv1M3]])</f>
        <v>0</v>
      </c>
      <c r="AV93" s="60">
        <f>SUM(RD[[#This Row],[IS5Inv1M1]:[IS5Inv2M3]])</f>
        <v>0</v>
      </c>
      <c r="AW93" s="60">
        <f>SUM(RD[[#This Row],[O2RE9]:[O2RE192]])</f>
        <v>0</v>
      </c>
      <c r="AX93" s="152"/>
      <c r="AY93" s="152"/>
      <c r="AZ93" s="152"/>
      <c r="BA93" s="152"/>
      <c r="BB93" s="152"/>
      <c r="BC93" s="152"/>
      <c r="BD93" s="153" t="str">
        <f>IF((RD[[#This Row],[33 kV_F1_Ex (O2RE9)]]-AX92)*150000&lt;=0,"",(RD[[#This Row],[33 kV_F1_Ex (O2RE9)]]-AX92)*150000)</f>
        <v/>
      </c>
      <c r="BE93" s="153">
        <f>IF((RD[[#This Row],[33kV_OG1_Ex (O2RE9)]]-AY92)*1000&lt;=0,0,(RD[[#This Row],[33kV_OG1_Ex (O2RE9)]]-AY92)*1000)</f>
        <v>0</v>
      </c>
      <c r="BF93" s="153"/>
      <c r="BG93" s="153" t="str">
        <f>IF((RD[[#This Row],[33 kV_F2_Ex (O2RE19)]]-BA92)*150000&lt;=0,"",(RD[[#This Row],[33 kV_F2_Ex (O2RE19)]]-BA92)*150000)</f>
        <v/>
      </c>
      <c r="BH93" s="153">
        <f>IF((RD[[#This Row],[33kV_OG2_Ex (O2RE19)]]-BB92)*1000&lt;=0,0,(RD[[#This Row],[33kV_OG2_Ex (O2RE19)]]-BB92)*1000)</f>
        <v>0</v>
      </c>
      <c r="BI93" s="153">
        <f>IF((RD[[#This Row],[33kV_Aux2_Im (O2RE19)]]-BC92)*1000&lt;0,"",(RD[[#This Row],[33kV_Aux2_Im (O2RE19)]]-BC92)*1000)</f>
        <v>0</v>
      </c>
      <c r="BJ93" s="153">
        <f>IF((RD[[#This Row],[33kV_Aux1_Im (O2RE9)]]-AZ92)*1000&lt;0,"",(RD[[#This Row],[33kV_Aux1_Im (O2RE9)]]-AZ92)*1000)</f>
        <v>0</v>
      </c>
      <c r="BK93" s="153">
        <f>SUM(RD[[#This Row],[33kV_OG1_O2RE9_Energy (KWh)]],RD[[#This Row],[33kV_OG2_O2RE19_Energy (KWh)]])</f>
        <v>0</v>
      </c>
      <c r="BL93" s="62" t="str">
        <f>IFERROR(RD[[#This Row],[33 kV Total Export (KWH)]]/RD[[#This Row],[Inv Total Gneration (MWh)]]-1,"")</f>
        <v/>
      </c>
      <c r="BM93" s="63">
        <f>IFERROR((RD[[#This Row],[Sunset Time (POA&lt;20 W/m2)]]-RD[[#This Row],[Sunrise Time (POA&gt;20 W/m2)]])*24,0)</f>
        <v>0</v>
      </c>
      <c r="BN93" s="64">
        <f>SUM(RD[[#This Row],[33kV_OG1_O2RE9_Energy (KWh)]],RD[[#This Row],[33kV_OG2_O2RE19_Energy (KWh)]])</f>
        <v>0</v>
      </c>
      <c r="BO93" s="64">
        <f>IFERROR(RD[[#This Row],[ Export (33 kV)]]*(1-RD[[#This Row],[33 kV Line Loss (%)]]),RD[[#This Row],[ Export (33 kV)]])</f>
        <v>0</v>
      </c>
      <c r="BP93" s="216"/>
      <c r="BQ93" s="121"/>
      <c r="BR93" s="121"/>
      <c r="BS93" t="str">
        <f>IFERROR(RD[[#This Row],[E_AC (WPR)]]/RD[[#This Row],[E_DC (WPR)]],"")</f>
        <v/>
      </c>
    </row>
    <row r="94" spans="1:71">
      <c r="A94" s="147">
        <f t="shared" si="71"/>
        <v>45928</v>
      </c>
      <c r="B94" s="150">
        <f>YEAR(RD[[#This Row],[Date]])+IF(MONTH(RD[[#This Row],[Date]])&gt;=4,1,0)</f>
        <v>2026</v>
      </c>
      <c r="C94" s="150">
        <f>YEAR(RD[[#This Row],[Date]])</f>
        <v>2025</v>
      </c>
      <c r="D94" s="151">
        <f t="shared" si="70"/>
        <v>45901</v>
      </c>
      <c r="E94" s="150">
        <f>DAY(EOMONTH(RD[[#This Row],[Date]],0))</f>
        <v>30</v>
      </c>
      <c r="F94" s="121"/>
      <c r="G94" s="121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66"/>
      <c r="AF94" s="166"/>
      <c r="AG94" s="166"/>
      <c r="AH94" s="166"/>
      <c r="AI94" s="166"/>
      <c r="AJ94" s="166"/>
      <c r="AK94" s="166"/>
      <c r="AL94" s="166"/>
      <c r="AM94" s="58"/>
      <c r="AN94" s="58"/>
      <c r="AO94" s="58"/>
      <c r="AP94" s="58"/>
      <c r="AQ94" s="58"/>
      <c r="AR94" s="58"/>
      <c r="AS94" s="58"/>
      <c r="AT94" s="58"/>
      <c r="AU94" s="60">
        <f>SUM(RD[[#This Row],[IS2Inv1M1]:[IS4Inv1M3]])</f>
        <v>0</v>
      </c>
      <c r="AV94" s="60">
        <f>SUM(RD[[#This Row],[IS5Inv1M1]:[IS5Inv2M3]])</f>
        <v>0</v>
      </c>
      <c r="AW94" s="60">
        <f>SUM(RD[[#This Row],[O2RE9]:[O2RE192]])</f>
        <v>0</v>
      </c>
      <c r="AX94" s="152"/>
      <c r="AY94" s="152"/>
      <c r="AZ94" s="152"/>
      <c r="BA94" s="152"/>
      <c r="BB94" s="152"/>
      <c r="BC94" s="152"/>
      <c r="BD94" s="153" t="str">
        <f>IF((RD[[#This Row],[33 kV_F1_Ex (O2RE9)]]-AX93)*150000&lt;=0,"",(RD[[#This Row],[33 kV_F1_Ex (O2RE9)]]-AX93)*150000)</f>
        <v/>
      </c>
      <c r="BE94" s="153">
        <f>IF((RD[[#This Row],[33kV_OG1_Ex (O2RE9)]]-AY93)*1000&lt;=0,0,(RD[[#This Row],[33kV_OG1_Ex (O2RE9)]]-AY93)*1000)</f>
        <v>0</v>
      </c>
      <c r="BF94" s="153"/>
      <c r="BG94" s="153" t="str">
        <f>IF((RD[[#This Row],[33 kV_F2_Ex (O2RE19)]]-BA93)*150000&lt;=0,"",(RD[[#This Row],[33 kV_F2_Ex (O2RE19)]]-BA93)*150000)</f>
        <v/>
      </c>
      <c r="BH94" s="153">
        <f>IF((RD[[#This Row],[33kV_OG2_Ex (O2RE19)]]-BB93)*1000&lt;=0,0,(RD[[#This Row],[33kV_OG2_Ex (O2RE19)]]-BB93)*1000)</f>
        <v>0</v>
      </c>
      <c r="BI94" s="153">
        <f>IF((RD[[#This Row],[33kV_Aux2_Im (O2RE19)]]-BC93)*1000&lt;0,"",(RD[[#This Row],[33kV_Aux2_Im (O2RE19)]]-BC93)*1000)</f>
        <v>0</v>
      </c>
      <c r="BJ94" s="153">
        <f>IF((RD[[#This Row],[33kV_Aux1_Im (O2RE9)]]-AZ93)*1000&lt;0,"",(RD[[#This Row],[33kV_Aux1_Im (O2RE9)]]-AZ93)*1000)</f>
        <v>0</v>
      </c>
      <c r="BK94" s="153">
        <f>SUM(RD[[#This Row],[33kV_OG1_O2RE9_Energy (KWh)]],RD[[#This Row],[33kV_OG2_O2RE19_Energy (KWh)]])</f>
        <v>0</v>
      </c>
      <c r="BL94" s="62" t="str">
        <f>IFERROR(RD[[#This Row],[33 kV Total Export (KWH)]]/RD[[#This Row],[Inv Total Gneration (MWh)]]-1,"")</f>
        <v/>
      </c>
      <c r="BM94" s="63">
        <f>IFERROR((RD[[#This Row],[Sunset Time (POA&lt;20 W/m2)]]-RD[[#This Row],[Sunrise Time (POA&gt;20 W/m2)]])*24,0)</f>
        <v>0</v>
      </c>
      <c r="BN94" s="64">
        <f>SUM(RD[[#This Row],[33kV_OG1_O2RE9_Energy (KWh)]],RD[[#This Row],[33kV_OG2_O2RE19_Energy (KWh)]])</f>
        <v>0</v>
      </c>
      <c r="BO94" s="64">
        <f>IFERROR(RD[[#This Row],[ Export (33 kV)]]*(1-RD[[#This Row],[33 kV Line Loss (%)]]),RD[[#This Row],[ Export (33 kV)]])</f>
        <v>0</v>
      </c>
      <c r="BP94" s="216"/>
      <c r="BQ94" s="121"/>
      <c r="BR94" s="121"/>
      <c r="BS94" t="str">
        <f>IFERROR(RD[[#This Row],[E_AC (WPR)]]/RD[[#This Row],[E_DC (WPR)]],"")</f>
        <v/>
      </c>
    </row>
    <row r="95" spans="1:71">
      <c r="A95" s="147">
        <f t="shared" si="71"/>
        <v>45929</v>
      </c>
      <c r="B95" s="150">
        <f>YEAR(RD[[#This Row],[Date]])+IF(MONTH(RD[[#This Row],[Date]])&gt;=4,1,0)</f>
        <v>2026</v>
      </c>
      <c r="C95" s="150">
        <f>YEAR(RD[[#This Row],[Date]])</f>
        <v>2025</v>
      </c>
      <c r="D95" s="151">
        <f t="shared" si="70"/>
        <v>45901</v>
      </c>
      <c r="E95" s="150">
        <f>DAY(EOMONTH(RD[[#This Row],[Date]],0))</f>
        <v>30</v>
      </c>
      <c r="F95" s="121"/>
      <c r="G95" s="121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66"/>
      <c r="AF95" s="166"/>
      <c r="AG95" s="166"/>
      <c r="AH95" s="166"/>
      <c r="AI95" s="166"/>
      <c r="AJ95" s="166"/>
      <c r="AK95" s="166"/>
      <c r="AL95" s="166"/>
      <c r="AM95" s="58"/>
      <c r="AN95" s="58"/>
      <c r="AO95" s="58"/>
      <c r="AP95" s="58"/>
      <c r="AQ95" s="58"/>
      <c r="AR95" s="58"/>
      <c r="AS95" s="58"/>
      <c r="AT95" s="58"/>
      <c r="AU95" s="60">
        <f>SUM(RD[[#This Row],[IS2Inv1M1]:[IS4Inv1M3]])</f>
        <v>0</v>
      </c>
      <c r="AV95" s="60">
        <f>SUM(RD[[#This Row],[IS5Inv1M1]:[IS5Inv2M3]])</f>
        <v>0</v>
      </c>
      <c r="AW95" s="60">
        <f>SUM(RD[[#This Row],[O2RE9]:[O2RE192]])</f>
        <v>0</v>
      </c>
      <c r="AX95" s="152"/>
      <c r="AY95" s="152"/>
      <c r="AZ95" s="152"/>
      <c r="BA95" s="152"/>
      <c r="BB95" s="152"/>
      <c r="BC95" s="152"/>
      <c r="BD95" s="153" t="str">
        <f>IF((RD[[#This Row],[33 kV_F1_Ex (O2RE9)]]-AX94)*150000&lt;=0,"",(RD[[#This Row],[33 kV_F1_Ex (O2RE9)]]-AX94)*150000)</f>
        <v/>
      </c>
      <c r="BE95" s="153">
        <f>IF((RD[[#This Row],[33kV_OG1_Ex (O2RE9)]]-AY94)*1000&lt;=0,0,(RD[[#This Row],[33kV_OG1_Ex (O2RE9)]]-AY94)*1000)</f>
        <v>0</v>
      </c>
      <c r="BF95" s="153"/>
      <c r="BG95" s="153" t="str">
        <f>IF((RD[[#This Row],[33 kV_F2_Ex (O2RE19)]]-BA94)*150000&lt;=0,"",(RD[[#This Row],[33 kV_F2_Ex (O2RE19)]]-BA94)*150000)</f>
        <v/>
      </c>
      <c r="BH95" s="153">
        <f>IF((RD[[#This Row],[33kV_OG2_Ex (O2RE19)]]-BB94)*1000&lt;=0,0,(RD[[#This Row],[33kV_OG2_Ex (O2RE19)]]-BB94)*1000)</f>
        <v>0</v>
      </c>
      <c r="BI95" s="153">
        <f>IF((RD[[#This Row],[33kV_Aux2_Im (O2RE19)]]-BC94)*1000&lt;0,"",(RD[[#This Row],[33kV_Aux2_Im (O2RE19)]]-BC94)*1000)</f>
        <v>0</v>
      </c>
      <c r="BJ95" s="153">
        <f>IF((RD[[#This Row],[33kV_Aux1_Im (O2RE9)]]-AZ94)*1000&lt;0,"",(RD[[#This Row],[33kV_Aux1_Im (O2RE9)]]-AZ94)*1000)</f>
        <v>0</v>
      </c>
      <c r="BK95" s="153">
        <f>SUM(RD[[#This Row],[33kV_OG1_O2RE9_Energy (KWh)]],RD[[#This Row],[33kV_OG2_O2RE19_Energy (KWh)]])</f>
        <v>0</v>
      </c>
      <c r="BL95" s="62" t="str">
        <f>IFERROR(RD[[#This Row],[33 kV Total Export (KWH)]]/RD[[#This Row],[Inv Total Gneration (MWh)]]-1,"")</f>
        <v/>
      </c>
      <c r="BM95" s="63">
        <f>IFERROR((RD[[#This Row],[Sunset Time (POA&lt;20 W/m2)]]-RD[[#This Row],[Sunrise Time (POA&gt;20 W/m2)]])*24,0)</f>
        <v>0</v>
      </c>
      <c r="BN95" s="64">
        <f>SUM(RD[[#This Row],[33kV_OG1_O2RE9_Energy (KWh)]],RD[[#This Row],[33kV_OG2_O2RE19_Energy (KWh)]])</f>
        <v>0</v>
      </c>
      <c r="BO95" s="64">
        <f>IFERROR(RD[[#This Row],[ Export (33 kV)]]*(1-RD[[#This Row],[33 kV Line Loss (%)]]),RD[[#This Row],[ Export (33 kV)]])</f>
        <v>0</v>
      </c>
      <c r="BP95" s="216"/>
      <c r="BQ95" s="121"/>
      <c r="BR95" s="121"/>
      <c r="BS95" t="str">
        <f>IFERROR(RD[[#This Row],[E_AC (WPR)]]/RD[[#This Row],[E_DC (WPR)]],"")</f>
        <v/>
      </c>
    </row>
    <row r="96" spans="1:71">
      <c r="A96" s="147">
        <f t="shared" si="71"/>
        <v>45930</v>
      </c>
      <c r="B96" s="150">
        <f>YEAR(RD[[#This Row],[Date]])+IF(MONTH(RD[[#This Row],[Date]])&gt;=4,1,0)</f>
        <v>2026</v>
      </c>
      <c r="C96" s="150">
        <f>YEAR(RD[[#This Row],[Date]])</f>
        <v>2025</v>
      </c>
      <c r="D96" s="151">
        <f t="shared" si="70"/>
        <v>45901</v>
      </c>
      <c r="E96" s="150">
        <f>DAY(EOMONTH(RD[[#This Row],[Date]],0))</f>
        <v>30</v>
      </c>
      <c r="F96" s="121"/>
      <c r="G96" s="121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66"/>
      <c r="AF96" s="166"/>
      <c r="AG96" s="166"/>
      <c r="AH96" s="166"/>
      <c r="AI96" s="166"/>
      <c r="AJ96" s="166"/>
      <c r="AK96" s="166"/>
      <c r="AL96" s="166"/>
      <c r="AM96" s="58"/>
      <c r="AN96" s="58"/>
      <c r="AO96" s="58"/>
      <c r="AP96" s="58"/>
      <c r="AQ96" s="58"/>
      <c r="AR96" s="58"/>
      <c r="AS96" s="58"/>
      <c r="AT96" s="58"/>
      <c r="AU96" s="60">
        <f>SUM(RD[[#This Row],[IS2Inv1M1]:[IS4Inv1M3]])</f>
        <v>0</v>
      </c>
      <c r="AV96" s="60">
        <f>SUM(RD[[#This Row],[IS5Inv1M1]:[IS5Inv2M3]])</f>
        <v>0</v>
      </c>
      <c r="AW96" s="60">
        <f>SUM(RD[[#This Row],[O2RE9]:[O2RE192]])</f>
        <v>0</v>
      </c>
      <c r="AX96" s="152"/>
      <c r="AY96" s="152"/>
      <c r="AZ96" s="152"/>
      <c r="BA96" s="152"/>
      <c r="BB96" s="152"/>
      <c r="BC96" s="152"/>
      <c r="BD96" s="153" t="str">
        <f>IF((RD[[#This Row],[33 kV_F1_Ex (O2RE9)]]-AX95)*150000&lt;=0,"",(RD[[#This Row],[33 kV_F1_Ex (O2RE9)]]-AX95)*150000)</f>
        <v/>
      </c>
      <c r="BE96" s="153">
        <f>IF((RD[[#This Row],[33kV_OG1_Ex (O2RE9)]]-AY95)*1000&lt;=0,0,(RD[[#This Row],[33kV_OG1_Ex (O2RE9)]]-AY95)*1000)</f>
        <v>0</v>
      </c>
      <c r="BF96" s="153"/>
      <c r="BG96" s="153" t="str">
        <f>IF((RD[[#This Row],[33 kV_F2_Ex (O2RE19)]]-BA95)*150000&lt;=0,"",(RD[[#This Row],[33 kV_F2_Ex (O2RE19)]]-BA95)*150000)</f>
        <v/>
      </c>
      <c r="BH96" s="153">
        <f>IF((RD[[#This Row],[33kV_OG2_Ex (O2RE19)]]-BB95)*1000&lt;=0,0,(RD[[#This Row],[33kV_OG2_Ex (O2RE19)]]-BB95)*1000)</f>
        <v>0</v>
      </c>
      <c r="BI96" s="153">
        <f>IF((RD[[#This Row],[33kV_Aux2_Im (O2RE19)]]-BC95)*1000&lt;0,"",(RD[[#This Row],[33kV_Aux2_Im (O2RE19)]]-BC95)*1000)</f>
        <v>0</v>
      </c>
      <c r="BJ96" s="153">
        <f>IF((RD[[#This Row],[33kV_Aux1_Im (O2RE9)]]-AZ95)*1000&lt;0,"",(RD[[#This Row],[33kV_Aux1_Im (O2RE9)]]-AZ95)*1000)</f>
        <v>0</v>
      </c>
      <c r="BK96" s="153">
        <f>SUM(RD[[#This Row],[33kV_OG1_O2RE9_Energy (KWh)]],RD[[#This Row],[33kV_OG2_O2RE19_Energy (KWh)]])</f>
        <v>0</v>
      </c>
      <c r="BL96" s="62" t="str">
        <f>IFERROR(RD[[#This Row],[33 kV Total Export (KWH)]]/RD[[#This Row],[Inv Total Gneration (MWh)]]-1,"")</f>
        <v/>
      </c>
      <c r="BM96" s="63">
        <f>IFERROR((RD[[#This Row],[Sunset Time (POA&lt;20 W/m2)]]-RD[[#This Row],[Sunrise Time (POA&gt;20 W/m2)]])*24,0)</f>
        <v>0</v>
      </c>
      <c r="BN96" s="64">
        <f>SUM(RD[[#This Row],[33kV_OG1_O2RE9_Energy (KWh)]],RD[[#This Row],[33kV_OG2_O2RE19_Energy (KWh)]])</f>
        <v>0</v>
      </c>
      <c r="BO96" s="64">
        <f>IFERROR(RD[[#This Row],[ Export (33 kV)]]*(1-RD[[#This Row],[33 kV Line Loss (%)]]),RD[[#This Row],[ Export (33 kV)]])</f>
        <v>0</v>
      </c>
      <c r="BP96" s="216"/>
      <c r="BQ96" s="121"/>
      <c r="BR96" s="121"/>
      <c r="BS96" t="str">
        <f>IFERROR(RD[[#This Row],[E_AC (WPR)]]/RD[[#This Row],[E_DC (WPR)]],"")</f>
        <v/>
      </c>
    </row>
    <row r="97" spans="1:71">
      <c r="A97" s="147">
        <f t="shared" si="71"/>
        <v>45931</v>
      </c>
      <c r="B97" s="150">
        <f>YEAR(RD[[#This Row],[Date]])+IF(MONTH(RD[[#This Row],[Date]])&gt;=4,1,0)</f>
        <v>2026</v>
      </c>
      <c r="C97" s="150">
        <f>YEAR(RD[[#This Row],[Date]])</f>
        <v>2025</v>
      </c>
      <c r="D97" s="151">
        <f t="shared" si="70"/>
        <v>45931</v>
      </c>
      <c r="E97" s="150">
        <f>DAY(EOMONTH(RD[[#This Row],[Date]],0))</f>
        <v>31</v>
      </c>
      <c r="F97" s="121"/>
      <c r="G97" s="121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66"/>
      <c r="AF97" s="166"/>
      <c r="AG97" s="166"/>
      <c r="AH97" s="166"/>
      <c r="AI97" s="166"/>
      <c r="AJ97" s="166"/>
      <c r="AK97" s="166"/>
      <c r="AL97" s="166"/>
      <c r="AM97" s="58"/>
      <c r="AN97" s="58"/>
      <c r="AO97" s="58"/>
      <c r="AP97" s="58"/>
      <c r="AQ97" s="58"/>
      <c r="AR97" s="58"/>
      <c r="AS97" s="58"/>
      <c r="AT97" s="58"/>
      <c r="AU97" s="60">
        <f>SUM(RD[[#This Row],[IS2Inv1M1]:[IS4Inv1M3]])</f>
        <v>0</v>
      </c>
      <c r="AV97" s="60">
        <f>SUM(RD[[#This Row],[IS5Inv1M1]:[IS5Inv2M3]])</f>
        <v>0</v>
      </c>
      <c r="AW97" s="60">
        <f>SUM(RD[[#This Row],[O2RE9]:[O2RE192]])</f>
        <v>0</v>
      </c>
      <c r="AX97" s="152"/>
      <c r="AY97" s="152"/>
      <c r="AZ97" s="152"/>
      <c r="BA97" s="152"/>
      <c r="BB97" s="152"/>
      <c r="BC97" s="152"/>
      <c r="BD97" s="153" t="str">
        <f>IF((RD[[#This Row],[33 kV_F1_Ex (O2RE9)]]-AX96)*150000&lt;=0,"",(RD[[#This Row],[33 kV_F1_Ex (O2RE9)]]-AX96)*150000)</f>
        <v/>
      </c>
      <c r="BE97" s="153">
        <f>IF((RD[[#This Row],[33kV_OG1_Ex (O2RE9)]]-AY96)*1000&lt;=0,0,(RD[[#This Row],[33kV_OG1_Ex (O2RE9)]]-AY96)*1000)</f>
        <v>0</v>
      </c>
      <c r="BF97" s="153"/>
      <c r="BG97" s="153" t="str">
        <f>IF((RD[[#This Row],[33 kV_F2_Ex (O2RE19)]]-BA96)*150000&lt;=0,"",(RD[[#This Row],[33 kV_F2_Ex (O2RE19)]]-BA96)*150000)</f>
        <v/>
      </c>
      <c r="BH97" s="153">
        <f>IF((RD[[#This Row],[33kV_OG2_Ex (O2RE19)]]-BB96)*1000&lt;=0,0,(RD[[#This Row],[33kV_OG2_Ex (O2RE19)]]-BB96)*1000)</f>
        <v>0</v>
      </c>
      <c r="BI97" s="153">
        <f>IF((RD[[#This Row],[33kV_Aux2_Im (O2RE19)]]-BC96)*1000&lt;0,"",(RD[[#This Row],[33kV_Aux2_Im (O2RE19)]]-BC96)*1000)</f>
        <v>0</v>
      </c>
      <c r="BJ97" s="153">
        <f>IF((RD[[#This Row],[33kV_Aux1_Im (O2RE9)]]-AZ96)*1000&lt;0,"",(RD[[#This Row],[33kV_Aux1_Im (O2RE9)]]-AZ96)*1000)</f>
        <v>0</v>
      </c>
      <c r="BK97" s="153">
        <f>SUM(RD[[#This Row],[33kV_OG1_O2RE9_Energy (KWh)]],RD[[#This Row],[33kV_OG2_O2RE19_Energy (KWh)]])</f>
        <v>0</v>
      </c>
      <c r="BL97" s="62" t="str">
        <f>IFERROR(RD[[#This Row],[33 kV Total Export (KWH)]]/RD[[#This Row],[Inv Total Gneration (MWh)]]-1,"")</f>
        <v/>
      </c>
      <c r="BM97" s="63">
        <f>IFERROR((RD[[#This Row],[Sunset Time (POA&lt;20 W/m2)]]-RD[[#This Row],[Sunrise Time (POA&gt;20 W/m2)]])*24,0)</f>
        <v>0</v>
      </c>
      <c r="BN97" s="64">
        <f>SUM(RD[[#This Row],[33kV_OG1_O2RE9_Energy (KWh)]],RD[[#This Row],[33kV_OG2_O2RE19_Energy (KWh)]])</f>
        <v>0</v>
      </c>
      <c r="BO97" s="64">
        <f>IFERROR(RD[[#This Row],[ Export (33 kV)]]*(1-RD[[#This Row],[33 kV Line Loss (%)]]),RD[[#This Row],[ Export (33 kV)]])</f>
        <v>0</v>
      </c>
      <c r="BP97" s="216"/>
      <c r="BQ97" s="121"/>
      <c r="BR97" s="121"/>
      <c r="BS97" t="str">
        <f>IFERROR(RD[[#This Row],[E_AC (WPR)]]/RD[[#This Row],[E_DC (WPR)]],"")</f>
        <v/>
      </c>
    </row>
    <row r="98" spans="1:71">
      <c r="A98" s="147">
        <f t="shared" si="71"/>
        <v>45932</v>
      </c>
      <c r="B98" s="150">
        <f>YEAR(RD[[#This Row],[Date]])+IF(MONTH(RD[[#This Row],[Date]])&gt;=4,1,0)</f>
        <v>2026</v>
      </c>
      <c r="C98" s="150">
        <f>YEAR(RD[[#This Row],[Date]])</f>
        <v>2025</v>
      </c>
      <c r="D98" s="151">
        <f t="shared" si="70"/>
        <v>45931</v>
      </c>
      <c r="E98" s="150">
        <f>DAY(EOMONTH(RD[[#This Row],[Date]],0))</f>
        <v>31</v>
      </c>
      <c r="F98" s="121"/>
      <c r="G98" s="121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66"/>
      <c r="AF98" s="166"/>
      <c r="AG98" s="166"/>
      <c r="AH98" s="166"/>
      <c r="AI98" s="166"/>
      <c r="AJ98" s="166"/>
      <c r="AK98" s="166"/>
      <c r="AL98" s="166"/>
      <c r="AM98" s="58"/>
      <c r="AN98" s="58"/>
      <c r="AO98" s="58"/>
      <c r="AP98" s="58"/>
      <c r="AQ98" s="58"/>
      <c r="AR98" s="58"/>
      <c r="AS98" s="58"/>
      <c r="AT98" s="58"/>
      <c r="AU98" s="60">
        <f>SUM(RD[[#This Row],[IS2Inv1M1]:[IS4Inv1M3]])</f>
        <v>0</v>
      </c>
      <c r="AV98" s="60">
        <f>SUM(RD[[#This Row],[IS5Inv1M1]:[IS5Inv2M3]])</f>
        <v>0</v>
      </c>
      <c r="AW98" s="60">
        <f>SUM(RD[[#This Row],[O2RE9]:[O2RE192]])</f>
        <v>0</v>
      </c>
      <c r="AX98" s="152"/>
      <c r="AY98" s="152"/>
      <c r="AZ98" s="152"/>
      <c r="BA98" s="152"/>
      <c r="BB98" s="152"/>
      <c r="BC98" s="152"/>
      <c r="BD98" s="153" t="str">
        <f>IF((RD[[#This Row],[33 kV_F1_Ex (O2RE9)]]-AX97)*150000&lt;=0,"",(RD[[#This Row],[33 kV_F1_Ex (O2RE9)]]-AX97)*150000)</f>
        <v/>
      </c>
      <c r="BE98" s="153">
        <f>IF((RD[[#This Row],[33kV_OG1_Ex (O2RE9)]]-AY97)*1000&lt;=0,0,(RD[[#This Row],[33kV_OG1_Ex (O2RE9)]]-AY97)*1000)</f>
        <v>0</v>
      </c>
      <c r="BF98" s="153"/>
      <c r="BG98" s="153" t="str">
        <f>IF((RD[[#This Row],[33 kV_F2_Ex (O2RE19)]]-BA97)*150000&lt;=0,"",(RD[[#This Row],[33 kV_F2_Ex (O2RE19)]]-BA97)*150000)</f>
        <v/>
      </c>
      <c r="BH98" s="153">
        <f>IF((RD[[#This Row],[33kV_OG2_Ex (O2RE19)]]-BB97)*1000&lt;=0,0,(RD[[#This Row],[33kV_OG2_Ex (O2RE19)]]-BB97)*1000)</f>
        <v>0</v>
      </c>
      <c r="BI98" s="153">
        <f>IF((RD[[#This Row],[33kV_Aux2_Im (O2RE19)]]-BC97)*1000&lt;0,"",(RD[[#This Row],[33kV_Aux2_Im (O2RE19)]]-BC97)*1000)</f>
        <v>0</v>
      </c>
      <c r="BJ98" s="153">
        <f>IF((RD[[#This Row],[33kV_Aux1_Im (O2RE9)]]-AZ97)*1000&lt;0,"",(RD[[#This Row],[33kV_Aux1_Im (O2RE9)]]-AZ97)*1000)</f>
        <v>0</v>
      </c>
      <c r="BK98" s="153">
        <f>SUM(RD[[#This Row],[33kV_OG1_O2RE9_Energy (KWh)]],RD[[#This Row],[33kV_OG2_O2RE19_Energy (KWh)]])</f>
        <v>0</v>
      </c>
      <c r="BL98" s="62" t="str">
        <f>IFERROR(RD[[#This Row],[33 kV Total Export (KWH)]]/RD[[#This Row],[Inv Total Gneration (MWh)]]-1,"")</f>
        <v/>
      </c>
      <c r="BM98" s="63">
        <f>IFERROR((RD[[#This Row],[Sunset Time (POA&lt;20 W/m2)]]-RD[[#This Row],[Sunrise Time (POA&gt;20 W/m2)]])*24,0)</f>
        <v>0</v>
      </c>
      <c r="BN98" s="64">
        <f>SUM(RD[[#This Row],[33kV_OG1_O2RE9_Energy (KWh)]],RD[[#This Row],[33kV_OG2_O2RE19_Energy (KWh)]])</f>
        <v>0</v>
      </c>
      <c r="BO98" s="64">
        <f>IFERROR(RD[[#This Row],[ Export (33 kV)]]*(1-RD[[#This Row],[33 kV Line Loss (%)]]),RD[[#This Row],[ Export (33 kV)]])</f>
        <v>0</v>
      </c>
      <c r="BP98" s="216"/>
      <c r="BQ98" s="121"/>
      <c r="BR98" s="121"/>
      <c r="BS98" t="str">
        <f>IFERROR(RD[[#This Row],[E_AC (WPR)]]/RD[[#This Row],[E_DC (WPR)]],"")</f>
        <v/>
      </c>
    </row>
    <row r="99" spans="1:71">
      <c r="A99" s="147">
        <f t="shared" si="71"/>
        <v>45933</v>
      </c>
      <c r="B99" s="150">
        <f>YEAR(RD[[#This Row],[Date]])+IF(MONTH(RD[[#This Row],[Date]])&gt;=4,1,0)</f>
        <v>2026</v>
      </c>
      <c r="C99" s="150">
        <f>YEAR(RD[[#This Row],[Date]])</f>
        <v>2025</v>
      </c>
      <c r="D99" s="151">
        <f t="shared" si="70"/>
        <v>45931</v>
      </c>
      <c r="E99" s="150">
        <f>DAY(EOMONTH(RD[[#This Row],[Date]],0))</f>
        <v>31</v>
      </c>
      <c r="F99" s="121"/>
      <c r="G99" s="121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66"/>
      <c r="AF99" s="166"/>
      <c r="AG99" s="166"/>
      <c r="AH99" s="166"/>
      <c r="AI99" s="166"/>
      <c r="AJ99" s="166"/>
      <c r="AK99" s="166"/>
      <c r="AL99" s="166"/>
      <c r="AM99" s="58"/>
      <c r="AN99" s="58"/>
      <c r="AO99" s="58"/>
      <c r="AP99" s="58"/>
      <c r="AQ99" s="58"/>
      <c r="AR99" s="58"/>
      <c r="AS99" s="58"/>
      <c r="AT99" s="58"/>
      <c r="AU99" s="60">
        <f>SUM(RD[[#This Row],[IS2Inv1M1]:[IS4Inv1M3]])</f>
        <v>0</v>
      </c>
      <c r="AV99" s="60">
        <f>SUM(RD[[#This Row],[IS5Inv1M1]:[IS5Inv2M3]])</f>
        <v>0</v>
      </c>
      <c r="AW99" s="60">
        <f>SUM(RD[[#This Row],[O2RE9]:[O2RE192]])</f>
        <v>0</v>
      </c>
      <c r="AX99" s="152"/>
      <c r="AY99" s="152"/>
      <c r="AZ99" s="152"/>
      <c r="BA99" s="152"/>
      <c r="BB99" s="152"/>
      <c r="BC99" s="152"/>
      <c r="BD99" s="153" t="str">
        <f>IF((RD[[#This Row],[33 kV_F1_Ex (O2RE9)]]-AX98)*150000&lt;=0,"",(RD[[#This Row],[33 kV_F1_Ex (O2RE9)]]-AX98)*150000)</f>
        <v/>
      </c>
      <c r="BE99" s="153">
        <f>IF((RD[[#This Row],[33kV_OG1_Ex (O2RE9)]]-AY98)*1000&lt;=0,0,(RD[[#This Row],[33kV_OG1_Ex (O2RE9)]]-AY98)*1000)</f>
        <v>0</v>
      </c>
      <c r="BF99" s="153"/>
      <c r="BG99" s="153" t="str">
        <f>IF((RD[[#This Row],[33 kV_F2_Ex (O2RE19)]]-BA98)*150000&lt;=0,"",(RD[[#This Row],[33 kV_F2_Ex (O2RE19)]]-BA98)*150000)</f>
        <v/>
      </c>
      <c r="BH99" s="153">
        <f>IF((RD[[#This Row],[33kV_OG2_Ex (O2RE19)]]-BB98)*1000&lt;=0,0,(RD[[#This Row],[33kV_OG2_Ex (O2RE19)]]-BB98)*1000)</f>
        <v>0</v>
      </c>
      <c r="BI99" s="153">
        <f>IF((RD[[#This Row],[33kV_Aux2_Im (O2RE19)]]-BC98)*1000&lt;0,"",(RD[[#This Row],[33kV_Aux2_Im (O2RE19)]]-BC98)*1000)</f>
        <v>0</v>
      </c>
      <c r="BJ99" s="153">
        <f>IF((RD[[#This Row],[33kV_Aux1_Im (O2RE9)]]-AZ98)*1000&lt;0,"",(RD[[#This Row],[33kV_Aux1_Im (O2RE9)]]-AZ98)*1000)</f>
        <v>0</v>
      </c>
      <c r="BK99" s="153">
        <f>SUM(RD[[#This Row],[33kV_OG1_O2RE9_Energy (KWh)]],RD[[#This Row],[33kV_OG2_O2RE19_Energy (KWh)]])</f>
        <v>0</v>
      </c>
      <c r="BL99" s="62" t="str">
        <f>IFERROR(RD[[#This Row],[33 kV Total Export (KWH)]]/RD[[#This Row],[Inv Total Gneration (MWh)]]-1,"")</f>
        <v/>
      </c>
      <c r="BM99" s="63">
        <f>IFERROR((RD[[#This Row],[Sunset Time (POA&lt;20 W/m2)]]-RD[[#This Row],[Sunrise Time (POA&gt;20 W/m2)]])*24,0)</f>
        <v>0</v>
      </c>
      <c r="BN99" s="64">
        <f>SUM(RD[[#This Row],[33kV_OG1_O2RE9_Energy (KWh)]],RD[[#This Row],[33kV_OG2_O2RE19_Energy (KWh)]])</f>
        <v>0</v>
      </c>
      <c r="BO99" s="64">
        <f>IFERROR(RD[[#This Row],[ Export (33 kV)]]*(1-RD[[#This Row],[33 kV Line Loss (%)]]),RD[[#This Row],[ Export (33 kV)]])</f>
        <v>0</v>
      </c>
      <c r="BP99" s="216"/>
      <c r="BQ99" s="121"/>
      <c r="BR99" s="121"/>
      <c r="BS99" t="str">
        <f>IFERROR(RD[[#This Row],[E_AC (WPR)]]/RD[[#This Row],[E_DC (WPR)]],"")</f>
        <v/>
      </c>
    </row>
    <row r="100" spans="1:71">
      <c r="A100" s="147">
        <f t="shared" si="71"/>
        <v>45934</v>
      </c>
      <c r="B100" s="150">
        <f>YEAR(RD[[#This Row],[Date]])+IF(MONTH(RD[[#This Row],[Date]])&gt;=4,1,0)</f>
        <v>2026</v>
      </c>
      <c r="C100" s="150">
        <f>YEAR(RD[[#This Row],[Date]])</f>
        <v>2025</v>
      </c>
      <c r="D100" s="151">
        <f t="shared" si="70"/>
        <v>45931</v>
      </c>
      <c r="E100" s="150">
        <f>DAY(EOMONTH(RD[[#This Row],[Date]],0))</f>
        <v>31</v>
      </c>
      <c r="F100" s="121"/>
      <c r="G100" s="121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66"/>
      <c r="AF100" s="166"/>
      <c r="AG100" s="166"/>
      <c r="AH100" s="166"/>
      <c r="AI100" s="166"/>
      <c r="AJ100" s="166"/>
      <c r="AK100" s="166"/>
      <c r="AL100" s="166"/>
      <c r="AM100" s="58"/>
      <c r="AN100" s="58"/>
      <c r="AO100" s="58"/>
      <c r="AP100" s="58"/>
      <c r="AQ100" s="58"/>
      <c r="AR100" s="58"/>
      <c r="AS100" s="58"/>
      <c r="AT100" s="58"/>
      <c r="AU100" s="60">
        <f>SUM(RD[[#This Row],[IS2Inv1M1]:[IS4Inv1M3]])</f>
        <v>0</v>
      </c>
      <c r="AV100" s="60">
        <f>SUM(RD[[#This Row],[IS5Inv1M1]:[IS5Inv2M3]])</f>
        <v>0</v>
      </c>
      <c r="AW100" s="60">
        <f>SUM(RD[[#This Row],[O2RE9]:[O2RE192]])</f>
        <v>0</v>
      </c>
      <c r="AX100" s="152"/>
      <c r="AY100" s="152"/>
      <c r="AZ100" s="152"/>
      <c r="BA100" s="152"/>
      <c r="BB100" s="152"/>
      <c r="BC100" s="152"/>
      <c r="BD100" s="153" t="str">
        <f>IF((RD[[#This Row],[33 kV_F1_Ex (O2RE9)]]-AX99)*150000&lt;=0,"",(RD[[#This Row],[33 kV_F1_Ex (O2RE9)]]-AX99)*150000)</f>
        <v/>
      </c>
      <c r="BE100" s="153">
        <f>IF((RD[[#This Row],[33kV_OG1_Ex (O2RE9)]]-AY99)*1000&lt;=0,0,(RD[[#This Row],[33kV_OG1_Ex (O2RE9)]]-AY99)*1000)</f>
        <v>0</v>
      </c>
      <c r="BF100" s="153"/>
      <c r="BG100" s="153" t="str">
        <f>IF((RD[[#This Row],[33 kV_F2_Ex (O2RE19)]]-BA99)*150000&lt;=0,"",(RD[[#This Row],[33 kV_F2_Ex (O2RE19)]]-BA99)*150000)</f>
        <v/>
      </c>
      <c r="BH100" s="153">
        <f>IF((RD[[#This Row],[33kV_OG2_Ex (O2RE19)]]-BB99)*1000&lt;=0,0,(RD[[#This Row],[33kV_OG2_Ex (O2RE19)]]-BB99)*1000)</f>
        <v>0</v>
      </c>
      <c r="BI100" s="153">
        <f>IF((RD[[#This Row],[33kV_Aux2_Im (O2RE19)]]-BC99)*1000&lt;0,"",(RD[[#This Row],[33kV_Aux2_Im (O2RE19)]]-BC99)*1000)</f>
        <v>0</v>
      </c>
      <c r="BJ100" s="153">
        <f>IF((RD[[#This Row],[33kV_Aux1_Im (O2RE9)]]-AZ99)*1000&lt;0,"",(RD[[#This Row],[33kV_Aux1_Im (O2RE9)]]-AZ99)*1000)</f>
        <v>0</v>
      </c>
      <c r="BK100" s="153">
        <f>SUM(RD[[#This Row],[33kV_OG1_O2RE9_Energy (KWh)]],RD[[#This Row],[33kV_OG2_O2RE19_Energy (KWh)]])</f>
        <v>0</v>
      </c>
      <c r="BL100" s="62" t="str">
        <f>IFERROR(RD[[#This Row],[33 kV Total Export (KWH)]]/RD[[#This Row],[Inv Total Gneration (MWh)]]-1,"")</f>
        <v/>
      </c>
      <c r="BM100" s="63">
        <f>IFERROR((RD[[#This Row],[Sunset Time (POA&lt;20 W/m2)]]-RD[[#This Row],[Sunrise Time (POA&gt;20 W/m2)]])*24,0)</f>
        <v>0</v>
      </c>
      <c r="BN100" s="64">
        <f>SUM(RD[[#This Row],[33kV_OG1_O2RE9_Energy (KWh)]],RD[[#This Row],[33kV_OG2_O2RE19_Energy (KWh)]])</f>
        <v>0</v>
      </c>
      <c r="BO100" s="64">
        <f>IFERROR(RD[[#This Row],[ Export (33 kV)]]*(1-RD[[#This Row],[33 kV Line Loss (%)]]),RD[[#This Row],[ Export (33 kV)]])</f>
        <v>0</v>
      </c>
      <c r="BP100" s="216"/>
      <c r="BQ100" s="121"/>
      <c r="BR100" s="121"/>
      <c r="BS100" t="str">
        <f>IFERROR(RD[[#This Row],[E_AC (WPR)]]/RD[[#This Row],[E_DC (WPR)]],"")</f>
        <v/>
      </c>
    </row>
    <row r="101" spans="1:71">
      <c r="A101" s="147">
        <f t="shared" si="71"/>
        <v>45935</v>
      </c>
      <c r="B101" s="150">
        <f>YEAR(RD[[#This Row],[Date]])+IF(MONTH(RD[[#This Row],[Date]])&gt;=4,1,0)</f>
        <v>2026</v>
      </c>
      <c r="C101" s="150">
        <f>YEAR(RD[[#This Row],[Date]])</f>
        <v>2025</v>
      </c>
      <c r="D101" s="151">
        <f t="shared" si="70"/>
        <v>45931</v>
      </c>
      <c r="E101" s="150">
        <f>DAY(EOMONTH(RD[[#This Row],[Date]],0))</f>
        <v>31</v>
      </c>
      <c r="F101" s="121"/>
      <c r="G101" s="121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66"/>
      <c r="AF101" s="166"/>
      <c r="AG101" s="166"/>
      <c r="AH101" s="166"/>
      <c r="AI101" s="166"/>
      <c r="AJ101" s="166"/>
      <c r="AK101" s="166"/>
      <c r="AL101" s="166"/>
      <c r="AM101" s="58"/>
      <c r="AN101" s="58"/>
      <c r="AO101" s="58"/>
      <c r="AP101" s="58"/>
      <c r="AQ101" s="58"/>
      <c r="AR101" s="58"/>
      <c r="AS101" s="58"/>
      <c r="AT101" s="58"/>
      <c r="AU101" s="60">
        <f>SUM(RD[[#This Row],[IS2Inv1M1]:[IS4Inv1M3]])</f>
        <v>0</v>
      </c>
      <c r="AV101" s="60">
        <f>SUM(RD[[#This Row],[IS5Inv1M1]:[IS5Inv2M3]])</f>
        <v>0</v>
      </c>
      <c r="AW101" s="60">
        <f>SUM(RD[[#This Row],[O2RE9]:[O2RE192]])</f>
        <v>0</v>
      </c>
      <c r="AX101" s="152"/>
      <c r="AY101" s="152"/>
      <c r="AZ101" s="152"/>
      <c r="BA101" s="152"/>
      <c r="BB101" s="152"/>
      <c r="BC101" s="152"/>
      <c r="BD101" s="153" t="str">
        <f>IF((RD[[#This Row],[33 kV_F1_Ex (O2RE9)]]-AX100)*150000&lt;=0,"",(RD[[#This Row],[33 kV_F1_Ex (O2RE9)]]-AX100)*150000)</f>
        <v/>
      </c>
      <c r="BE101" s="153">
        <f>IF((RD[[#This Row],[33kV_OG1_Ex (O2RE9)]]-AY100)*1000&lt;=0,0,(RD[[#This Row],[33kV_OG1_Ex (O2RE9)]]-AY100)*1000)</f>
        <v>0</v>
      </c>
      <c r="BF101" s="153"/>
      <c r="BG101" s="153" t="str">
        <f>IF((RD[[#This Row],[33 kV_F2_Ex (O2RE19)]]-BA100)*150000&lt;=0,"",(RD[[#This Row],[33 kV_F2_Ex (O2RE19)]]-BA100)*150000)</f>
        <v/>
      </c>
      <c r="BH101" s="153">
        <f>IF((RD[[#This Row],[33kV_OG2_Ex (O2RE19)]]-BB100)*1000&lt;=0,0,(RD[[#This Row],[33kV_OG2_Ex (O2RE19)]]-BB100)*1000)</f>
        <v>0</v>
      </c>
      <c r="BI101" s="153">
        <f>IF((RD[[#This Row],[33kV_Aux2_Im (O2RE19)]]-BC100)*1000&lt;0,"",(RD[[#This Row],[33kV_Aux2_Im (O2RE19)]]-BC100)*1000)</f>
        <v>0</v>
      </c>
      <c r="BJ101" s="153">
        <f>IF((RD[[#This Row],[33kV_Aux1_Im (O2RE9)]]-AZ100)*1000&lt;0,"",(RD[[#This Row],[33kV_Aux1_Im (O2RE9)]]-AZ100)*1000)</f>
        <v>0</v>
      </c>
      <c r="BK101" s="153">
        <f>SUM(RD[[#This Row],[33kV_OG1_O2RE9_Energy (KWh)]],RD[[#This Row],[33kV_OG2_O2RE19_Energy (KWh)]])</f>
        <v>0</v>
      </c>
      <c r="BL101" s="62" t="str">
        <f>IFERROR(RD[[#This Row],[33 kV Total Export (KWH)]]/RD[[#This Row],[Inv Total Gneration (MWh)]]-1,"")</f>
        <v/>
      </c>
      <c r="BM101" s="63">
        <f>IFERROR((RD[[#This Row],[Sunset Time (POA&lt;20 W/m2)]]-RD[[#This Row],[Sunrise Time (POA&gt;20 W/m2)]])*24,0)</f>
        <v>0</v>
      </c>
      <c r="BN101" s="64">
        <f>SUM(RD[[#This Row],[33kV_OG1_O2RE9_Energy (KWh)]],RD[[#This Row],[33kV_OG2_O2RE19_Energy (KWh)]])</f>
        <v>0</v>
      </c>
      <c r="BO101" s="64">
        <f>IFERROR(RD[[#This Row],[ Export (33 kV)]]*(1-RD[[#This Row],[33 kV Line Loss (%)]]),RD[[#This Row],[ Export (33 kV)]])</f>
        <v>0</v>
      </c>
      <c r="BP101" s="216"/>
      <c r="BQ101" s="121"/>
      <c r="BR101" s="121"/>
      <c r="BS101" t="str">
        <f>IFERROR(RD[[#This Row],[E_AC (WPR)]]/RD[[#This Row],[E_DC (WPR)]],"")</f>
        <v/>
      </c>
    </row>
    <row r="102" spans="1:71">
      <c r="A102" s="147">
        <f t="shared" si="71"/>
        <v>45936</v>
      </c>
      <c r="B102" s="150">
        <f>YEAR(RD[[#This Row],[Date]])+IF(MONTH(RD[[#This Row],[Date]])&gt;=4,1,0)</f>
        <v>2026</v>
      </c>
      <c r="C102" s="150">
        <f>YEAR(RD[[#This Row],[Date]])</f>
        <v>2025</v>
      </c>
      <c r="D102" s="151">
        <f t="shared" si="70"/>
        <v>45931</v>
      </c>
      <c r="E102" s="150">
        <f>DAY(EOMONTH(RD[[#This Row],[Date]],0))</f>
        <v>31</v>
      </c>
      <c r="F102" s="121"/>
      <c r="G102" s="121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66"/>
      <c r="AF102" s="166"/>
      <c r="AG102" s="166"/>
      <c r="AH102" s="166"/>
      <c r="AI102" s="166"/>
      <c r="AJ102" s="166"/>
      <c r="AK102" s="166"/>
      <c r="AL102" s="166"/>
      <c r="AM102" s="58"/>
      <c r="AN102" s="58"/>
      <c r="AO102" s="58"/>
      <c r="AP102" s="58"/>
      <c r="AQ102" s="58"/>
      <c r="AR102" s="58"/>
      <c r="AS102" s="58"/>
      <c r="AT102" s="58"/>
      <c r="AU102" s="60">
        <f>SUM(RD[[#This Row],[IS2Inv1M1]:[IS4Inv1M3]])</f>
        <v>0</v>
      </c>
      <c r="AV102" s="60">
        <f>SUM(RD[[#This Row],[IS5Inv1M1]:[IS5Inv2M3]])</f>
        <v>0</v>
      </c>
      <c r="AW102" s="60">
        <f>SUM(RD[[#This Row],[O2RE9]:[O2RE192]])</f>
        <v>0</v>
      </c>
      <c r="AX102" s="152"/>
      <c r="AY102" s="152"/>
      <c r="AZ102" s="152"/>
      <c r="BA102" s="152"/>
      <c r="BB102" s="152"/>
      <c r="BC102" s="152"/>
      <c r="BD102" s="153" t="str">
        <f>IF((RD[[#This Row],[33 kV_F1_Ex (O2RE9)]]-AX101)*150000&lt;=0,"",(RD[[#This Row],[33 kV_F1_Ex (O2RE9)]]-AX101)*150000)</f>
        <v/>
      </c>
      <c r="BE102" s="153">
        <f>IF((RD[[#This Row],[33kV_OG1_Ex (O2RE9)]]-AY101)*1000&lt;=0,0,(RD[[#This Row],[33kV_OG1_Ex (O2RE9)]]-AY101)*1000)</f>
        <v>0</v>
      </c>
      <c r="BF102" s="153"/>
      <c r="BG102" s="153" t="str">
        <f>IF((RD[[#This Row],[33 kV_F2_Ex (O2RE19)]]-BA101)*150000&lt;=0,"",(RD[[#This Row],[33 kV_F2_Ex (O2RE19)]]-BA101)*150000)</f>
        <v/>
      </c>
      <c r="BH102" s="153">
        <f>IF((RD[[#This Row],[33kV_OG2_Ex (O2RE19)]]-BB101)*1000&lt;=0,0,(RD[[#This Row],[33kV_OG2_Ex (O2RE19)]]-BB101)*1000)</f>
        <v>0</v>
      </c>
      <c r="BI102" s="153">
        <f>IF((RD[[#This Row],[33kV_Aux2_Im (O2RE19)]]-BC101)*1000&lt;0,"",(RD[[#This Row],[33kV_Aux2_Im (O2RE19)]]-BC101)*1000)</f>
        <v>0</v>
      </c>
      <c r="BJ102" s="153">
        <f>IF((RD[[#This Row],[33kV_Aux1_Im (O2RE9)]]-AZ101)*1000&lt;0,"",(RD[[#This Row],[33kV_Aux1_Im (O2RE9)]]-AZ101)*1000)</f>
        <v>0</v>
      </c>
      <c r="BK102" s="153">
        <f>SUM(RD[[#This Row],[33kV_OG1_O2RE9_Energy (KWh)]],RD[[#This Row],[33kV_OG2_O2RE19_Energy (KWh)]])</f>
        <v>0</v>
      </c>
      <c r="BL102" s="62" t="str">
        <f>IFERROR(RD[[#This Row],[33 kV Total Export (KWH)]]/RD[[#This Row],[Inv Total Gneration (MWh)]]-1,"")</f>
        <v/>
      </c>
      <c r="BM102" s="63">
        <f>IFERROR((RD[[#This Row],[Sunset Time (POA&lt;20 W/m2)]]-RD[[#This Row],[Sunrise Time (POA&gt;20 W/m2)]])*24,0)</f>
        <v>0</v>
      </c>
      <c r="BN102" s="64">
        <f>SUM(RD[[#This Row],[33kV_OG1_O2RE9_Energy (KWh)]],RD[[#This Row],[33kV_OG2_O2RE19_Energy (KWh)]])</f>
        <v>0</v>
      </c>
      <c r="BO102" s="64">
        <f>IFERROR(RD[[#This Row],[ Export (33 kV)]]*(1-RD[[#This Row],[33 kV Line Loss (%)]]),RD[[#This Row],[ Export (33 kV)]])</f>
        <v>0</v>
      </c>
      <c r="BP102" s="216"/>
      <c r="BQ102" s="121"/>
      <c r="BR102" s="121"/>
      <c r="BS102" t="str">
        <f>IFERROR(RD[[#This Row],[E_AC (WPR)]]/RD[[#This Row],[E_DC (WPR)]],"")</f>
        <v/>
      </c>
    </row>
    <row r="103" spans="1:71">
      <c r="A103" s="147">
        <f t="shared" si="71"/>
        <v>45937</v>
      </c>
      <c r="B103" s="150">
        <f>YEAR(RD[[#This Row],[Date]])+IF(MONTH(RD[[#This Row],[Date]])&gt;=4,1,0)</f>
        <v>2026</v>
      </c>
      <c r="C103" s="150">
        <f>YEAR(RD[[#This Row],[Date]])</f>
        <v>2025</v>
      </c>
      <c r="D103" s="151">
        <f t="shared" si="70"/>
        <v>45931</v>
      </c>
      <c r="E103" s="150">
        <f>DAY(EOMONTH(RD[[#This Row],[Date]],0))</f>
        <v>31</v>
      </c>
      <c r="F103" s="121"/>
      <c r="G103" s="121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66"/>
      <c r="AF103" s="166"/>
      <c r="AG103" s="166"/>
      <c r="AH103" s="166"/>
      <c r="AI103" s="166"/>
      <c r="AJ103" s="166"/>
      <c r="AK103" s="166"/>
      <c r="AL103" s="166"/>
      <c r="AM103" s="58"/>
      <c r="AN103" s="58"/>
      <c r="AO103" s="58"/>
      <c r="AP103" s="58"/>
      <c r="AQ103" s="58"/>
      <c r="AR103" s="58"/>
      <c r="AS103" s="58"/>
      <c r="AT103" s="58"/>
      <c r="AU103" s="60">
        <f>SUM(RD[[#This Row],[IS2Inv1M1]:[IS4Inv1M3]])</f>
        <v>0</v>
      </c>
      <c r="AV103" s="60">
        <f>SUM(RD[[#This Row],[IS5Inv1M1]:[IS5Inv2M3]])</f>
        <v>0</v>
      </c>
      <c r="AW103" s="60">
        <f>SUM(RD[[#This Row],[O2RE9]:[O2RE192]])</f>
        <v>0</v>
      </c>
      <c r="AX103" s="152"/>
      <c r="AY103" s="152"/>
      <c r="AZ103" s="152"/>
      <c r="BA103" s="152"/>
      <c r="BB103" s="152"/>
      <c r="BC103" s="152"/>
      <c r="BD103" s="153" t="str">
        <f>IF((RD[[#This Row],[33 kV_F1_Ex (O2RE9)]]-AX102)*150000&lt;=0,"",(RD[[#This Row],[33 kV_F1_Ex (O2RE9)]]-AX102)*150000)</f>
        <v/>
      </c>
      <c r="BE103" s="153">
        <f>IF((RD[[#This Row],[33kV_OG1_Ex (O2RE9)]]-AY102)*1000&lt;=0,0,(RD[[#This Row],[33kV_OG1_Ex (O2RE9)]]-AY102)*1000)</f>
        <v>0</v>
      </c>
      <c r="BF103" s="153"/>
      <c r="BG103" s="153" t="str">
        <f>IF((RD[[#This Row],[33 kV_F2_Ex (O2RE19)]]-BA102)*150000&lt;=0,"",(RD[[#This Row],[33 kV_F2_Ex (O2RE19)]]-BA102)*150000)</f>
        <v/>
      </c>
      <c r="BH103" s="153">
        <f>IF((RD[[#This Row],[33kV_OG2_Ex (O2RE19)]]-BB102)*1000&lt;=0,0,(RD[[#This Row],[33kV_OG2_Ex (O2RE19)]]-BB102)*1000)</f>
        <v>0</v>
      </c>
      <c r="BI103" s="153">
        <f>IF((RD[[#This Row],[33kV_Aux2_Im (O2RE19)]]-BC102)*1000&lt;0,"",(RD[[#This Row],[33kV_Aux2_Im (O2RE19)]]-BC102)*1000)</f>
        <v>0</v>
      </c>
      <c r="BJ103" s="153">
        <f>IF((RD[[#This Row],[33kV_Aux1_Im (O2RE9)]]-AZ102)*1000&lt;0,"",(RD[[#This Row],[33kV_Aux1_Im (O2RE9)]]-AZ102)*1000)</f>
        <v>0</v>
      </c>
      <c r="BK103" s="153">
        <f>SUM(RD[[#This Row],[33kV_OG1_O2RE9_Energy (KWh)]],RD[[#This Row],[33kV_OG2_O2RE19_Energy (KWh)]])</f>
        <v>0</v>
      </c>
      <c r="BL103" s="62" t="str">
        <f>IFERROR(RD[[#This Row],[33 kV Total Export (KWH)]]/RD[[#This Row],[Inv Total Gneration (MWh)]]-1,"")</f>
        <v/>
      </c>
      <c r="BM103" s="63">
        <f>IFERROR((RD[[#This Row],[Sunset Time (POA&lt;20 W/m2)]]-RD[[#This Row],[Sunrise Time (POA&gt;20 W/m2)]])*24,0)</f>
        <v>0</v>
      </c>
      <c r="BN103" s="64">
        <f>SUM(RD[[#This Row],[33kV_OG1_O2RE9_Energy (KWh)]],RD[[#This Row],[33kV_OG2_O2RE19_Energy (KWh)]])</f>
        <v>0</v>
      </c>
      <c r="BO103" s="64">
        <f>IFERROR(RD[[#This Row],[ Export (33 kV)]]*(1-RD[[#This Row],[33 kV Line Loss (%)]]),RD[[#This Row],[ Export (33 kV)]])</f>
        <v>0</v>
      </c>
      <c r="BP103" s="216"/>
      <c r="BQ103" s="121"/>
      <c r="BR103" s="121"/>
      <c r="BS103" t="str">
        <f>IFERROR(RD[[#This Row],[E_AC (WPR)]]/RD[[#This Row],[E_DC (WPR)]],"")</f>
        <v/>
      </c>
    </row>
    <row r="104" spans="1:71">
      <c r="A104" s="147">
        <f t="shared" si="71"/>
        <v>45938</v>
      </c>
      <c r="B104" s="150">
        <f>YEAR(RD[[#This Row],[Date]])+IF(MONTH(RD[[#This Row],[Date]])&gt;=4,1,0)</f>
        <v>2026</v>
      </c>
      <c r="C104" s="150">
        <f>YEAR(RD[[#This Row],[Date]])</f>
        <v>2025</v>
      </c>
      <c r="D104" s="151">
        <f t="shared" si="70"/>
        <v>45931</v>
      </c>
      <c r="E104" s="150">
        <f>DAY(EOMONTH(RD[[#This Row],[Date]],0))</f>
        <v>31</v>
      </c>
      <c r="F104" s="121"/>
      <c r="G104" s="121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66"/>
      <c r="AF104" s="166"/>
      <c r="AG104" s="166"/>
      <c r="AH104" s="166"/>
      <c r="AI104" s="166"/>
      <c r="AJ104" s="166"/>
      <c r="AK104" s="166"/>
      <c r="AL104" s="166"/>
      <c r="AM104" s="58"/>
      <c r="AN104" s="58"/>
      <c r="AO104" s="58"/>
      <c r="AP104" s="58"/>
      <c r="AQ104" s="58"/>
      <c r="AR104" s="58"/>
      <c r="AS104" s="58"/>
      <c r="AT104" s="58"/>
      <c r="AU104" s="60">
        <f>SUM(RD[[#This Row],[IS2Inv1M1]:[IS4Inv1M3]])</f>
        <v>0</v>
      </c>
      <c r="AV104" s="60">
        <f>SUM(RD[[#This Row],[IS5Inv1M1]:[IS5Inv2M3]])</f>
        <v>0</v>
      </c>
      <c r="AW104" s="60">
        <f>SUM(RD[[#This Row],[O2RE9]:[O2RE192]])</f>
        <v>0</v>
      </c>
      <c r="AX104" s="152"/>
      <c r="AY104" s="152"/>
      <c r="AZ104" s="152"/>
      <c r="BA104" s="152"/>
      <c r="BB104" s="152"/>
      <c r="BC104" s="152"/>
      <c r="BD104" s="153" t="str">
        <f>IF((RD[[#This Row],[33 kV_F1_Ex (O2RE9)]]-AX103)*150000&lt;=0,"",(RD[[#This Row],[33 kV_F1_Ex (O2RE9)]]-AX103)*150000)</f>
        <v/>
      </c>
      <c r="BE104" s="153">
        <f>IF((RD[[#This Row],[33kV_OG1_Ex (O2RE9)]]-AY103)*1000&lt;=0,0,(RD[[#This Row],[33kV_OG1_Ex (O2RE9)]]-AY103)*1000)</f>
        <v>0</v>
      </c>
      <c r="BF104" s="153"/>
      <c r="BG104" s="153" t="str">
        <f>IF((RD[[#This Row],[33 kV_F2_Ex (O2RE19)]]-BA103)*150000&lt;=0,"",(RD[[#This Row],[33 kV_F2_Ex (O2RE19)]]-BA103)*150000)</f>
        <v/>
      </c>
      <c r="BH104" s="153">
        <f>IF((RD[[#This Row],[33kV_OG2_Ex (O2RE19)]]-BB103)*1000&lt;=0,0,(RD[[#This Row],[33kV_OG2_Ex (O2RE19)]]-BB103)*1000)</f>
        <v>0</v>
      </c>
      <c r="BI104" s="153">
        <f>IF((RD[[#This Row],[33kV_Aux2_Im (O2RE19)]]-BC103)*1000&lt;0,"",(RD[[#This Row],[33kV_Aux2_Im (O2RE19)]]-BC103)*1000)</f>
        <v>0</v>
      </c>
      <c r="BJ104" s="153">
        <f>IF((RD[[#This Row],[33kV_Aux1_Im (O2RE9)]]-AZ103)*1000&lt;0,"",(RD[[#This Row],[33kV_Aux1_Im (O2RE9)]]-AZ103)*1000)</f>
        <v>0</v>
      </c>
      <c r="BK104" s="153">
        <f>SUM(RD[[#This Row],[33kV_OG1_O2RE9_Energy (KWh)]],RD[[#This Row],[33kV_OG2_O2RE19_Energy (KWh)]])</f>
        <v>0</v>
      </c>
      <c r="BL104" s="62" t="str">
        <f>IFERROR(RD[[#This Row],[33 kV Total Export (KWH)]]/RD[[#This Row],[Inv Total Gneration (MWh)]]-1,"")</f>
        <v/>
      </c>
      <c r="BM104" s="63">
        <f>IFERROR((RD[[#This Row],[Sunset Time (POA&lt;20 W/m2)]]-RD[[#This Row],[Sunrise Time (POA&gt;20 W/m2)]])*24,0)</f>
        <v>0</v>
      </c>
      <c r="BN104" s="64">
        <f>SUM(RD[[#This Row],[33kV_OG1_O2RE9_Energy (KWh)]],RD[[#This Row],[33kV_OG2_O2RE19_Energy (KWh)]])</f>
        <v>0</v>
      </c>
      <c r="BO104" s="64">
        <f>IFERROR(RD[[#This Row],[ Export (33 kV)]]*(1-RD[[#This Row],[33 kV Line Loss (%)]]),RD[[#This Row],[ Export (33 kV)]])</f>
        <v>0</v>
      </c>
      <c r="BP104" s="216"/>
      <c r="BQ104" s="121"/>
      <c r="BR104" s="121"/>
      <c r="BS104" t="str">
        <f>IFERROR(RD[[#This Row],[E_AC (WPR)]]/RD[[#This Row],[E_DC (WPR)]],"")</f>
        <v/>
      </c>
    </row>
    <row r="105" spans="1:71">
      <c r="A105" s="147">
        <f t="shared" si="71"/>
        <v>45939</v>
      </c>
      <c r="B105" s="150">
        <f>YEAR(RD[[#This Row],[Date]])+IF(MONTH(RD[[#This Row],[Date]])&gt;=4,1,0)</f>
        <v>2026</v>
      </c>
      <c r="C105" s="150">
        <f>YEAR(RD[[#This Row],[Date]])</f>
        <v>2025</v>
      </c>
      <c r="D105" s="151">
        <f t="shared" si="70"/>
        <v>45931</v>
      </c>
      <c r="E105" s="150">
        <f>DAY(EOMONTH(RD[[#This Row],[Date]],0))</f>
        <v>31</v>
      </c>
      <c r="F105" s="121"/>
      <c r="G105" s="121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66"/>
      <c r="AF105" s="166"/>
      <c r="AG105" s="166"/>
      <c r="AH105" s="166"/>
      <c r="AI105" s="166"/>
      <c r="AJ105" s="166"/>
      <c r="AK105" s="166"/>
      <c r="AL105" s="166"/>
      <c r="AM105" s="58"/>
      <c r="AN105" s="58"/>
      <c r="AO105" s="58"/>
      <c r="AP105" s="58"/>
      <c r="AQ105" s="58"/>
      <c r="AR105" s="58"/>
      <c r="AS105" s="58"/>
      <c r="AT105" s="58"/>
      <c r="AU105" s="60">
        <f>SUM(RD[[#This Row],[IS2Inv1M1]:[IS4Inv1M3]])</f>
        <v>0</v>
      </c>
      <c r="AV105" s="60">
        <f>SUM(RD[[#This Row],[IS5Inv1M1]:[IS5Inv2M3]])</f>
        <v>0</v>
      </c>
      <c r="AW105" s="60">
        <f>SUM(RD[[#This Row],[O2RE9]:[O2RE192]])</f>
        <v>0</v>
      </c>
      <c r="AX105" s="152"/>
      <c r="AY105" s="152"/>
      <c r="AZ105" s="152"/>
      <c r="BA105" s="152"/>
      <c r="BB105" s="152"/>
      <c r="BC105" s="152"/>
      <c r="BD105" s="153"/>
      <c r="BE105" s="153">
        <f>IF((RD[[#This Row],[33kV_OG1_Ex (O2RE9)]]-AY104)*1000&lt;=0,0,(RD[[#This Row],[33kV_OG1_Ex (O2RE9)]]-AY104)*1000)</f>
        <v>0</v>
      </c>
      <c r="BF105" s="153"/>
      <c r="BG105" s="153" t="str">
        <f>IF((RD[[#This Row],[33 kV_F2_Ex (O2RE19)]]-BA104)*150000&lt;=0,"",(RD[[#This Row],[33 kV_F2_Ex (O2RE19)]]-BA104)*150000)</f>
        <v/>
      </c>
      <c r="BH105" s="153">
        <f>IF((RD[[#This Row],[33kV_OG2_Ex (O2RE19)]]-BB104)*1000&lt;=0,0,(RD[[#This Row],[33kV_OG2_Ex (O2RE19)]]-BB104)*1000)</f>
        <v>0</v>
      </c>
      <c r="BI105" s="153">
        <f>IF((RD[[#This Row],[33kV_Aux2_Im (O2RE19)]]-BC104)*1000&lt;0,"",(RD[[#This Row],[33kV_Aux2_Im (O2RE19)]]-BC104)*1000)</f>
        <v>0</v>
      </c>
      <c r="BJ105" s="153">
        <f>IF((RD[[#This Row],[33kV_Aux1_Im (O2RE9)]]-AZ104)*1000&lt;0,"",(RD[[#This Row],[33kV_Aux1_Im (O2RE9)]]-AZ104)*1000)</f>
        <v>0</v>
      </c>
      <c r="BK105" s="153">
        <f>SUM(RD[[#This Row],[33kV_OG1_O2RE9_Energy (KWh)]],RD[[#This Row],[33kV_OG2_O2RE19_Energy (KWh)]])</f>
        <v>0</v>
      </c>
      <c r="BL105" s="62" t="str">
        <f>IFERROR(RD[[#This Row],[33 kV Total Export (KWH)]]/RD[[#This Row],[Inv Total Gneration (MWh)]]-1,"")</f>
        <v/>
      </c>
      <c r="BM105" s="63">
        <f>IFERROR((RD[[#This Row],[Sunset Time (POA&lt;20 W/m2)]]-RD[[#This Row],[Sunrise Time (POA&gt;20 W/m2)]])*24,0)</f>
        <v>0</v>
      </c>
      <c r="BN105" s="64">
        <f>SUM(RD[[#This Row],[33kV_OG1_O2RE9_Energy (KWh)]],RD[[#This Row],[33kV_OG2_O2RE19_Energy (KWh)]])</f>
        <v>0</v>
      </c>
      <c r="BO105" s="64">
        <f>IFERROR(RD[[#This Row],[ Export (33 kV)]]*(1-RD[[#This Row],[33 kV Line Loss (%)]]),RD[[#This Row],[ Export (33 kV)]])</f>
        <v>0</v>
      </c>
      <c r="BP105" s="216"/>
      <c r="BQ105" s="121"/>
      <c r="BR105" s="121"/>
      <c r="BS105" t="str">
        <f>IFERROR(RD[[#This Row],[E_AC (WPR)]]/RD[[#This Row],[E_DC (WPR)]],"")</f>
        <v/>
      </c>
    </row>
    <row r="106" spans="1:71">
      <c r="A106" s="147">
        <f t="shared" si="71"/>
        <v>45940</v>
      </c>
      <c r="B106" s="150">
        <f>YEAR(RD[[#This Row],[Date]])+IF(MONTH(RD[[#This Row],[Date]])&gt;=4,1,0)</f>
        <v>2026</v>
      </c>
      <c r="C106" s="150">
        <f>YEAR(RD[[#This Row],[Date]])</f>
        <v>2025</v>
      </c>
      <c r="D106" s="151">
        <f t="shared" si="70"/>
        <v>45931</v>
      </c>
      <c r="E106" s="150">
        <f>DAY(EOMONTH(RD[[#This Row],[Date]],0))</f>
        <v>31</v>
      </c>
      <c r="F106" s="121"/>
      <c r="G106" s="121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66"/>
      <c r="AF106" s="166"/>
      <c r="AG106" s="166"/>
      <c r="AH106" s="166"/>
      <c r="AI106" s="166"/>
      <c r="AJ106" s="166"/>
      <c r="AK106" s="166"/>
      <c r="AL106" s="166"/>
      <c r="AM106" s="58"/>
      <c r="AN106" s="58"/>
      <c r="AO106" s="58"/>
      <c r="AP106" s="58"/>
      <c r="AQ106" s="58"/>
      <c r="AR106" s="58"/>
      <c r="AS106" s="58"/>
      <c r="AT106" s="58"/>
      <c r="AU106" s="60">
        <f>SUM(RD[[#This Row],[IS2Inv1M1]:[IS4Inv1M3]])</f>
        <v>0</v>
      </c>
      <c r="AV106" s="60">
        <f>SUM(RD[[#This Row],[IS5Inv1M1]:[IS5Inv2M3]])</f>
        <v>0</v>
      </c>
      <c r="AW106" s="60">
        <f>SUM(RD[[#This Row],[O2RE9]:[O2RE192]])</f>
        <v>0</v>
      </c>
      <c r="AX106" s="152"/>
      <c r="AY106" s="152"/>
      <c r="AZ106" s="152"/>
      <c r="BA106" s="152"/>
      <c r="BB106" s="152"/>
      <c r="BC106" s="152"/>
      <c r="BD106" s="153" t="str">
        <f>IF((RD[[#This Row],[33 kV_F1_Ex (O2RE9)]]-AX105)*150000&lt;=0,"",(RD[[#This Row],[33 kV_F1_Ex (O2RE9)]]-AX105)*150000)</f>
        <v/>
      </c>
      <c r="BE106" s="153">
        <f>IF((RD[[#This Row],[33kV_OG1_Ex (O2RE9)]]-AY105)*1000&lt;=0,0,(RD[[#This Row],[33kV_OG1_Ex (O2RE9)]]-AY105)*1000)</f>
        <v>0</v>
      </c>
      <c r="BF106" s="153"/>
      <c r="BG106" s="153" t="str">
        <f>IF((RD[[#This Row],[33 kV_F2_Ex (O2RE19)]]-BA105)*150000&lt;=0,"",(RD[[#This Row],[33 kV_F2_Ex (O2RE19)]]-BA105)*150000)</f>
        <v/>
      </c>
      <c r="BH106" s="153">
        <f>IF((RD[[#This Row],[33kV_OG2_Ex (O2RE19)]]-BB105)*1000&lt;=0,0,(RD[[#This Row],[33kV_OG2_Ex (O2RE19)]]-BB105)*1000)</f>
        <v>0</v>
      </c>
      <c r="BI106" s="153">
        <f>IF((RD[[#This Row],[33kV_Aux2_Im (O2RE19)]]-BC105)*1000&lt;0,"",(RD[[#This Row],[33kV_Aux2_Im (O2RE19)]]-BC105)*1000)</f>
        <v>0</v>
      </c>
      <c r="BJ106" s="153">
        <f>IF((RD[[#This Row],[33kV_Aux1_Im (O2RE9)]]-AZ105)*1000&lt;0,"",(RD[[#This Row],[33kV_Aux1_Im (O2RE9)]]-AZ105)*1000)</f>
        <v>0</v>
      </c>
      <c r="BK106" s="153">
        <f>SUM(RD[[#This Row],[33kV_OG1_O2RE9_Energy (KWh)]],RD[[#This Row],[33kV_OG2_O2RE19_Energy (KWh)]])</f>
        <v>0</v>
      </c>
      <c r="BL106" s="62" t="str">
        <f>IFERROR(RD[[#This Row],[33 kV Total Export (KWH)]]/RD[[#This Row],[Inv Total Gneration (MWh)]]-1,"")</f>
        <v/>
      </c>
      <c r="BM106" s="63">
        <f>IFERROR((RD[[#This Row],[Sunset Time (POA&lt;20 W/m2)]]-RD[[#This Row],[Sunrise Time (POA&gt;20 W/m2)]])*24,0)</f>
        <v>0</v>
      </c>
      <c r="BN106" s="64">
        <f>SUM(RD[[#This Row],[33kV_OG1_O2RE9_Energy (KWh)]],RD[[#This Row],[33kV_OG2_O2RE19_Energy (KWh)]])</f>
        <v>0</v>
      </c>
      <c r="BO106" s="64">
        <f>IFERROR(RD[[#This Row],[ Export (33 kV)]]*(1-RD[[#This Row],[33 kV Line Loss (%)]]),RD[[#This Row],[ Export (33 kV)]])</f>
        <v>0</v>
      </c>
      <c r="BP106" s="216"/>
      <c r="BQ106" s="121"/>
      <c r="BR106" s="121"/>
      <c r="BS106" t="str">
        <f>IFERROR(RD[[#This Row],[E_AC (WPR)]]/RD[[#This Row],[E_DC (WPR)]],"")</f>
        <v/>
      </c>
    </row>
    <row r="107" spans="1:71">
      <c r="A107" s="147">
        <f t="shared" si="71"/>
        <v>45941</v>
      </c>
      <c r="B107" s="150">
        <f>YEAR(RD[[#This Row],[Date]])+IF(MONTH(RD[[#This Row],[Date]])&gt;=4,1,0)</f>
        <v>2026</v>
      </c>
      <c r="C107" s="150">
        <f>YEAR(RD[[#This Row],[Date]])</f>
        <v>2025</v>
      </c>
      <c r="D107" s="151">
        <f t="shared" si="70"/>
        <v>45931</v>
      </c>
      <c r="E107" s="150">
        <f>DAY(EOMONTH(RD[[#This Row],[Date]],0))</f>
        <v>31</v>
      </c>
      <c r="F107" s="121"/>
      <c r="G107" s="121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66"/>
      <c r="AF107" s="166"/>
      <c r="AG107" s="166"/>
      <c r="AH107" s="166"/>
      <c r="AI107" s="166"/>
      <c r="AJ107" s="166"/>
      <c r="AK107" s="166"/>
      <c r="AL107" s="166"/>
      <c r="AM107" s="58"/>
      <c r="AN107" s="58"/>
      <c r="AO107" s="58"/>
      <c r="AP107" s="58"/>
      <c r="AQ107" s="58"/>
      <c r="AR107" s="58"/>
      <c r="AS107" s="58"/>
      <c r="AT107" s="58"/>
      <c r="AU107" s="60">
        <f>SUM(RD[[#This Row],[IS2Inv1M1]:[IS4Inv1M3]])</f>
        <v>0</v>
      </c>
      <c r="AV107" s="60">
        <f>SUM(RD[[#This Row],[IS5Inv1M1]:[IS5Inv2M3]])</f>
        <v>0</v>
      </c>
      <c r="AW107" s="60">
        <f>SUM(RD[[#This Row],[O2RE9]:[O2RE192]])</f>
        <v>0</v>
      </c>
      <c r="AX107" s="152"/>
      <c r="AY107" s="152"/>
      <c r="AZ107" s="152"/>
      <c r="BA107" s="152"/>
      <c r="BB107" s="152"/>
      <c r="BC107" s="152"/>
      <c r="BD107" s="153" t="str">
        <f>IF((RD[[#This Row],[33 kV_F1_Ex (O2RE9)]]-AX106)*150000&lt;=0,"",(RD[[#This Row],[33 kV_F1_Ex (O2RE9)]]-AX106)*150000)</f>
        <v/>
      </c>
      <c r="BE107" s="153">
        <f>IF((RD[[#This Row],[33kV_OG1_Ex (O2RE9)]]-AY106)*1000&lt;=0,0,(RD[[#This Row],[33kV_OG1_Ex (O2RE9)]]-AY106)*1000)</f>
        <v>0</v>
      </c>
      <c r="BF107" s="153"/>
      <c r="BG107" s="153" t="str">
        <f>IF((RD[[#This Row],[33 kV_F2_Ex (O2RE19)]]-BA106)*150000&lt;=0,"",(RD[[#This Row],[33 kV_F2_Ex (O2RE19)]]-BA106)*150000)</f>
        <v/>
      </c>
      <c r="BH107" s="153">
        <f>IF((RD[[#This Row],[33kV_OG2_Ex (O2RE19)]]-BB106)*1000&lt;=0,0,(RD[[#This Row],[33kV_OG2_Ex (O2RE19)]]-BB106)*1000)</f>
        <v>0</v>
      </c>
      <c r="BI107" s="153">
        <f>IF((RD[[#This Row],[33kV_Aux2_Im (O2RE19)]]-BC106)*1000&lt;0,"",(RD[[#This Row],[33kV_Aux2_Im (O2RE19)]]-BC106)*1000)</f>
        <v>0</v>
      </c>
      <c r="BJ107" s="153">
        <f>IF((RD[[#This Row],[33kV_Aux1_Im (O2RE9)]]-AZ106)*1000&lt;0,"",(RD[[#This Row],[33kV_Aux1_Im (O2RE9)]]-AZ106)*1000)</f>
        <v>0</v>
      </c>
      <c r="BK107" s="153">
        <f>SUM(RD[[#This Row],[33kV_OG1_O2RE9_Energy (KWh)]],RD[[#This Row],[33kV_OG2_O2RE19_Energy (KWh)]])</f>
        <v>0</v>
      </c>
      <c r="BL107" s="62" t="str">
        <f>IFERROR(RD[[#This Row],[33 kV Total Export (KWH)]]/RD[[#This Row],[Inv Total Gneration (MWh)]]-1,"")</f>
        <v/>
      </c>
      <c r="BM107" s="63">
        <f>IFERROR((RD[[#This Row],[Sunset Time (POA&lt;20 W/m2)]]-RD[[#This Row],[Sunrise Time (POA&gt;20 W/m2)]])*24,0)</f>
        <v>0</v>
      </c>
      <c r="BN107" s="64">
        <f>SUM(RD[[#This Row],[33kV_OG1_O2RE9_Energy (KWh)]],RD[[#This Row],[33kV_OG2_O2RE19_Energy (KWh)]])</f>
        <v>0</v>
      </c>
      <c r="BO107" s="64">
        <f>IFERROR(RD[[#This Row],[ Export (33 kV)]]*(1-RD[[#This Row],[33 kV Line Loss (%)]]),RD[[#This Row],[ Export (33 kV)]])</f>
        <v>0</v>
      </c>
      <c r="BP107" s="216"/>
      <c r="BQ107" s="121"/>
      <c r="BR107" s="121"/>
      <c r="BS107" t="str">
        <f>IFERROR(RD[[#This Row],[E_AC (WPR)]]/RD[[#This Row],[E_DC (WPR)]],"")</f>
        <v/>
      </c>
    </row>
    <row r="108" spans="1:71">
      <c r="A108" s="147">
        <f t="shared" si="71"/>
        <v>45942</v>
      </c>
      <c r="B108" s="150">
        <f>YEAR(RD[[#This Row],[Date]])+IF(MONTH(RD[[#This Row],[Date]])&gt;=4,1,0)</f>
        <v>2026</v>
      </c>
      <c r="C108" s="150">
        <f>YEAR(RD[[#This Row],[Date]])</f>
        <v>2025</v>
      </c>
      <c r="D108" s="151">
        <f t="shared" si="70"/>
        <v>45931</v>
      </c>
      <c r="E108" s="150">
        <f>DAY(EOMONTH(RD[[#This Row],[Date]],0))</f>
        <v>31</v>
      </c>
      <c r="F108" s="121"/>
      <c r="G108" s="121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66"/>
      <c r="AF108" s="166"/>
      <c r="AG108" s="166"/>
      <c r="AH108" s="166"/>
      <c r="AI108" s="166"/>
      <c r="AJ108" s="166"/>
      <c r="AK108" s="166"/>
      <c r="AL108" s="166"/>
      <c r="AM108" s="58"/>
      <c r="AN108" s="58"/>
      <c r="AO108" s="58"/>
      <c r="AP108" s="58"/>
      <c r="AQ108" s="58"/>
      <c r="AR108" s="58"/>
      <c r="AS108" s="58"/>
      <c r="AT108" s="58"/>
      <c r="AU108" s="60">
        <f>SUM(RD[[#This Row],[IS2Inv1M1]:[IS4Inv1M3]])</f>
        <v>0</v>
      </c>
      <c r="AV108" s="60">
        <f>SUM(RD[[#This Row],[IS5Inv1M1]:[IS5Inv2M3]])</f>
        <v>0</v>
      </c>
      <c r="AW108" s="60">
        <f>SUM(RD[[#This Row],[O2RE9]:[O2RE192]])</f>
        <v>0</v>
      </c>
      <c r="AX108" s="152"/>
      <c r="AY108" s="152"/>
      <c r="AZ108" s="152"/>
      <c r="BA108" s="152"/>
      <c r="BB108" s="152"/>
      <c r="BC108" s="152"/>
      <c r="BD108" s="153" t="str">
        <f>IF((RD[[#This Row],[33 kV_F1_Ex (O2RE9)]]-AX107)*150000&lt;=0,"",(RD[[#This Row],[33 kV_F1_Ex (O2RE9)]]-AX107)*150000)</f>
        <v/>
      </c>
      <c r="BE108" s="153">
        <f>IF((RD[[#This Row],[33kV_OG1_Ex (O2RE9)]]-AY107)*1000&lt;=0,0,(RD[[#This Row],[33kV_OG1_Ex (O2RE9)]]-AY107)*1000)</f>
        <v>0</v>
      </c>
      <c r="BF108" s="153"/>
      <c r="BG108" s="153" t="str">
        <f>IF((RD[[#This Row],[33 kV_F2_Ex (O2RE19)]]-BA107)*150000&lt;=0,"",(RD[[#This Row],[33 kV_F2_Ex (O2RE19)]]-BA107)*150000)</f>
        <v/>
      </c>
      <c r="BH108" s="153">
        <f>IF((RD[[#This Row],[33kV_OG2_Ex (O2RE19)]]-BB107)*1000&lt;=0,0,(RD[[#This Row],[33kV_OG2_Ex (O2RE19)]]-BB107)*1000)</f>
        <v>0</v>
      </c>
      <c r="BI108" s="153">
        <f>IF((RD[[#This Row],[33kV_Aux2_Im (O2RE19)]]-BC107)*1000&lt;0,"",(RD[[#This Row],[33kV_Aux2_Im (O2RE19)]]-BC107)*1000)</f>
        <v>0</v>
      </c>
      <c r="BJ108" s="153">
        <f>IF((RD[[#This Row],[33kV_Aux1_Im (O2RE9)]]-AZ107)*1000&lt;0,"",(RD[[#This Row],[33kV_Aux1_Im (O2RE9)]]-AZ107)*1000)</f>
        <v>0</v>
      </c>
      <c r="BK108" s="153">
        <f>SUM(RD[[#This Row],[33kV_OG1_O2RE9_Energy (KWh)]],RD[[#This Row],[33kV_OG2_O2RE19_Energy (KWh)]])</f>
        <v>0</v>
      </c>
      <c r="BL108" s="62" t="str">
        <f>IFERROR(RD[[#This Row],[33 kV Total Export (KWH)]]/RD[[#This Row],[Inv Total Gneration (MWh)]]-1,"")</f>
        <v/>
      </c>
      <c r="BM108" s="63">
        <f>IFERROR((RD[[#This Row],[Sunset Time (POA&lt;20 W/m2)]]-RD[[#This Row],[Sunrise Time (POA&gt;20 W/m2)]])*24,0)</f>
        <v>0</v>
      </c>
      <c r="BN108" s="64">
        <f>SUM(RD[[#This Row],[33kV_OG1_O2RE9_Energy (KWh)]],RD[[#This Row],[33kV_OG2_O2RE19_Energy (KWh)]])</f>
        <v>0</v>
      </c>
      <c r="BO108" s="64">
        <f>IFERROR(RD[[#This Row],[ Export (33 kV)]]*(1-RD[[#This Row],[33 kV Line Loss (%)]]),RD[[#This Row],[ Export (33 kV)]])</f>
        <v>0</v>
      </c>
      <c r="BP108" s="216"/>
      <c r="BQ108" s="121"/>
      <c r="BR108" s="121"/>
      <c r="BS108" t="str">
        <f>IFERROR(RD[[#This Row],[E_AC (WPR)]]/RD[[#This Row],[E_DC (WPR)]],"")</f>
        <v/>
      </c>
    </row>
    <row r="109" spans="1:71">
      <c r="A109" s="147">
        <f t="shared" si="71"/>
        <v>45943</v>
      </c>
      <c r="B109" s="150">
        <f>YEAR(RD[[#This Row],[Date]])+IF(MONTH(RD[[#This Row],[Date]])&gt;=4,1,0)</f>
        <v>2026</v>
      </c>
      <c r="C109" s="150">
        <f>YEAR(RD[[#This Row],[Date]])</f>
        <v>2025</v>
      </c>
      <c r="D109" s="151">
        <f t="shared" si="70"/>
        <v>45931</v>
      </c>
      <c r="E109" s="150">
        <f>DAY(EOMONTH(RD[[#This Row],[Date]],0))</f>
        <v>31</v>
      </c>
      <c r="F109" s="121"/>
      <c r="G109" s="121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66"/>
      <c r="AF109" s="166"/>
      <c r="AG109" s="166"/>
      <c r="AH109" s="166"/>
      <c r="AI109" s="166"/>
      <c r="AJ109" s="166"/>
      <c r="AK109" s="166"/>
      <c r="AL109" s="166"/>
      <c r="AM109" s="59"/>
      <c r="AN109" s="59"/>
      <c r="AO109" s="59"/>
      <c r="AP109" s="59"/>
      <c r="AQ109" s="59"/>
      <c r="AR109" s="58"/>
      <c r="AS109" s="59"/>
      <c r="AT109" s="59"/>
      <c r="AU109" s="60">
        <f>SUM(RD[[#This Row],[IS2Inv1M1]:[IS4Inv1M3]])</f>
        <v>0</v>
      </c>
      <c r="AV109" s="60">
        <f>SUM(RD[[#This Row],[IS5Inv1M1]:[IS5Inv2M3]])</f>
        <v>0</v>
      </c>
      <c r="AW109" s="60">
        <f>SUM(RD[[#This Row],[O2RE9]:[O2RE192]])</f>
        <v>0</v>
      </c>
      <c r="AX109" s="152"/>
      <c r="AY109" s="152"/>
      <c r="AZ109" s="152"/>
      <c r="BA109" s="152"/>
      <c r="BB109" s="152"/>
      <c r="BC109" s="152"/>
      <c r="BD109" s="153" t="str">
        <f>IF((RD[[#This Row],[33 kV_F1_Ex (O2RE9)]]-AX108)*150000&lt;=0,"",(RD[[#This Row],[33 kV_F1_Ex (O2RE9)]]-AX108)*150000)</f>
        <v/>
      </c>
      <c r="BE109" s="153">
        <f>IF((RD[[#This Row],[33kV_OG1_Ex (O2RE9)]]-AY108)*1000&lt;=0,0,(RD[[#This Row],[33kV_OG1_Ex (O2RE9)]]-AY108)*1000)</f>
        <v>0</v>
      </c>
      <c r="BF109" s="153"/>
      <c r="BG109" s="153" t="str">
        <f>IF((RD[[#This Row],[33 kV_F2_Ex (O2RE19)]]-BA108)*150000&lt;=0,"",(RD[[#This Row],[33 kV_F2_Ex (O2RE19)]]-BA108)*150000)</f>
        <v/>
      </c>
      <c r="BH109" s="153">
        <f>IF((RD[[#This Row],[33kV_OG2_Ex (O2RE19)]]-BB108)*1000&lt;=0,0,(RD[[#This Row],[33kV_OG2_Ex (O2RE19)]]-BB108)*1000)</f>
        <v>0</v>
      </c>
      <c r="BI109" s="153">
        <f>IF((RD[[#This Row],[33kV_Aux2_Im (O2RE19)]]-BC108)*1000&lt;0,"",(RD[[#This Row],[33kV_Aux2_Im (O2RE19)]]-BC108)*1000)</f>
        <v>0</v>
      </c>
      <c r="BJ109" s="153">
        <f>IF((RD[[#This Row],[33kV_Aux1_Im (O2RE9)]]-AZ108)*1000&lt;0,"",(RD[[#This Row],[33kV_Aux1_Im (O2RE9)]]-AZ108)*1000)</f>
        <v>0</v>
      </c>
      <c r="BK109" s="153">
        <f>SUM(RD[[#This Row],[33kV_OG1_O2RE9_Energy (KWh)]],RD[[#This Row],[33kV_OG2_O2RE19_Energy (KWh)]])</f>
        <v>0</v>
      </c>
      <c r="BL109" s="62" t="str">
        <f>IFERROR(RD[[#This Row],[33 kV Total Export (KWH)]]/RD[[#This Row],[Inv Total Gneration (MWh)]]-1,"")</f>
        <v/>
      </c>
      <c r="BM109" s="63">
        <f>IFERROR((RD[[#This Row],[Sunset Time (POA&lt;20 W/m2)]]-RD[[#This Row],[Sunrise Time (POA&gt;20 W/m2)]])*24,0)</f>
        <v>0</v>
      </c>
      <c r="BN109" s="64">
        <f>SUM(RD[[#This Row],[33kV_OG1_O2RE9_Energy (KWh)]],RD[[#This Row],[33kV_OG2_O2RE19_Energy (KWh)]])</f>
        <v>0</v>
      </c>
      <c r="BO109" s="64">
        <f>IFERROR(RD[[#This Row],[ Export (33 kV)]]*(1-RD[[#This Row],[33 kV Line Loss (%)]]),RD[[#This Row],[ Export (33 kV)]])</f>
        <v>0</v>
      </c>
      <c r="BP109" s="216"/>
      <c r="BQ109" s="121"/>
      <c r="BR109" s="121"/>
      <c r="BS109" t="str">
        <f>IFERROR(RD[[#This Row],[E_AC (WPR)]]/RD[[#This Row],[E_DC (WPR)]],"")</f>
        <v/>
      </c>
    </row>
    <row r="110" spans="1:71">
      <c r="A110" s="147">
        <f t="shared" si="71"/>
        <v>45944</v>
      </c>
      <c r="B110" s="150">
        <f>YEAR(RD[[#This Row],[Date]])+IF(MONTH(RD[[#This Row],[Date]])&gt;=4,1,0)</f>
        <v>2026</v>
      </c>
      <c r="C110" s="150">
        <f>YEAR(RD[[#This Row],[Date]])</f>
        <v>2025</v>
      </c>
      <c r="D110" s="151">
        <f t="shared" si="70"/>
        <v>45931</v>
      </c>
      <c r="E110" s="150">
        <f>DAY(EOMONTH(RD[[#This Row],[Date]],0))</f>
        <v>31</v>
      </c>
      <c r="F110" s="121"/>
      <c r="G110" s="121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66"/>
      <c r="AF110" s="166"/>
      <c r="AG110" s="166"/>
      <c r="AH110" s="166"/>
      <c r="AI110" s="166"/>
      <c r="AJ110" s="166"/>
      <c r="AK110" s="166"/>
      <c r="AL110" s="166"/>
      <c r="AM110" s="59"/>
      <c r="AN110" s="59"/>
      <c r="AO110" s="59"/>
      <c r="AP110" s="59"/>
      <c r="AQ110" s="59"/>
      <c r="AR110" s="59"/>
      <c r="AS110" s="59"/>
      <c r="AT110" s="59"/>
      <c r="AU110" s="60">
        <f>SUM(RD[[#This Row],[IS2Inv1M1]:[IS4Inv1M3]])</f>
        <v>0</v>
      </c>
      <c r="AV110" s="60">
        <f>SUM(RD[[#This Row],[IS5Inv1M1]:[IS5Inv2M3]])</f>
        <v>0</v>
      </c>
      <c r="AW110" s="60">
        <f>SUM(RD[[#This Row],[O2RE9]:[O2RE192]])</f>
        <v>0</v>
      </c>
      <c r="AX110" s="152"/>
      <c r="AY110" s="152"/>
      <c r="AZ110" s="152"/>
      <c r="BA110" s="152"/>
      <c r="BB110" s="152"/>
      <c r="BC110" s="152"/>
      <c r="BD110" s="153" t="str">
        <f>IF((RD[[#This Row],[33 kV_F1_Ex (O2RE9)]]-AX109)*150000&lt;=0,"",(RD[[#This Row],[33 kV_F1_Ex (O2RE9)]]-AX109)*150000)</f>
        <v/>
      </c>
      <c r="BE110" s="153">
        <f>IF((RD[[#This Row],[33kV_OG1_Ex (O2RE9)]]-AY109)*1000&lt;=0,0,(RD[[#This Row],[33kV_OG1_Ex (O2RE9)]]-AY109)*1000)</f>
        <v>0</v>
      </c>
      <c r="BF110" s="153"/>
      <c r="BG110" s="153" t="str">
        <f>IF((RD[[#This Row],[33 kV_F2_Ex (O2RE19)]]-BA109)*150000&lt;=0,"",(RD[[#This Row],[33 kV_F2_Ex (O2RE19)]]-BA109)*150000)</f>
        <v/>
      </c>
      <c r="BH110" s="153">
        <f>IF((RD[[#This Row],[33kV_OG2_Ex (O2RE19)]]-BB109)*1000&lt;=0,0,(RD[[#This Row],[33kV_OG2_Ex (O2RE19)]]-BB109)*1000)</f>
        <v>0</v>
      </c>
      <c r="BI110" s="153">
        <f>IF((RD[[#This Row],[33kV_Aux2_Im (O2RE19)]]-BC109)*1000&lt;0,"",(RD[[#This Row],[33kV_Aux2_Im (O2RE19)]]-BC109)*1000)</f>
        <v>0</v>
      </c>
      <c r="BJ110" s="153">
        <f>IF((RD[[#This Row],[33kV_Aux1_Im (O2RE9)]]-AZ109)*1000&lt;0,"",(RD[[#This Row],[33kV_Aux1_Im (O2RE9)]]-AZ109)*1000)</f>
        <v>0</v>
      </c>
      <c r="BK110" s="153">
        <f>SUM(RD[[#This Row],[33kV_OG1_O2RE9_Energy (KWh)]],RD[[#This Row],[33kV_OG2_O2RE19_Energy (KWh)]])</f>
        <v>0</v>
      </c>
      <c r="BL110" s="62" t="str">
        <f>IFERROR(RD[[#This Row],[33 kV Total Export (KWH)]]/RD[[#This Row],[Inv Total Gneration (MWh)]]-1,"")</f>
        <v/>
      </c>
      <c r="BM110" s="63">
        <f>IFERROR((RD[[#This Row],[Sunset Time (POA&lt;20 W/m2)]]-RD[[#This Row],[Sunrise Time (POA&gt;20 W/m2)]])*24,0)</f>
        <v>0</v>
      </c>
      <c r="BN110" s="64">
        <f>SUM(RD[[#This Row],[33kV_OG1_O2RE9_Energy (KWh)]],RD[[#This Row],[33kV_OG2_O2RE19_Energy (KWh)]])</f>
        <v>0</v>
      </c>
      <c r="BO110" s="64">
        <f>IFERROR(RD[[#This Row],[ Export (33 kV)]]*(1-RD[[#This Row],[33 kV Line Loss (%)]]),RD[[#This Row],[ Export (33 kV)]])</f>
        <v>0</v>
      </c>
      <c r="BP110" s="216"/>
      <c r="BQ110" s="121"/>
      <c r="BR110" s="121"/>
      <c r="BS110" t="str">
        <f>IFERROR(RD[[#This Row],[E_AC (WPR)]]/RD[[#This Row],[E_DC (WPR)]],"")</f>
        <v/>
      </c>
    </row>
    <row r="111" spans="1:71">
      <c r="A111" s="147">
        <f t="shared" si="71"/>
        <v>45945</v>
      </c>
      <c r="B111" s="150">
        <f>YEAR(RD[[#This Row],[Date]])+IF(MONTH(RD[[#This Row],[Date]])&gt;=4,1,0)</f>
        <v>2026</v>
      </c>
      <c r="C111" s="150">
        <f>YEAR(RD[[#This Row],[Date]])</f>
        <v>2025</v>
      </c>
      <c r="D111" s="151">
        <f t="shared" si="70"/>
        <v>45931</v>
      </c>
      <c r="E111" s="150">
        <f>DAY(EOMONTH(RD[[#This Row],[Date]],0))</f>
        <v>31</v>
      </c>
      <c r="F111" s="121"/>
      <c r="G111" s="121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66"/>
      <c r="AF111" s="166"/>
      <c r="AG111" s="166"/>
      <c r="AH111" s="166"/>
      <c r="AI111" s="166"/>
      <c r="AJ111" s="166"/>
      <c r="AK111" s="166"/>
      <c r="AL111" s="166"/>
      <c r="AM111" s="59"/>
      <c r="AN111" s="59"/>
      <c r="AO111" s="59"/>
      <c r="AP111" s="59"/>
      <c r="AQ111" s="59"/>
      <c r="AR111" s="59"/>
      <c r="AS111" s="59"/>
      <c r="AT111" s="59"/>
      <c r="AU111" s="60">
        <f>SUM(RD[[#This Row],[IS2Inv1M1]:[IS4Inv1M3]])</f>
        <v>0</v>
      </c>
      <c r="AV111" s="60">
        <f>SUM(RD[[#This Row],[IS5Inv1M1]:[IS5Inv2M3]])</f>
        <v>0</v>
      </c>
      <c r="AW111" s="60">
        <f>SUM(RD[[#This Row],[O2RE9]:[O2RE192]])</f>
        <v>0</v>
      </c>
      <c r="AX111" s="152"/>
      <c r="AY111" s="152"/>
      <c r="AZ111" s="152"/>
      <c r="BA111" s="152"/>
      <c r="BB111" s="152"/>
      <c r="BC111" s="152"/>
      <c r="BD111" s="153" t="str">
        <f>IF((RD[[#This Row],[33 kV_F1_Ex (O2RE9)]]-AX110)*150000&lt;=0,"",(RD[[#This Row],[33 kV_F1_Ex (O2RE9)]]-AX110)*150000)</f>
        <v/>
      </c>
      <c r="BE111" s="153">
        <f>IF((RD[[#This Row],[33kV_OG1_Ex (O2RE9)]]-AY110)*1000&lt;=0,0,(RD[[#This Row],[33kV_OG1_Ex (O2RE9)]]-AY110)*1000)</f>
        <v>0</v>
      </c>
      <c r="BF111" s="153"/>
      <c r="BG111" s="153" t="str">
        <f>IF((RD[[#This Row],[33 kV_F2_Ex (O2RE19)]]-BA110)*150000&lt;=0,"",(RD[[#This Row],[33 kV_F2_Ex (O2RE19)]]-BA110)*150000)</f>
        <v/>
      </c>
      <c r="BH111" s="153">
        <f>IF((RD[[#This Row],[33kV_OG2_Ex (O2RE19)]]-BB110)*1000&lt;=0,0,(RD[[#This Row],[33kV_OG2_Ex (O2RE19)]]-BB110)*1000)</f>
        <v>0</v>
      </c>
      <c r="BI111" s="153">
        <f>IF((RD[[#This Row],[33kV_Aux2_Im (O2RE19)]]-BC110)*1000&lt;0,"",(RD[[#This Row],[33kV_Aux2_Im (O2RE19)]]-BC110)*1000)</f>
        <v>0</v>
      </c>
      <c r="BJ111" s="153">
        <f>IF((RD[[#This Row],[33kV_Aux1_Im (O2RE9)]]-AZ110)*1000&lt;0,"",(RD[[#This Row],[33kV_Aux1_Im (O2RE9)]]-AZ110)*1000)</f>
        <v>0</v>
      </c>
      <c r="BK111" s="153">
        <f>SUM(RD[[#This Row],[33kV_OG1_O2RE9_Energy (KWh)]],RD[[#This Row],[33kV_OG2_O2RE19_Energy (KWh)]])</f>
        <v>0</v>
      </c>
      <c r="BL111" s="62" t="str">
        <f>IFERROR(RD[[#This Row],[33 kV Total Export (KWH)]]/RD[[#This Row],[Inv Total Gneration (MWh)]]-1,"")</f>
        <v/>
      </c>
      <c r="BM111" s="63">
        <f>IFERROR((RD[[#This Row],[Sunset Time (POA&lt;20 W/m2)]]-RD[[#This Row],[Sunrise Time (POA&gt;20 W/m2)]])*24,0)</f>
        <v>0</v>
      </c>
      <c r="BN111" s="64">
        <f>SUM(RD[[#This Row],[33kV_OG1_O2RE9_Energy (KWh)]],RD[[#This Row],[33kV_OG2_O2RE19_Energy (KWh)]])</f>
        <v>0</v>
      </c>
      <c r="BO111" s="64">
        <f>IFERROR(RD[[#This Row],[ Export (33 kV)]]*(1-RD[[#This Row],[33 kV Line Loss (%)]]),RD[[#This Row],[ Export (33 kV)]])</f>
        <v>0</v>
      </c>
      <c r="BP111" s="216"/>
      <c r="BQ111" s="121"/>
      <c r="BR111" s="121"/>
      <c r="BS111" t="str">
        <f>IFERROR(RD[[#This Row],[E_AC (WPR)]]/RD[[#This Row],[E_DC (WPR)]],"")</f>
        <v/>
      </c>
    </row>
    <row r="112" spans="1:71">
      <c r="A112" s="147">
        <f t="shared" si="71"/>
        <v>45946</v>
      </c>
      <c r="B112" s="150">
        <f>YEAR(RD[[#This Row],[Date]])+IF(MONTH(RD[[#This Row],[Date]])&gt;=4,1,0)</f>
        <v>2026</v>
      </c>
      <c r="C112" s="150">
        <f>YEAR(RD[[#This Row],[Date]])</f>
        <v>2025</v>
      </c>
      <c r="D112" s="151">
        <f t="shared" si="70"/>
        <v>45931</v>
      </c>
      <c r="E112" s="150">
        <f>DAY(EOMONTH(RD[[#This Row],[Date]],0))</f>
        <v>31</v>
      </c>
      <c r="F112" s="121"/>
      <c r="G112" s="121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66"/>
      <c r="AF112" s="166"/>
      <c r="AG112" s="166"/>
      <c r="AH112" s="166"/>
      <c r="AI112" s="166"/>
      <c r="AJ112" s="166"/>
      <c r="AK112" s="166"/>
      <c r="AL112" s="166"/>
      <c r="AM112" s="59"/>
      <c r="AN112" s="59"/>
      <c r="AO112" s="59"/>
      <c r="AP112" s="59"/>
      <c r="AQ112" s="59"/>
      <c r="AR112" s="59"/>
      <c r="AS112" s="59"/>
      <c r="AT112" s="59"/>
      <c r="AU112" s="60">
        <f>SUM(RD[[#This Row],[IS2Inv1M1]:[IS4Inv1M3]])</f>
        <v>0</v>
      </c>
      <c r="AV112" s="60">
        <f>SUM(RD[[#This Row],[IS5Inv1M1]:[IS5Inv2M3]])</f>
        <v>0</v>
      </c>
      <c r="AW112" s="60">
        <f>SUM(RD[[#This Row],[O2RE9]:[O2RE192]])</f>
        <v>0</v>
      </c>
      <c r="AX112" s="152"/>
      <c r="AY112" s="152"/>
      <c r="AZ112" s="152"/>
      <c r="BA112" s="152"/>
      <c r="BB112" s="152"/>
      <c r="BC112" s="152"/>
      <c r="BD112" s="153" t="str">
        <f>IF((RD[[#This Row],[33 kV_F1_Ex (O2RE9)]]-AX111)*150000&lt;=0,"",(RD[[#This Row],[33 kV_F1_Ex (O2RE9)]]-AX111)*150000)</f>
        <v/>
      </c>
      <c r="BE112" s="153">
        <f>IF((RD[[#This Row],[33kV_OG1_Ex (O2RE9)]]-AY111)*1000&lt;=0,0,(RD[[#This Row],[33kV_OG1_Ex (O2RE9)]]-AY111)*1000)</f>
        <v>0</v>
      </c>
      <c r="BF112" s="153"/>
      <c r="BG112" s="153" t="str">
        <f>IF((RD[[#This Row],[33 kV_F2_Ex (O2RE19)]]-BA111)*150000&lt;=0,"",(RD[[#This Row],[33 kV_F2_Ex (O2RE19)]]-BA111)*150000)</f>
        <v/>
      </c>
      <c r="BH112" s="153">
        <f>IF((RD[[#This Row],[33kV_OG2_Ex (O2RE19)]]-BB111)*1000&lt;=0,0,(RD[[#This Row],[33kV_OG2_Ex (O2RE19)]]-BB111)*1000)</f>
        <v>0</v>
      </c>
      <c r="BI112" s="153">
        <f>IF((RD[[#This Row],[33kV_Aux2_Im (O2RE19)]]-BC111)*1000&lt;0,"",(RD[[#This Row],[33kV_Aux2_Im (O2RE19)]]-BC111)*1000)</f>
        <v>0</v>
      </c>
      <c r="BJ112" s="153">
        <f>IF((RD[[#This Row],[33kV_Aux1_Im (O2RE9)]]-AZ111)*1000&lt;0,"",(RD[[#This Row],[33kV_Aux1_Im (O2RE9)]]-AZ111)*1000)</f>
        <v>0</v>
      </c>
      <c r="BK112" s="153">
        <f>SUM(RD[[#This Row],[33kV_OG1_O2RE9_Energy (KWh)]],RD[[#This Row],[33kV_OG2_O2RE19_Energy (KWh)]])</f>
        <v>0</v>
      </c>
      <c r="BL112" s="62" t="str">
        <f>IFERROR(RD[[#This Row],[33 kV Total Export (KWH)]]/RD[[#This Row],[Inv Total Gneration (MWh)]]-1,"")</f>
        <v/>
      </c>
      <c r="BM112" s="63">
        <f>IFERROR((RD[[#This Row],[Sunset Time (POA&lt;20 W/m2)]]-RD[[#This Row],[Sunrise Time (POA&gt;20 W/m2)]])*24,0)</f>
        <v>0</v>
      </c>
      <c r="BN112" s="64">
        <f>SUM(RD[[#This Row],[33kV_OG1_O2RE9_Energy (KWh)]],RD[[#This Row],[33kV_OG2_O2RE19_Energy (KWh)]])</f>
        <v>0</v>
      </c>
      <c r="BO112" s="64">
        <f>IFERROR(RD[[#This Row],[ Export (33 kV)]]*(1-RD[[#This Row],[33 kV Line Loss (%)]]),RD[[#This Row],[ Export (33 kV)]])</f>
        <v>0</v>
      </c>
      <c r="BP112" s="216"/>
      <c r="BQ112" s="121"/>
      <c r="BR112" s="121"/>
      <c r="BS112" t="str">
        <f>IFERROR(RD[[#This Row],[E_AC (WPR)]]/RD[[#This Row],[E_DC (WPR)]],"")</f>
        <v/>
      </c>
    </row>
    <row r="113" spans="1:71">
      <c r="A113" s="147">
        <f t="shared" si="71"/>
        <v>45947</v>
      </c>
      <c r="B113" s="150">
        <f>YEAR(RD[[#This Row],[Date]])+IF(MONTH(RD[[#This Row],[Date]])&gt;=4,1,0)</f>
        <v>2026</v>
      </c>
      <c r="C113" s="150">
        <f>YEAR(RD[[#This Row],[Date]])</f>
        <v>2025</v>
      </c>
      <c r="D113" s="151">
        <f t="shared" si="70"/>
        <v>45931</v>
      </c>
      <c r="E113" s="150">
        <f>DAY(EOMONTH(RD[[#This Row],[Date]],0))</f>
        <v>31</v>
      </c>
      <c r="F113" s="121"/>
      <c r="G113" s="121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66"/>
      <c r="AF113" s="166"/>
      <c r="AG113" s="166"/>
      <c r="AH113" s="166"/>
      <c r="AI113" s="166"/>
      <c r="AJ113" s="166"/>
      <c r="AK113" s="166"/>
      <c r="AL113" s="166"/>
      <c r="AM113" s="59"/>
      <c r="AN113" s="59"/>
      <c r="AO113" s="59"/>
      <c r="AP113" s="59"/>
      <c r="AQ113" s="59"/>
      <c r="AR113" s="59"/>
      <c r="AS113" s="59"/>
      <c r="AT113" s="59"/>
      <c r="AU113" s="60">
        <f>SUM(RD[[#This Row],[IS2Inv1M1]:[IS4Inv1M3]])</f>
        <v>0</v>
      </c>
      <c r="AV113" s="60">
        <f>SUM(RD[[#This Row],[IS5Inv1M1]:[IS5Inv2M3]])</f>
        <v>0</v>
      </c>
      <c r="AW113" s="60">
        <f>SUM(RD[[#This Row],[O2RE9]:[O2RE192]])</f>
        <v>0</v>
      </c>
      <c r="AX113" s="152"/>
      <c r="AY113" s="152"/>
      <c r="AZ113" s="152"/>
      <c r="BA113" s="152"/>
      <c r="BB113" s="152"/>
      <c r="BC113" s="152"/>
      <c r="BD113" s="153" t="str">
        <f>IF((RD[[#This Row],[33 kV_F1_Ex (O2RE9)]]-AX112)*150000&lt;=0,"",(RD[[#This Row],[33 kV_F1_Ex (O2RE9)]]-AX112)*150000)</f>
        <v/>
      </c>
      <c r="BE113" s="153">
        <f>IF((RD[[#This Row],[33kV_OG1_Ex (O2RE9)]]-AY112)*1000&lt;=0,0,(RD[[#This Row],[33kV_OG1_Ex (O2RE9)]]-AY112)*1000)</f>
        <v>0</v>
      </c>
      <c r="BF113" s="153"/>
      <c r="BG113" s="153" t="str">
        <f>IF((RD[[#This Row],[33 kV_F2_Ex (O2RE19)]]-BA112)*150000&lt;=0,"",(RD[[#This Row],[33 kV_F2_Ex (O2RE19)]]-BA112)*150000)</f>
        <v/>
      </c>
      <c r="BH113" s="153">
        <f>IF((RD[[#This Row],[33kV_OG2_Ex (O2RE19)]]-BB112)*1000&lt;=0,0,(RD[[#This Row],[33kV_OG2_Ex (O2RE19)]]-BB112)*1000)</f>
        <v>0</v>
      </c>
      <c r="BI113" s="153">
        <f>IF((RD[[#This Row],[33kV_Aux2_Im (O2RE19)]]-BC112)*1000&lt;0,"",(RD[[#This Row],[33kV_Aux2_Im (O2RE19)]]-BC112)*1000)</f>
        <v>0</v>
      </c>
      <c r="BJ113" s="153">
        <f>IF((RD[[#This Row],[33kV_Aux1_Im (O2RE9)]]-AZ112)*1000&lt;0,"",(RD[[#This Row],[33kV_Aux1_Im (O2RE9)]]-AZ112)*1000)</f>
        <v>0</v>
      </c>
      <c r="BK113" s="153">
        <f>SUM(RD[[#This Row],[33kV_OG1_O2RE9_Energy (KWh)]],RD[[#This Row],[33kV_OG2_O2RE19_Energy (KWh)]])</f>
        <v>0</v>
      </c>
      <c r="BL113" s="62" t="str">
        <f>IFERROR(RD[[#This Row],[33 kV Total Export (KWH)]]/RD[[#This Row],[Inv Total Gneration (MWh)]]-1,"")</f>
        <v/>
      </c>
      <c r="BM113" s="63">
        <f>IFERROR((RD[[#This Row],[Sunset Time (POA&lt;20 W/m2)]]-RD[[#This Row],[Sunrise Time (POA&gt;20 W/m2)]])*24,0)</f>
        <v>0</v>
      </c>
      <c r="BN113" s="64">
        <f>SUM(RD[[#This Row],[33kV_OG1_O2RE9_Energy (KWh)]],RD[[#This Row],[33kV_OG2_O2RE19_Energy (KWh)]])</f>
        <v>0</v>
      </c>
      <c r="BO113" s="64">
        <f>IFERROR(RD[[#This Row],[ Export (33 kV)]]*(1-RD[[#This Row],[33 kV Line Loss (%)]]),RD[[#This Row],[ Export (33 kV)]])</f>
        <v>0</v>
      </c>
      <c r="BP113" s="216"/>
      <c r="BQ113" s="121"/>
      <c r="BR113" s="121"/>
      <c r="BS113" t="str">
        <f>IFERROR(RD[[#This Row],[E_AC (WPR)]]/RD[[#This Row],[E_DC (WPR)]],"")</f>
        <v/>
      </c>
    </row>
    <row r="114" spans="1:71">
      <c r="A114" s="147">
        <f t="shared" si="71"/>
        <v>45948</v>
      </c>
      <c r="B114" s="150">
        <f>YEAR(RD[[#This Row],[Date]])+IF(MONTH(RD[[#This Row],[Date]])&gt;=4,1,0)</f>
        <v>2026</v>
      </c>
      <c r="C114" s="150">
        <f>YEAR(RD[[#This Row],[Date]])</f>
        <v>2025</v>
      </c>
      <c r="D114" s="151">
        <f t="shared" si="70"/>
        <v>45931</v>
      </c>
      <c r="E114" s="150">
        <f>DAY(EOMONTH(RD[[#This Row],[Date]],0))</f>
        <v>31</v>
      </c>
      <c r="F114" s="121"/>
      <c r="G114" s="121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66"/>
      <c r="AF114" s="166"/>
      <c r="AG114" s="166"/>
      <c r="AH114" s="166"/>
      <c r="AI114" s="166"/>
      <c r="AJ114" s="166"/>
      <c r="AK114" s="166"/>
      <c r="AL114" s="166"/>
      <c r="AM114" s="59"/>
      <c r="AN114" s="59"/>
      <c r="AO114" s="59"/>
      <c r="AP114" s="59"/>
      <c r="AQ114" s="59"/>
      <c r="AR114" s="59"/>
      <c r="AS114" s="59"/>
      <c r="AT114" s="59"/>
      <c r="AU114" s="60">
        <f>SUM(RD[[#This Row],[IS2Inv1M1]:[IS4Inv1M3]])</f>
        <v>0</v>
      </c>
      <c r="AV114" s="60">
        <f>SUM(RD[[#This Row],[IS5Inv1M1]:[IS5Inv2M3]])</f>
        <v>0</v>
      </c>
      <c r="AW114" s="60">
        <f>SUM(RD[[#This Row],[O2RE9]:[O2RE192]])</f>
        <v>0</v>
      </c>
      <c r="AX114" s="152"/>
      <c r="AY114" s="152"/>
      <c r="AZ114" s="152"/>
      <c r="BA114" s="152"/>
      <c r="BB114" s="152"/>
      <c r="BC114" s="152"/>
      <c r="BD114" s="153" t="str">
        <f>IF((RD[[#This Row],[33 kV_F1_Ex (O2RE9)]]-AX113)*150000&lt;=0,"",(RD[[#This Row],[33 kV_F1_Ex (O2RE9)]]-AX113)*150000)</f>
        <v/>
      </c>
      <c r="BE114" s="153">
        <f>IF((RD[[#This Row],[33kV_OG1_Ex (O2RE9)]]-AY113)*1000&lt;=0,0,(RD[[#This Row],[33kV_OG1_Ex (O2RE9)]]-AY113)*1000)</f>
        <v>0</v>
      </c>
      <c r="BF114" s="153"/>
      <c r="BG114" s="153" t="str">
        <f>IF((RD[[#This Row],[33 kV_F2_Ex (O2RE19)]]-BA113)*150000&lt;=0,"",(RD[[#This Row],[33 kV_F2_Ex (O2RE19)]]-BA113)*150000)</f>
        <v/>
      </c>
      <c r="BH114" s="153">
        <f>IF((RD[[#This Row],[33kV_OG2_Ex (O2RE19)]]-BB113)*1000&lt;=0,0,(RD[[#This Row],[33kV_OG2_Ex (O2RE19)]]-BB113)*1000)</f>
        <v>0</v>
      </c>
      <c r="BI114" s="153">
        <f>IF((RD[[#This Row],[33kV_Aux2_Im (O2RE19)]]-BC113)*1000&lt;0,"",(RD[[#This Row],[33kV_Aux2_Im (O2RE19)]]-BC113)*1000)</f>
        <v>0</v>
      </c>
      <c r="BJ114" s="153">
        <f>IF((RD[[#This Row],[33kV_Aux1_Im (O2RE9)]]-AZ113)*1000&lt;0,"",(RD[[#This Row],[33kV_Aux1_Im (O2RE9)]]-AZ113)*1000)</f>
        <v>0</v>
      </c>
      <c r="BK114" s="153">
        <f>SUM(RD[[#This Row],[33kV_OG1_O2RE9_Energy (KWh)]],RD[[#This Row],[33kV_OG2_O2RE19_Energy (KWh)]])</f>
        <v>0</v>
      </c>
      <c r="BL114" s="62" t="str">
        <f>IFERROR(RD[[#This Row],[33 kV Total Export (KWH)]]/RD[[#This Row],[Inv Total Gneration (MWh)]]-1,"")</f>
        <v/>
      </c>
      <c r="BM114" s="63">
        <f>IFERROR((RD[[#This Row],[Sunset Time (POA&lt;20 W/m2)]]-RD[[#This Row],[Sunrise Time (POA&gt;20 W/m2)]])*24,0)</f>
        <v>0</v>
      </c>
      <c r="BN114" s="64">
        <f>SUM(RD[[#This Row],[33kV_OG1_O2RE9_Energy (KWh)]],RD[[#This Row],[33kV_OG2_O2RE19_Energy (KWh)]])</f>
        <v>0</v>
      </c>
      <c r="BO114" s="64">
        <f>IFERROR(RD[[#This Row],[ Export (33 kV)]]*(1-RD[[#This Row],[33 kV Line Loss (%)]]),RD[[#This Row],[ Export (33 kV)]])</f>
        <v>0</v>
      </c>
      <c r="BP114" s="216"/>
      <c r="BQ114" s="121"/>
      <c r="BR114" s="121"/>
      <c r="BS114" t="str">
        <f>IFERROR(RD[[#This Row],[E_AC (WPR)]]/RD[[#This Row],[E_DC (WPR)]],"")</f>
        <v/>
      </c>
    </row>
    <row r="115" spans="1:71">
      <c r="A115" s="147">
        <f t="shared" si="71"/>
        <v>45949</v>
      </c>
      <c r="B115" s="150">
        <f>YEAR(RD[[#This Row],[Date]])+IF(MONTH(RD[[#This Row],[Date]])&gt;=4,1,0)</f>
        <v>2026</v>
      </c>
      <c r="C115" s="150">
        <f>YEAR(RD[[#This Row],[Date]])</f>
        <v>2025</v>
      </c>
      <c r="D115" s="151">
        <f t="shared" si="70"/>
        <v>45931</v>
      </c>
      <c r="E115" s="150">
        <f>DAY(EOMONTH(RD[[#This Row],[Date]],0))</f>
        <v>31</v>
      </c>
      <c r="F115" s="121"/>
      <c r="G115" s="121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66"/>
      <c r="AF115" s="166"/>
      <c r="AG115" s="166"/>
      <c r="AH115" s="166"/>
      <c r="AI115" s="166"/>
      <c r="AJ115" s="166"/>
      <c r="AK115" s="166"/>
      <c r="AL115" s="166"/>
      <c r="AM115" s="59"/>
      <c r="AN115" s="59"/>
      <c r="AO115" s="59"/>
      <c r="AP115" s="59"/>
      <c r="AQ115" s="59"/>
      <c r="AR115" s="59"/>
      <c r="AS115" s="59"/>
      <c r="AT115" s="59"/>
      <c r="AU115" s="60">
        <f>SUM(RD[[#This Row],[IS2Inv1M1]:[IS4Inv1M3]])</f>
        <v>0</v>
      </c>
      <c r="AV115" s="60">
        <f>SUM(RD[[#This Row],[IS5Inv1M1]:[IS5Inv2M3]])</f>
        <v>0</v>
      </c>
      <c r="AW115" s="60">
        <f>SUM(RD[[#This Row],[O2RE9]:[O2RE192]])</f>
        <v>0</v>
      </c>
      <c r="AX115" s="152"/>
      <c r="AY115" s="152"/>
      <c r="AZ115" s="152"/>
      <c r="BA115" s="152"/>
      <c r="BB115" s="152"/>
      <c r="BC115" s="152"/>
      <c r="BD115" s="153" t="str">
        <f>IF((RD[[#This Row],[33 kV_F1_Ex (O2RE9)]]-AX114)*150000&lt;=0,"",(RD[[#This Row],[33 kV_F1_Ex (O2RE9)]]-AX114)*150000)</f>
        <v/>
      </c>
      <c r="BE115" s="153">
        <f>IF((RD[[#This Row],[33kV_OG1_Ex (O2RE9)]]-AY114)*1000&lt;=0,0,(RD[[#This Row],[33kV_OG1_Ex (O2RE9)]]-AY114)*1000)</f>
        <v>0</v>
      </c>
      <c r="BF115" s="153"/>
      <c r="BG115" s="153" t="str">
        <f>IF((RD[[#This Row],[33 kV_F2_Ex (O2RE19)]]-BA114)*150000&lt;=0,"",(RD[[#This Row],[33 kV_F2_Ex (O2RE19)]]-BA114)*150000)</f>
        <v/>
      </c>
      <c r="BH115" s="153">
        <f>IF((RD[[#This Row],[33kV_OG2_Ex (O2RE19)]]-BB114)*1000&lt;=0,0,(RD[[#This Row],[33kV_OG2_Ex (O2RE19)]]-BB114)*1000)</f>
        <v>0</v>
      </c>
      <c r="BI115" s="153">
        <f>IF((RD[[#This Row],[33kV_Aux2_Im (O2RE19)]]-BC114)*1000&lt;0,"",(RD[[#This Row],[33kV_Aux2_Im (O2RE19)]]-BC114)*1000)</f>
        <v>0</v>
      </c>
      <c r="BJ115" s="153">
        <f>IF((RD[[#This Row],[33kV_Aux1_Im (O2RE9)]]-AZ114)*1000&lt;0,"",(RD[[#This Row],[33kV_Aux1_Im (O2RE9)]]-AZ114)*1000)</f>
        <v>0</v>
      </c>
      <c r="BK115" s="153">
        <f>SUM(RD[[#This Row],[33kV_OG1_O2RE9_Energy (KWh)]],RD[[#This Row],[33kV_OG2_O2RE19_Energy (KWh)]])</f>
        <v>0</v>
      </c>
      <c r="BL115" s="62" t="str">
        <f>IFERROR(RD[[#This Row],[33 kV Total Export (KWH)]]/RD[[#This Row],[Inv Total Gneration (MWh)]]-1,"")</f>
        <v/>
      </c>
      <c r="BM115" s="63">
        <f>IFERROR((RD[[#This Row],[Sunset Time (POA&lt;20 W/m2)]]-RD[[#This Row],[Sunrise Time (POA&gt;20 W/m2)]])*24,0)</f>
        <v>0</v>
      </c>
      <c r="BN115" s="64">
        <f>SUM(RD[[#This Row],[33kV_OG1_O2RE9_Energy (KWh)]],RD[[#This Row],[33kV_OG2_O2RE19_Energy (KWh)]])</f>
        <v>0</v>
      </c>
      <c r="BO115" s="64">
        <f>IFERROR(RD[[#This Row],[ Export (33 kV)]]*(1-RD[[#This Row],[33 kV Line Loss (%)]]),RD[[#This Row],[ Export (33 kV)]])</f>
        <v>0</v>
      </c>
      <c r="BP115" s="216"/>
      <c r="BQ115" s="121"/>
      <c r="BR115" s="121"/>
      <c r="BS115" t="str">
        <f>IFERROR(RD[[#This Row],[E_AC (WPR)]]/RD[[#This Row],[E_DC (WPR)]],"")</f>
        <v/>
      </c>
    </row>
    <row r="116" spans="1:71">
      <c r="A116" s="147">
        <f t="shared" si="71"/>
        <v>45950</v>
      </c>
      <c r="B116" s="150">
        <f>YEAR(RD[[#This Row],[Date]])+IF(MONTH(RD[[#This Row],[Date]])&gt;=4,1,0)</f>
        <v>2026</v>
      </c>
      <c r="C116" s="150">
        <f>YEAR(RD[[#This Row],[Date]])</f>
        <v>2025</v>
      </c>
      <c r="D116" s="151">
        <f t="shared" si="70"/>
        <v>45931</v>
      </c>
      <c r="E116" s="150">
        <f>DAY(EOMONTH(RD[[#This Row],[Date]],0))</f>
        <v>31</v>
      </c>
      <c r="F116" s="121"/>
      <c r="G116" s="121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66"/>
      <c r="AF116" s="166"/>
      <c r="AG116" s="166"/>
      <c r="AH116" s="166"/>
      <c r="AI116" s="166"/>
      <c r="AJ116" s="166"/>
      <c r="AK116" s="166"/>
      <c r="AL116" s="166"/>
      <c r="AM116" s="59"/>
      <c r="AN116" s="59"/>
      <c r="AO116" s="59"/>
      <c r="AP116" s="59"/>
      <c r="AQ116" s="59"/>
      <c r="AR116" s="59"/>
      <c r="AS116" s="59"/>
      <c r="AT116" s="59"/>
      <c r="AU116" s="60">
        <f>SUM(RD[[#This Row],[IS2Inv1M1]:[IS4Inv1M3]])</f>
        <v>0</v>
      </c>
      <c r="AV116" s="60">
        <f>SUM(RD[[#This Row],[IS5Inv1M1]:[IS5Inv2M3]])</f>
        <v>0</v>
      </c>
      <c r="AW116" s="60">
        <f>SUM(RD[[#This Row],[O2RE9]:[O2RE192]])</f>
        <v>0</v>
      </c>
      <c r="AX116" s="152"/>
      <c r="AY116" s="152"/>
      <c r="AZ116" s="152"/>
      <c r="BA116" s="152"/>
      <c r="BB116" s="152"/>
      <c r="BC116" s="152"/>
      <c r="BD116" s="153" t="str">
        <f>IF((RD[[#This Row],[33 kV_F1_Ex (O2RE9)]]-AX115)*150000&lt;=0,"",(RD[[#This Row],[33 kV_F1_Ex (O2RE9)]]-AX115)*150000)</f>
        <v/>
      </c>
      <c r="BE116" s="153">
        <f>IF((RD[[#This Row],[33kV_OG1_Ex (O2RE9)]]-AY115)*1000&lt;=0,0,(RD[[#This Row],[33kV_OG1_Ex (O2RE9)]]-AY115)*1000)</f>
        <v>0</v>
      </c>
      <c r="BF116" s="153"/>
      <c r="BG116" s="153" t="str">
        <f>IF((RD[[#This Row],[33 kV_F2_Ex (O2RE19)]]-BA115)*150000&lt;=0,"",(RD[[#This Row],[33 kV_F2_Ex (O2RE19)]]-BA115)*150000)</f>
        <v/>
      </c>
      <c r="BH116" s="153">
        <f>IF((RD[[#This Row],[33kV_OG2_Ex (O2RE19)]]-BB115)*1000&lt;=0,0,(RD[[#This Row],[33kV_OG2_Ex (O2RE19)]]-BB115)*1000)</f>
        <v>0</v>
      </c>
      <c r="BI116" s="153">
        <f>IF((RD[[#This Row],[33kV_Aux2_Im (O2RE19)]]-BC115)*1000&lt;0,"",(RD[[#This Row],[33kV_Aux2_Im (O2RE19)]]-BC115)*1000)</f>
        <v>0</v>
      </c>
      <c r="BJ116" s="153">
        <f>IF((RD[[#This Row],[33kV_Aux1_Im (O2RE9)]]-AZ115)*1000&lt;0,"",(RD[[#This Row],[33kV_Aux1_Im (O2RE9)]]-AZ115)*1000)</f>
        <v>0</v>
      </c>
      <c r="BK116" s="153">
        <f>SUM(RD[[#This Row],[33kV_OG1_O2RE9_Energy (KWh)]],RD[[#This Row],[33kV_OG2_O2RE19_Energy (KWh)]])</f>
        <v>0</v>
      </c>
      <c r="BL116" s="62" t="str">
        <f>IFERROR(RD[[#This Row],[33 kV Total Export (KWH)]]/RD[[#This Row],[Inv Total Gneration (MWh)]]-1,"")</f>
        <v/>
      </c>
      <c r="BM116" s="63">
        <f>IFERROR((RD[[#This Row],[Sunset Time (POA&lt;20 W/m2)]]-RD[[#This Row],[Sunrise Time (POA&gt;20 W/m2)]])*24,0)</f>
        <v>0</v>
      </c>
      <c r="BN116" s="64">
        <f>SUM(RD[[#This Row],[33kV_OG1_O2RE9_Energy (KWh)]],RD[[#This Row],[33kV_OG2_O2RE19_Energy (KWh)]])</f>
        <v>0</v>
      </c>
      <c r="BO116" s="64">
        <f>IFERROR(RD[[#This Row],[ Export (33 kV)]]*(1-RD[[#This Row],[33 kV Line Loss (%)]]),RD[[#This Row],[ Export (33 kV)]])</f>
        <v>0</v>
      </c>
      <c r="BP116" s="216"/>
      <c r="BQ116" s="121"/>
      <c r="BR116" s="121"/>
      <c r="BS116" t="str">
        <f>IFERROR(RD[[#This Row],[E_AC (WPR)]]/RD[[#This Row],[E_DC (WPR)]],"")</f>
        <v/>
      </c>
    </row>
    <row r="117" spans="1:71">
      <c r="A117" s="147">
        <f t="shared" si="71"/>
        <v>45951</v>
      </c>
      <c r="B117" s="150">
        <f>YEAR(RD[[#This Row],[Date]])+IF(MONTH(RD[[#This Row],[Date]])&gt;=4,1,0)</f>
        <v>2026</v>
      </c>
      <c r="C117" s="150">
        <f>YEAR(RD[[#This Row],[Date]])</f>
        <v>2025</v>
      </c>
      <c r="D117" s="151">
        <f t="shared" si="70"/>
        <v>45931</v>
      </c>
      <c r="E117" s="150">
        <f>DAY(EOMONTH(RD[[#This Row],[Date]],0))</f>
        <v>31</v>
      </c>
      <c r="F117" s="121"/>
      <c r="G117" s="121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66"/>
      <c r="AF117" s="166"/>
      <c r="AG117" s="166"/>
      <c r="AH117" s="166"/>
      <c r="AI117" s="166"/>
      <c r="AJ117" s="166"/>
      <c r="AK117" s="166"/>
      <c r="AL117" s="166"/>
      <c r="AM117" s="59"/>
      <c r="AN117" s="59"/>
      <c r="AO117" s="59"/>
      <c r="AP117" s="59"/>
      <c r="AQ117" s="59"/>
      <c r="AR117" s="59"/>
      <c r="AS117" s="59"/>
      <c r="AT117" s="59"/>
      <c r="AU117" s="60">
        <f>SUM(RD[[#This Row],[IS2Inv1M1]:[IS4Inv1M3]])</f>
        <v>0</v>
      </c>
      <c r="AV117" s="60">
        <f>SUM(RD[[#This Row],[IS5Inv1M1]:[IS5Inv2M3]])</f>
        <v>0</v>
      </c>
      <c r="AW117" s="60">
        <f>SUM(RD[[#This Row],[O2RE9]:[O2RE192]])</f>
        <v>0</v>
      </c>
      <c r="AX117" s="152"/>
      <c r="AY117" s="152"/>
      <c r="AZ117" s="152"/>
      <c r="BA117" s="152"/>
      <c r="BB117" s="152"/>
      <c r="BC117" s="152"/>
      <c r="BD117" s="153" t="str">
        <f>IF((RD[[#This Row],[33 kV_F1_Ex (O2RE9)]]-AX116)*150000&lt;=0,"",(RD[[#This Row],[33 kV_F1_Ex (O2RE9)]]-AX116)*150000)</f>
        <v/>
      </c>
      <c r="BE117" s="153">
        <f>IF((RD[[#This Row],[33kV_OG1_Ex (O2RE9)]]-AY116)*1000&lt;=0,0,(RD[[#This Row],[33kV_OG1_Ex (O2RE9)]]-AY116)*1000)</f>
        <v>0</v>
      </c>
      <c r="BF117" s="153"/>
      <c r="BG117" s="153" t="str">
        <f>IF((RD[[#This Row],[33 kV_F2_Ex (O2RE19)]]-BA116)*150000&lt;=0,"",(RD[[#This Row],[33 kV_F2_Ex (O2RE19)]]-BA116)*150000)</f>
        <v/>
      </c>
      <c r="BH117" s="153">
        <f>IF((RD[[#This Row],[33kV_OG2_Ex (O2RE19)]]-BB116)*1000&lt;=0,0,(RD[[#This Row],[33kV_OG2_Ex (O2RE19)]]-BB116)*1000)</f>
        <v>0</v>
      </c>
      <c r="BI117" s="153">
        <f>IF((RD[[#This Row],[33kV_Aux2_Im (O2RE19)]]-BC116)*1000&lt;0,"",(RD[[#This Row],[33kV_Aux2_Im (O2RE19)]]-BC116)*1000)</f>
        <v>0</v>
      </c>
      <c r="BJ117" s="153">
        <f>IF((RD[[#This Row],[33kV_Aux1_Im (O2RE9)]]-AZ116)*1000&lt;0,"",(RD[[#This Row],[33kV_Aux1_Im (O2RE9)]]-AZ116)*1000)</f>
        <v>0</v>
      </c>
      <c r="BK117" s="153">
        <f>SUM(RD[[#This Row],[33kV_OG1_O2RE9_Energy (KWh)]],RD[[#This Row],[33kV_OG2_O2RE19_Energy (KWh)]])</f>
        <v>0</v>
      </c>
      <c r="BL117" s="62" t="str">
        <f>IFERROR(RD[[#This Row],[33 kV Total Export (KWH)]]/RD[[#This Row],[Inv Total Gneration (MWh)]]-1,"")</f>
        <v/>
      </c>
      <c r="BM117" s="63">
        <f>IFERROR((RD[[#This Row],[Sunset Time (POA&lt;20 W/m2)]]-RD[[#This Row],[Sunrise Time (POA&gt;20 W/m2)]])*24,0)</f>
        <v>0</v>
      </c>
      <c r="BN117" s="64">
        <f>SUM(RD[[#This Row],[33kV_OG1_O2RE9_Energy (KWh)]],RD[[#This Row],[33kV_OG2_O2RE19_Energy (KWh)]])</f>
        <v>0</v>
      </c>
      <c r="BO117" s="64">
        <f>IFERROR(RD[[#This Row],[ Export (33 kV)]]*(1-RD[[#This Row],[33 kV Line Loss (%)]]),RD[[#This Row],[ Export (33 kV)]])</f>
        <v>0</v>
      </c>
      <c r="BP117" s="216"/>
      <c r="BQ117" s="121"/>
      <c r="BR117" s="121"/>
      <c r="BS117" t="str">
        <f>IFERROR(RD[[#This Row],[E_AC (WPR)]]/RD[[#This Row],[E_DC (WPR)]],"")</f>
        <v/>
      </c>
    </row>
    <row r="118" spans="1:71">
      <c r="A118" s="147">
        <f t="shared" si="71"/>
        <v>45952</v>
      </c>
      <c r="B118" s="150">
        <f>YEAR(RD[[#This Row],[Date]])+IF(MONTH(RD[[#This Row],[Date]])&gt;=4,1,0)</f>
        <v>2026</v>
      </c>
      <c r="C118" s="150">
        <f>YEAR(RD[[#This Row],[Date]])</f>
        <v>2025</v>
      </c>
      <c r="D118" s="151">
        <f t="shared" si="70"/>
        <v>45931</v>
      </c>
      <c r="E118" s="150">
        <f>DAY(EOMONTH(RD[[#This Row],[Date]],0))</f>
        <v>31</v>
      </c>
      <c r="F118" s="121"/>
      <c r="G118" s="121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66"/>
      <c r="AF118" s="166"/>
      <c r="AG118" s="166"/>
      <c r="AH118" s="166"/>
      <c r="AI118" s="166"/>
      <c r="AJ118" s="166"/>
      <c r="AK118" s="166"/>
      <c r="AL118" s="166"/>
      <c r="AM118" s="59"/>
      <c r="AN118" s="59"/>
      <c r="AO118" s="59"/>
      <c r="AP118" s="59"/>
      <c r="AQ118" s="59"/>
      <c r="AR118" s="59"/>
      <c r="AS118" s="59"/>
      <c r="AT118" s="59"/>
      <c r="AU118" s="60">
        <f>SUM(RD[[#This Row],[IS2Inv1M1]:[IS4Inv1M3]])</f>
        <v>0</v>
      </c>
      <c r="AV118" s="60">
        <f>SUM(RD[[#This Row],[IS5Inv1M1]:[IS5Inv2M3]])</f>
        <v>0</v>
      </c>
      <c r="AW118" s="60">
        <f>SUM(RD[[#This Row],[O2RE9]:[O2RE192]])</f>
        <v>0</v>
      </c>
      <c r="AX118" s="152"/>
      <c r="AY118" s="152"/>
      <c r="AZ118" s="152"/>
      <c r="BA118" s="152"/>
      <c r="BB118" s="152"/>
      <c r="BC118" s="152"/>
      <c r="BD118" s="153" t="str">
        <f>IF((RD[[#This Row],[33 kV_F1_Ex (O2RE9)]]-AX117)*150000&lt;=0,"",(RD[[#This Row],[33 kV_F1_Ex (O2RE9)]]-AX117)*150000)</f>
        <v/>
      </c>
      <c r="BE118" s="153">
        <f>IF((RD[[#This Row],[33kV_OG1_Ex (O2RE9)]]-AY117)*1000&lt;=0,0,(RD[[#This Row],[33kV_OG1_Ex (O2RE9)]]-AY117)*1000)</f>
        <v>0</v>
      </c>
      <c r="BF118" s="153"/>
      <c r="BG118" s="153" t="str">
        <f>IF((RD[[#This Row],[33 kV_F2_Ex (O2RE19)]]-BA117)*150000&lt;=0,"",(RD[[#This Row],[33 kV_F2_Ex (O2RE19)]]-BA117)*150000)</f>
        <v/>
      </c>
      <c r="BH118" s="153">
        <f>IF((RD[[#This Row],[33kV_OG2_Ex (O2RE19)]]-BB117)*1000&lt;=0,0,(RD[[#This Row],[33kV_OG2_Ex (O2RE19)]]-BB117)*1000)</f>
        <v>0</v>
      </c>
      <c r="BI118" s="153">
        <f>IF((RD[[#This Row],[33kV_Aux2_Im (O2RE19)]]-BC117)*1000&lt;0,"",(RD[[#This Row],[33kV_Aux2_Im (O2RE19)]]-BC117)*1000)</f>
        <v>0</v>
      </c>
      <c r="BJ118" s="153">
        <f>IF((RD[[#This Row],[33kV_Aux1_Im (O2RE9)]]-AZ117)*1000&lt;0,"",(RD[[#This Row],[33kV_Aux1_Im (O2RE9)]]-AZ117)*1000)</f>
        <v>0</v>
      </c>
      <c r="BK118" s="153">
        <f>SUM(RD[[#This Row],[33kV_OG1_O2RE9_Energy (KWh)]],RD[[#This Row],[33kV_OG2_O2RE19_Energy (KWh)]])</f>
        <v>0</v>
      </c>
      <c r="BL118" s="62" t="str">
        <f>IFERROR(RD[[#This Row],[33 kV Total Export (KWH)]]/RD[[#This Row],[Inv Total Gneration (MWh)]]-1,"")</f>
        <v/>
      </c>
      <c r="BM118" s="63">
        <f>IFERROR((RD[[#This Row],[Sunset Time (POA&lt;20 W/m2)]]-RD[[#This Row],[Sunrise Time (POA&gt;20 W/m2)]])*24,0)</f>
        <v>0</v>
      </c>
      <c r="BN118" s="64">
        <f>SUM(RD[[#This Row],[33kV_OG1_O2RE9_Energy (KWh)]],RD[[#This Row],[33kV_OG2_O2RE19_Energy (KWh)]])</f>
        <v>0</v>
      </c>
      <c r="BO118" s="64">
        <f>IFERROR(RD[[#This Row],[ Export (33 kV)]]*(1-RD[[#This Row],[33 kV Line Loss (%)]]),RD[[#This Row],[ Export (33 kV)]])</f>
        <v>0</v>
      </c>
      <c r="BP118" s="216"/>
      <c r="BQ118" s="121"/>
      <c r="BR118" s="121"/>
      <c r="BS118" t="str">
        <f>IFERROR(RD[[#This Row],[E_AC (WPR)]]/RD[[#This Row],[E_DC (WPR)]],"")</f>
        <v/>
      </c>
    </row>
    <row r="119" spans="1:71">
      <c r="A119" s="147">
        <f t="shared" si="71"/>
        <v>45953</v>
      </c>
      <c r="B119" s="150">
        <f>YEAR(RD[[#This Row],[Date]])+IF(MONTH(RD[[#This Row],[Date]])&gt;=4,1,0)</f>
        <v>2026</v>
      </c>
      <c r="C119" s="150">
        <f>YEAR(RD[[#This Row],[Date]])</f>
        <v>2025</v>
      </c>
      <c r="D119" s="151">
        <f t="shared" si="70"/>
        <v>45931</v>
      </c>
      <c r="E119" s="150">
        <f>DAY(EOMONTH(RD[[#This Row],[Date]],0))</f>
        <v>31</v>
      </c>
      <c r="F119" s="121"/>
      <c r="G119" s="121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66"/>
      <c r="AF119" s="166"/>
      <c r="AG119" s="166"/>
      <c r="AH119" s="166"/>
      <c r="AI119" s="166"/>
      <c r="AJ119" s="166"/>
      <c r="AK119" s="166"/>
      <c r="AL119" s="166"/>
      <c r="AM119" s="59"/>
      <c r="AN119" s="59"/>
      <c r="AO119" s="59"/>
      <c r="AP119" s="59"/>
      <c r="AQ119" s="59"/>
      <c r="AR119" s="59"/>
      <c r="AS119" s="59"/>
      <c r="AT119" s="59"/>
      <c r="AU119" s="60">
        <f>SUM(RD[[#This Row],[IS2Inv1M1]:[IS4Inv1M3]])</f>
        <v>0</v>
      </c>
      <c r="AV119" s="60">
        <f>SUM(RD[[#This Row],[IS5Inv1M1]:[IS5Inv2M3]])</f>
        <v>0</v>
      </c>
      <c r="AW119" s="60">
        <f>SUM(RD[[#This Row],[O2RE9]:[O2RE192]])</f>
        <v>0</v>
      </c>
      <c r="AX119" s="152"/>
      <c r="AY119" s="152"/>
      <c r="AZ119" s="152"/>
      <c r="BA119" s="152"/>
      <c r="BB119" s="152"/>
      <c r="BC119" s="152"/>
      <c r="BD119" s="153" t="str">
        <f>IF((RD[[#This Row],[33 kV_F1_Ex (O2RE9)]]-AX118)*150000&lt;=0,"",(RD[[#This Row],[33 kV_F1_Ex (O2RE9)]]-AX118)*150000)</f>
        <v/>
      </c>
      <c r="BE119" s="153">
        <f>IF((RD[[#This Row],[33kV_OG1_Ex (O2RE9)]]-AY118)*1000&lt;=0,0,(RD[[#This Row],[33kV_OG1_Ex (O2RE9)]]-AY118)*1000)</f>
        <v>0</v>
      </c>
      <c r="BF119" s="153"/>
      <c r="BG119" s="153" t="str">
        <f>IF((RD[[#This Row],[33 kV_F2_Ex (O2RE19)]]-BA118)*150000&lt;=0,"",(RD[[#This Row],[33 kV_F2_Ex (O2RE19)]]-BA118)*150000)</f>
        <v/>
      </c>
      <c r="BH119" s="153">
        <f>IF((RD[[#This Row],[33kV_OG2_Ex (O2RE19)]]-BB118)*1000&lt;=0,0,(RD[[#This Row],[33kV_OG2_Ex (O2RE19)]]-BB118)*1000)</f>
        <v>0</v>
      </c>
      <c r="BI119" s="153">
        <f>IF((RD[[#This Row],[33kV_Aux2_Im (O2RE19)]]-BC118)*1000&lt;0,"",(RD[[#This Row],[33kV_Aux2_Im (O2RE19)]]-BC118)*1000)</f>
        <v>0</v>
      </c>
      <c r="BJ119" s="153">
        <f>IF((RD[[#This Row],[33kV_Aux1_Im (O2RE9)]]-AZ118)*1000&lt;0,"",(RD[[#This Row],[33kV_Aux1_Im (O2RE9)]]-AZ118)*1000)</f>
        <v>0</v>
      </c>
      <c r="BK119" s="153">
        <f>SUM(RD[[#This Row],[33kV_OG1_O2RE9_Energy (KWh)]],RD[[#This Row],[33kV_OG2_O2RE19_Energy (KWh)]])</f>
        <v>0</v>
      </c>
      <c r="BL119" s="62" t="str">
        <f>IFERROR(RD[[#This Row],[33 kV Total Export (KWH)]]/RD[[#This Row],[Inv Total Gneration (MWh)]]-1,"")</f>
        <v/>
      </c>
      <c r="BM119" s="63">
        <f>IFERROR((RD[[#This Row],[Sunset Time (POA&lt;20 W/m2)]]-RD[[#This Row],[Sunrise Time (POA&gt;20 W/m2)]])*24,0)</f>
        <v>0</v>
      </c>
      <c r="BN119" s="64">
        <f>SUM(RD[[#This Row],[33kV_OG1_O2RE9_Energy (KWh)]],RD[[#This Row],[33kV_OG2_O2RE19_Energy (KWh)]])</f>
        <v>0</v>
      </c>
      <c r="BO119" s="64">
        <f>IFERROR(RD[[#This Row],[ Export (33 kV)]]*(1-RD[[#This Row],[33 kV Line Loss (%)]]),RD[[#This Row],[ Export (33 kV)]])</f>
        <v>0</v>
      </c>
      <c r="BP119" s="216"/>
      <c r="BQ119" s="121"/>
      <c r="BR119" s="121"/>
      <c r="BS119" t="str">
        <f>IFERROR(RD[[#This Row],[E_AC (WPR)]]/RD[[#This Row],[E_DC (WPR)]],"")</f>
        <v/>
      </c>
    </row>
    <row r="120" spans="1:71">
      <c r="A120" s="147">
        <f t="shared" si="71"/>
        <v>45954</v>
      </c>
      <c r="B120" s="150">
        <f>YEAR(RD[[#This Row],[Date]])+IF(MONTH(RD[[#This Row],[Date]])&gt;=4,1,0)</f>
        <v>2026</v>
      </c>
      <c r="C120" s="150">
        <f>YEAR(RD[[#This Row],[Date]])</f>
        <v>2025</v>
      </c>
      <c r="D120" s="151">
        <f t="shared" si="70"/>
        <v>45931</v>
      </c>
      <c r="E120" s="150">
        <f>DAY(EOMONTH(RD[[#This Row],[Date]],0))</f>
        <v>31</v>
      </c>
      <c r="F120" s="121"/>
      <c r="G120" s="121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66"/>
      <c r="AF120" s="166"/>
      <c r="AG120" s="166"/>
      <c r="AH120" s="166"/>
      <c r="AI120" s="166"/>
      <c r="AJ120" s="166"/>
      <c r="AK120" s="166"/>
      <c r="AL120" s="166"/>
      <c r="AM120" s="59"/>
      <c r="AN120" s="59"/>
      <c r="AO120" s="59"/>
      <c r="AP120" s="59"/>
      <c r="AQ120" s="59"/>
      <c r="AR120" s="59"/>
      <c r="AS120" s="59"/>
      <c r="AT120" s="59"/>
      <c r="AU120" s="60">
        <f>SUM(RD[[#This Row],[IS2Inv1M1]:[IS4Inv1M3]])</f>
        <v>0</v>
      </c>
      <c r="AV120" s="60">
        <f>SUM(RD[[#This Row],[IS5Inv1M1]:[IS5Inv2M3]])</f>
        <v>0</v>
      </c>
      <c r="AW120" s="60">
        <f>SUM(RD[[#This Row],[O2RE9]:[O2RE192]])</f>
        <v>0</v>
      </c>
      <c r="AX120" s="152"/>
      <c r="AY120" s="152"/>
      <c r="AZ120" s="152"/>
      <c r="BA120" s="152"/>
      <c r="BB120" s="152"/>
      <c r="BC120" s="152"/>
      <c r="BD120" s="153" t="str">
        <f>IF((RD[[#This Row],[33 kV_F1_Ex (O2RE9)]]-AX119)*150000&lt;=0,"",(RD[[#This Row],[33 kV_F1_Ex (O2RE9)]]-AX119)*150000)</f>
        <v/>
      </c>
      <c r="BE120" s="153">
        <f>IF((RD[[#This Row],[33kV_OG1_Ex (O2RE9)]]-AY119)*1000&lt;=0,0,(RD[[#This Row],[33kV_OG1_Ex (O2RE9)]]-AY119)*1000)</f>
        <v>0</v>
      </c>
      <c r="BF120" s="153"/>
      <c r="BG120" s="153" t="str">
        <f>IF((RD[[#This Row],[33 kV_F2_Ex (O2RE19)]]-BA119)*150000&lt;=0,"",(RD[[#This Row],[33 kV_F2_Ex (O2RE19)]]-BA119)*150000)</f>
        <v/>
      </c>
      <c r="BH120" s="153">
        <f>IF((RD[[#This Row],[33kV_OG2_Ex (O2RE19)]]-BB119)*1000&lt;=0,0,(RD[[#This Row],[33kV_OG2_Ex (O2RE19)]]-BB119)*1000)</f>
        <v>0</v>
      </c>
      <c r="BI120" s="153">
        <f>IF((RD[[#This Row],[33kV_Aux2_Im (O2RE19)]]-BC119)*1000&lt;0,"",(RD[[#This Row],[33kV_Aux2_Im (O2RE19)]]-BC119)*1000)</f>
        <v>0</v>
      </c>
      <c r="BJ120" s="153">
        <f>IF((RD[[#This Row],[33kV_Aux1_Im (O2RE9)]]-AZ119)*1000&lt;0,"",(RD[[#This Row],[33kV_Aux1_Im (O2RE9)]]-AZ119)*1000)</f>
        <v>0</v>
      </c>
      <c r="BK120" s="153">
        <f>SUM(RD[[#This Row],[33kV_OG1_O2RE9_Energy (KWh)]],RD[[#This Row],[33kV_OG2_O2RE19_Energy (KWh)]])</f>
        <v>0</v>
      </c>
      <c r="BL120" s="62" t="str">
        <f>IFERROR(RD[[#This Row],[33 kV Total Export (KWH)]]/RD[[#This Row],[Inv Total Gneration (MWh)]]-1,"")</f>
        <v/>
      </c>
      <c r="BM120" s="63">
        <f>IFERROR((RD[[#This Row],[Sunset Time (POA&lt;20 W/m2)]]-RD[[#This Row],[Sunrise Time (POA&gt;20 W/m2)]])*24,0)</f>
        <v>0</v>
      </c>
      <c r="BN120" s="64">
        <f>SUM(RD[[#This Row],[33kV_OG1_O2RE9_Energy (KWh)]],RD[[#This Row],[33kV_OG2_O2RE19_Energy (KWh)]])</f>
        <v>0</v>
      </c>
      <c r="BO120" s="64">
        <f>IFERROR(RD[[#This Row],[ Export (33 kV)]]*(1-RD[[#This Row],[33 kV Line Loss (%)]]),RD[[#This Row],[ Export (33 kV)]])</f>
        <v>0</v>
      </c>
      <c r="BP120" s="216"/>
      <c r="BQ120" s="121"/>
      <c r="BR120" s="121"/>
      <c r="BS120" t="str">
        <f>IFERROR(RD[[#This Row],[E_AC (WPR)]]/RD[[#This Row],[E_DC (WPR)]],"")</f>
        <v/>
      </c>
    </row>
    <row r="121" spans="1:71">
      <c r="A121" s="147">
        <f t="shared" si="71"/>
        <v>45955</v>
      </c>
      <c r="B121" s="150">
        <f>YEAR(RD[[#This Row],[Date]])+IF(MONTH(RD[[#This Row],[Date]])&gt;=4,1,0)</f>
        <v>2026</v>
      </c>
      <c r="C121" s="150">
        <f>YEAR(RD[[#This Row],[Date]])</f>
        <v>2025</v>
      </c>
      <c r="D121" s="151">
        <f t="shared" si="70"/>
        <v>45931</v>
      </c>
      <c r="E121" s="150">
        <f>DAY(EOMONTH(RD[[#This Row],[Date]],0))</f>
        <v>31</v>
      </c>
      <c r="F121" s="121"/>
      <c r="G121" s="121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66"/>
      <c r="AF121" s="166"/>
      <c r="AG121" s="166"/>
      <c r="AH121" s="166"/>
      <c r="AI121" s="166"/>
      <c r="AJ121" s="166"/>
      <c r="AK121" s="166"/>
      <c r="AL121" s="166"/>
      <c r="AM121" s="59"/>
      <c r="AN121" s="59"/>
      <c r="AO121" s="59"/>
      <c r="AP121" s="59"/>
      <c r="AQ121" s="59"/>
      <c r="AR121" s="59"/>
      <c r="AS121" s="59"/>
      <c r="AT121" s="59"/>
      <c r="AU121" s="60">
        <f>SUM(RD[[#This Row],[IS2Inv1M1]:[IS4Inv1M3]])</f>
        <v>0</v>
      </c>
      <c r="AV121" s="60">
        <f>SUM(RD[[#This Row],[IS5Inv1M1]:[IS5Inv2M3]])</f>
        <v>0</v>
      </c>
      <c r="AW121" s="60">
        <f>SUM(RD[[#This Row],[O2RE9]:[O2RE192]])</f>
        <v>0</v>
      </c>
      <c r="AX121" s="152"/>
      <c r="AY121" s="152"/>
      <c r="AZ121" s="152"/>
      <c r="BA121" s="152"/>
      <c r="BB121" s="152"/>
      <c r="BC121" s="152"/>
      <c r="BD121" s="153" t="str">
        <f>IF((RD[[#This Row],[33 kV_F1_Ex (O2RE9)]]-AX120)*150000&lt;=0,"",(RD[[#This Row],[33 kV_F1_Ex (O2RE9)]]-AX120)*150000)</f>
        <v/>
      </c>
      <c r="BE121" s="153">
        <f>IF((RD[[#This Row],[33kV_OG1_Ex (O2RE9)]]-AY120)*1000&lt;=0,0,(RD[[#This Row],[33kV_OG1_Ex (O2RE9)]]-AY120)*1000)</f>
        <v>0</v>
      </c>
      <c r="BF121" s="153"/>
      <c r="BG121" s="153" t="str">
        <f>IF((RD[[#This Row],[33 kV_F2_Ex (O2RE19)]]-BA120)*150000&lt;=0,"",(RD[[#This Row],[33 kV_F2_Ex (O2RE19)]]-BA120)*150000)</f>
        <v/>
      </c>
      <c r="BH121" s="153">
        <f>IF((RD[[#This Row],[33kV_OG2_Ex (O2RE19)]]-BB120)*1000&lt;=0,0,(RD[[#This Row],[33kV_OG2_Ex (O2RE19)]]-BB120)*1000)</f>
        <v>0</v>
      </c>
      <c r="BI121" s="153">
        <f>IF((RD[[#This Row],[33kV_Aux2_Im (O2RE19)]]-BC120)*1000&lt;0,"",(RD[[#This Row],[33kV_Aux2_Im (O2RE19)]]-BC120)*1000)</f>
        <v>0</v>
      </c>
      <c r="BJ121" s="153">
        <f>IF((RD[[#This Row],[33kV_Aux1_Im (O2RE9)]]-AZ120)*1000&lt;0,"",(RD[[#This Row],[33kV_Aux1_Im (O2RE9)]]-AZ120)*1000)</f>
        <v>0</v>
      </c>
      <c r="BK121" s="153">
        <f>SUM(RD[[#This Row],[33kV_OG1_O2RE9_Energy (KWh)]],RD[[#This Row],[33kV_OG2_O2RE19_Energy (KWh)]])</f>
        <v>0</v>
      </c>
      <c r="BL121" s="62" t="str">
        <f>IFERROR(RD[[#This Row],[33 kV Total Export (KWH)]]/RD[[#This Row],[Inv Total Gneration (MWh)]]-1,"")</f>
        <v/>
      </c>
      <c r="BM121" s="63">
        <f>IFERROR((RD[[#This Row],[Sunset Time (POA&lt;20 W/m2)]]-RD[[#This Row],[Sunrise Time (POA&gt;20 W/m2)]])*24,0)</f>
        <v>0</v>
      </c>
      <c r="BN121" s="64">
        <f>SUM(RD[[#This Row],[33kV_OG1_O2RE9_Energy (KWh)]],RD[[#This Row],[33kV_OG2_O2RE19_Energy (KWh)]])</f>
        <v>0</v>
      </c>
      <c r="BO121" s="64">
        <f>IFERROR(RD[[#This Row],[ Export (33 kV)]]*(1-RD[[#This Row],[33 kV Line Loss (%)]]),RD[[#This Row],[ Export (33 kV)]])</f>
        <v>0</v>
      </c>
      <c r="BP121" s="216"/>
      <c r="BQ121" s="121"/>
      <c r="BR121" s="121"/>
      <c r="BS121" t="str">
        <f>IFERROR(RD[[#This Row],[E_AC (WPR)]]/RD[[#This Row],[E_DC (WPR)]],"")</f>
        <v/>
      </c>
    </row>
    <row r="122" spans="1:71">
      <c r="A122" s="147">
        <f t="shared" si="71"/>
        <v>45956</v>
      </c>
      <c r="B122" s="150">
        <f>YEAR(RD[[#This Row],[Date]])+IF(MONTH(RD[[#This Row],[Date]])&gt;=4,1,0)</f>
        <v>2026</v>
      </c>
      <c r="C122" s="150">
        <f>YEAR(RD[[#This Row],[Date]])</f>
        <v>2025</v>
      </c>
      <c r="D122" s="151">
        <f t="shared" si="70"/>
        <v>45931</v>
      </c>
      <c r="E122" s="150">
        <f>DAY(EOMONTH(RD[[#This Row],[Date]],0))</f>
        <v>31</v>
      </c>
      <c r="F122" s="121"/>
      <c r="G122" s="121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66"/>
      <c r="AF122" s="166"/>
      <c r="AG122" s="166"/>
      <c r="AH122" s="166"/>
      <c r="AI122" s="166"/>
      <c r="AJ122" s="166"/>
      <c r="AK122" s="166"/>
      <c r="AL122" s="166"/>
      <c r="AM122" s="59"/>
      <c r="AN122" s="59"/>
      <c r="AO122" s="59"/>
      <c r="AP122" s="59"/>
      <c r="AQ122" s="59"/>
      <c r="AR122" s="59"/>
      <c r="AS122" s="59"/>
      <c r="AT122" s="59"/>
      <c r="AU122" s="60">
        <f>SUM(RD[[#This Row],[IS2Inv1M1]:[IS4Inv1M3]])</f>
        <v>0</v>
      </c>
      <c r="AV122" s="60">
        <f>SUM(RD[[#This Row],[IS5Inv1M1]:[IS5Inv2M3]])</f>
        <v>0</v>
      </c>
      <c r="AW122" s="60">
        <f>SUM(RD[[#This Row],[O2RE9]:[O2RE192]])</f>
        <v>0</v>
      </c>
      <c r="AX122" s="152"/>
      <c r="AY122" s="152"/>
      <c r="AZ122" s="152"/>
      <c r="BA122" s="152"/>
      <c r="BB122" s="152"/>
      <c r="BC122" s="152"/>
      <c r="BD122" s="153" t="str">
        <f>IF((RD[[#This Row],[33 kV_F1_Ex (O2RE9)]]-AX121)*150000&lt;=0,"",(RD[[#This Row],[33 kV_F1_Ex (O2RE9)]]-AX121)*150000)</f>
        <v/>
      </c>
      <c r="BE122" s="153">
        <f>IF((RD[[#This Row],[33kV_OG1_Ex (O2RE9)]]-AY121)*1000&lt;=0,0,(RD[[#This Row],[33kV_OG1_Ex (O2RE9)]]-AY121)*1000)</f>
        <v>0</v>
      </c>
      <c r="BF122" s="153"/>
      <c r="BG122" s="153" t="str">
        <f>IF((RD[[#This Row],[33 kV_F2_Ex (O2RE19)]]-BA121)*150000&lt;=0,"",(RD[[#This Row],[33 kV_F2_Ex (O2RE19)]]-BA121)*150000)</f>
        <v/>
      </c>
      <c r="BH122" s="153">
        <f>IF((RD[[#This Row],[33kV_OG2_Ex (O2RE19)]]-BB121)*1000&lt;=0,0,(RD[[#This Row],[33kV_OG2_Ex (O2RE19)]]-BB121)*1000)</f>
        <v>0</v>
      </c>
      <c r="BI122" s="153">
        <f>IF((RD[[#This Row],[33kV_Aux2_Im (O2RE19)]]-BC121)*1000&lt;0,"",(RD[[#This Row],[33kV_Aux2_Im (O2RE19)]]-BC121)*1000)</f>
        <v>0</v>
      </c>
      <c r="BJ122" s="153">
        <f>IF((RD[[#This Row],[33kV_Aux1_Im (O2RE9)]]-AZ121)*1000&lt;0,"",(RD[[#This Row],[33kV_Aux1_Im (O2RE9)]]-AZ121)*1000)</f>
        <v>0</v>
      </c>
      <c r="BK122" s="153">
        <f>SUM(RD[[#This Row],[33kV_OG1_O2RE9_Energy (KWh)]],RD[[#This Row],[33kV_OG2_O2RE19_Energy (KWh)]])</f>
        <v>0</v>
      </c>
      <c r="BL122" s="62" t="str">
        <f>IFERROR(RD[[#This Row],[33 kV Total Export (KWH)]]/RD[[#This Row],[Inv Total Gneration (MWh)]]-1,"")</f>
        <v/>
      </c>
      <c r="BM122" s="63">
        <f>IFERROR((RD[[#This Row],[Sunset Time (POA&lt;20 W/m2)]]-RD[[#This Row],[Sunrise Time (POA&gt;20 W/m2)]])*24,0)</f>
        <v>0</v>
      </c>
      <c r="BN122" s="64">
        <f>SUM(RD[[#This Row],[33kV_OG1_O2RE9_Energy (KWh)]],RD[[#This Row],[33kV_OG2_O2RE19_Energy (KWh)]])</f>
        <v>0</v>
      </c>
      <c r="BO122" s="64">
        <f>IFERROR(RD[[#This Row],[ Export (33 kV)]]*(1-RD[[#This Row],[33 kV Line Loss (%)]]),RD[[#This Row],[ Export (33 kV)]])</f>
        <v>0</v>
      </c>
      <c r="BP122" s="216"/>
      <c r="BQ122" s="121"/>
      <c r="BR122" s="121"/>
      <c r="BS122" t="str">
        <f>IFERROR(RD[[#This Row],[E_AC (WPR)]]/RD[[#This Row],[E_DC (WPR)]],"")</f>
        <v/>
      </c>
    </row>
    <row r="123" spans="1:71">
      <c r="A123" s="147">
        <f t="shared" si="71"/>
        <v>45957</v>
      </c>
      <c r="B123" s="150">
        <f>YEAR(RD[[#This Row],[Date]])+IF(MONTH(RD[[#This Row],[Date]])&gt;=4,1,0)</f>
        <v>2026</v>
      </c>
      <c r="C123" s="150">
        <f>YEAR(RD[[#This Row],[Date]])</f>
        <v>2025</v>
      </c>
      <c r="D123" s="151">
        <f t="shared" si="70"/>
        <v>45931</v>
      </c>
      <c r="E123" s="150">
        <f>DAY(EOMONTH(RD[[#This Row],[Date]],0))</f>
        <v>31</v>
      </c>
      <c r="F123" s="121"/>
      <c r="G123" s="121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66"/>
      <c r="AF123" s="166"/>
      <c r="AG123" s="166"/>
      <c r="AH123" s="166"/>
      <c r="AI123" s="166"/>
      <c r="AJ123" s="166"/>
      <c r="AK123" s="166"/>
      <c r="AL123" s="166"/>
      <c r="AM123" s="59"/>
      <c r="AN123" s="59"/>
      <c r="AO123" s="59"/>
      <c r="AP123" s="59"/>
      <c r="AQ123" s="59"/>
      <c r="AR123" s="59"/>
      <c r="AS123" s="59"/>
      <c r="AT123" s="59"/>
      <c r="AU123" s="60">
        <f>SUM(RD[[#This Row],[IS2Inv1M1]:[IS4Inv1M3]])</f>
        <v>0</v>
      </c>
      <c r="AV123" s="60">
        <f>SUM(RD[[#This Row],[IS5Inv1M1]:[IS5Inv2M3]])</f>
        <v>0</v>
      </c>
      <c r="AW123" s="60">
        <f>SUM(RD[[#This Row],[O2RE9]:[O2RE192]])</f>
        <v>0</v>
      </c>
      <c r="AX123" s="152"/>
      <c r="AY123" s="152"/>
      <c r="AZ123" s="152"/>
      <c r="BA123" s="152"/>
      <c r="BB123" s="152"/>
      <c r="BC123" s="152"/>
      <c r="BD123" s="153" t="str">
        <f>IF((RD[[#This Row],[33 kV_F1_Ex (O2RE9)]]-AX122)*150000&lt;=0,"",(RD[[#This Row],[33 kV_F1_Ex (O2RE9)]]-AX122)*150000)</f>
        <v/>
      </c>
      <c r="BE123" s="153">
        <f>IF((RD[[#This Row],[33kV_OG1_Ex (O2RE9)]]-AY122)*1000&lt;=0,0,(RD[[#This Row],[33kV_OG1_Ex (O2RE9)]]-AY122)*1000)</f>
        <v>0</v>
      </c>
      <c r="BF123" s="153"/>
      <c r="BG123" s="153" t="str">
        <f>IF((RD[[#This Row],[33 kV_F2_Ex (O2RE19)]]-BA122)*150000&lt;=0,"",(RD[[#This Row],[33 kV_F2_Ex (O2RE19)]]-BA122)*150000)</f>
        <v/>
      </c>
      <c r="BH123" s="153">
        <f>IF((RD[[#This Row],[33kV_OG2_Ex (O2RE19)]]-BB122)*1000&lt;=0,0,(RD[[#This Row],[33kV_OG2_Ex (O2RE19)]]-BB122)*1000)</f>
        <v>0</v>
      </c>
      <c r="BI123" s="153">
        <f>IF((RD[[#This Row],[33kV_Aux2_Im (O2RE19)]]-BC122)*1000&lt;0,"",(RD[[#This Row],[33kV_Aux2_Im (O2RE19)]]-BC122)*1000)</f>
        <v>0</v>
      </c>
      <c r="BJ123" s="153">
        <f>IF((RD[[#This Row],[33kV_Aux1_Im (O2RE9)]]-AZ122)*1000&lt;0,"",(RD[[#This Row],[33kV_Aux1_Im (O2RE9)]]-AZ122)*1000)</f>
        <v>0</v>
      </c>
      <c r="BK123" s="153">
        <f>SUM(RD[[#This Row],[33kV_OG1_O2RE9_Energy (KWh)]],RD[[#This Row],[33kV_OG2_O2RE19_Energy (KWh)]])</f>
        <v>0</v>
      </c>
      <c r="BL123" s="62" t="str">
        <f>IFERROR(RD[[#This Row],[33 kV Total Export (KWH)]]/RD[[#This Row],[Inv Total Gneration (MWh)]]-1,"")</f>
        <v/>
      </c>
      <c r="BM123" s="63">
        <f>IFERROR((RD[[#This Row],[Sunset Time (POA&lt;20 W/m2)]]-RD[[#This Row],[Sunrise Time (POA&gt;20 W/m2)]])*24,0)</f>
        <v>0</v>
      </c>
      <c r="BN123" s="64">
        <f>SUM(RD[[#This Row],[33kV_OG1_O2RE9_Energy (KWh)]],RD[[#This Row],[33kV_OG2_O2RE19_Energy (KWh)]])</f>
        <v>0</v>
      </c>
      <c r="BO123" s="64">
        <f>IFERROR(RD[[#This Row],[ Export (33 kV)]]*(1-RD[[#This Row],[33 kV Line Loss (%)]]),RD[[#This Row],[ Export (33 kV)]])</f>
        <v>0</v>
      </c>
      <c r="BP123" s="216"/>
      <c r="BQ123" s="121"/>
      <c r="BR123" s="121"/>
      <c r="BS123" t="str">
        <f>IFERROR(RD[[#This Row],[E_AC (WPR)]]/RD[[#This Row],[E_DC (WPR)]],"")</f>
        <v/>
      </c>
    </row>
    <row r="124" spans="1:71">
      <c r="A124" s="147">
        <f t="shared" si="71"/>
        <v>45958</v>
      </c>
      <c r="B124" s="150">
        <f>YEAR(RD[[#This Row],[Date]])+IF(MONTH(RD[[#This Row],[Date]])&gt;=4,1,0)</f>
        <v>2026</v>
      </c>
      <c r="C124" s="150">
        <f>YEAR(RD[[#This Row],[Date]])</f>
        <v>2025</v>
      </c>
      <c r="D124" s="151">
        <f t="shared" si="70"/>
        <v>45931</v>
      </c>
      <c r="E124" s="150">
        <f>DAY(EOMONTH(RD[[#This Row],[Date]],0))</f>
        <v>31</v>
      </c>
      <c r="F124" s="121"/>
      <c r="G124" s="121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66"/>
      <c r="AF124" s="166"/>
      <c r="AG124" s="166"/>
      <c r="AH124" s="166"/>
      <c r="AI124" s="166"/>
      <c r="AJ124" s="166"/>
      <c r="AK124" s="166"/>
      <c r="AL124" s="166"/>
      <c r="AM124" s="59"/>
      <c r="AN124" s="59"/>
      <c r="AO124" s="59"/>
      <c r="AP124" s="59"/>
      <c r="AQ124" s="59"/>
      <c r="AR124" s="59"/>
      <c r="AS124" s="59"/>
      <c r="AT124" s="59"/>
      <c r="AU124" s="60">
        <f>SUM(RD[[#This Row],[IS2Inv1M1]:[IS4Inv1M3]])</f>
        <v>0</v>
      </c>
      <c r="AV124" s="60">
        <f>SUM(RD[[#This Row],[IS5Inv1M1]:[IS5Inv2M3]])</f>
        <v>0</v>
      </c>
      <c r="AW124" s="60">
        <f>SUM(RD[[#This Row],[O2RE9]:[O2RE192]])</f>
        <v>0</v>
      </c>
      <c r="AX124" s="152"/>
      <c r="AY124" s="152"/>
      <c r="AZ124" s="152"/>
      <c r="BA124" s="152"/>
      <c r="BB124" s="152"/>
      <c r="BC124" s="152"/>
      <c r="BD124" s="153" t="str">
        <f>IF((RD[[#This Row],[33 kV_F1_Ex (O2RE9)]]-AX123)*150000&lt;=0,"",(RD[[#This Row],[33 kV_F1_Ex (O2RE9)]]-AX123)*150000)</f>
        <v/>
      </c>
      <c r="BE124" s="153">
        <f>IF((RD[[#This Row],[33kV_OG1_Ex (O2RE9)]]-AY123)*1000&lt;=0,0,(RD[[#This Row],[33kV_OG1_Ex (O2RE9)]]-AY123)*1000)</f>
        <v>0</v>
      </c>
      <c r="BF124" s="153"/>
      <c r="BG124" s="153" t="str">
        <f>IF((RD[[#This Row],[33 kV_F2_Ex (O2RE19)]]-BA123)*150000&lt;=0,"",(RD[[#This Row],[33 kV_F2_Ex (O2RE19)]]-BA123)*150000)</f>
        <v/>
      </c>
      <c r="BH124" s="153">
        <f>IF((RD[[#This Row],[33kV_OG2_Ex (O2RE19)]]-BB123)*1000&lt;=0,0,(RD[[#This Row],[33kV_OG2_Ex (O2RE19)]]-BB123)*1000)</f>
        <v>0</v>
      </c>
      <c r="BI124" s="153">
        <f>IF((RD[[#This Row],[33kV_Aux2_Im (O2RE19)]]-BC123)*1000&lt;0,"",(RD[[#This Row],[33kV_Aux2_Im (O2RE19)]]-BC123)*1000)</f>
        <v>0</v>
      </c>
      <c r="BJ124" s="153">
        <f>IF((RD[[#This Row],[33kV_Aux1_Im (O2RE9)]]-AZ123)*1000&lt;0,"",(RD[[#This Row],[33kV_Aux1_Im (O2RE9)]]-AZ123)*1000)</f>
        <v>0</v>
      </c>
      <c r="BK124" s="153">
        <f>SUM(RD[[#This Row],[33kV_OG1_O2RE9_Energy (KWh)]],RD[[#This Row],[33kV_OG2_O2RE19_Energy (KWh)]])</f>
        <v>0</v>
      </c>
      <c r="BL124" s="62" t="str">
        <f>IFERROR(RD[[#This Row],[33 kV Total Export (KWH)]]/RD[[#This Row],[Inv Total Gneration (MWh)]]-1,"")</f>
        <v/>
      </c>
      <c r="BM124" s="63">
        <f>IFERROR((RD[[#This Row],[Sunset Time (POA&lt;20 W/m2)]]-RD[[#This Row],[Sunrise Time (POA&gt;20 W/m2)]])*24,0)</f>
        <v>0</v>
      </c>
      <c r="BN124" s="64">
        <f>SUM(RD[[#This Row],[33kV_OG1_O2RE9_Energy (KWh)]],RD[[#This Row],[33kV_OG2_O2RE19_Energy (KWh)]])</f>
        <v>0</v>
      </c>
      <c r="BO124" s="64">
        <f>IFERROR(RD[[#This Row],[ Export (33 kV)]]*(1-RD[[#This Row],[33 kV Line Loss (%)]]),RD[[#This Row],[ Export (33 kV)]])</f>
        <v>0</v>
      </c>
      <c r="BP124" s="216"/>
      <c r="BQ124" s="121"/>
      <c r="BR124" s="121"/>
      <c r="BS124" t="str">
        <f>IFERROR(RD[[#This Row],[E_AC (WPR)]]/RD[[#This Row],[E_DC (WPR)]],"")</f>
        <v/>
      </c>
    </row>
    <row r="125" spans="1:71">
      <c r="A125" s="147">
        <f t="shared" si="71"/>
        <v>45959</v>
      </c>
      <c r="B125" s="150">
        <f>YEAR(RD[[#This Row],[Date]])+IF(MONTH(RD[[#This Row],[Date]])&gt;=4,1,0)</f>
        <v>2026</v>
      </c>
      <c r="C125" s="150">
        <f>YEAR(RD[[#This Row],[Date]])</f>
        <v>2025</v>
      </c>
      <c r="D125" s="151">
        <f t="shared" si="70"/>
        <v>45931</v>
      </c>
      <c r="E125" s="150">
        <f>DAY(EOMONTH(RD[[#This Row],[Date]],0))</f>
        <v>31</v>
      </c>
      <c r="F125" s="121"/>
      <c r="G125" s="121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66"/>
      <c r="AF125" s="166"/>
      <c r="AG125" s="166"/>
      <c r="AH125" s="166"/>
      <c r="AI125" s="166"/>
      <c r="AJ125" s="166"/>
      <c r="AK125" s="166"/>
      <c r="AL125" s="166"/>
      <c r="AM125" s="59"/>
      <c r="AN125" s="59"/>
      <c r="AO125" s="59"/>
      <c r="AP125" s="59"/>
      <c r="AQ125" s="59"/>
      <c r="AR125" s="59"/>
      <c r="AS125" s="59"/>
      <c r="AT125" s="59"/>
      <c r="AU125" s="60">
        <f>SUM(RD[[#This Row],[IS2Inv1M1]:[IS4Inv1M3]])</f>
        <v>0</v>
      </c>
      <c r="AV125" s="60">
        <f>SUM(RD[[#This Row],[IS5Inv1M1]:[IS5Inv2M3]])</f>
        <v>0</v>
      </c>
      <c r="AW125" s="60">
        <f>SUM(RD[[#This Row],[O2RE9]:[O2RE192]])</f>
        <v>0</v>
      </c>
      <c r="AX125" s="152"/>
      <c r="AY125" s="152"/>
      <c r="AZ125" s="152"/>
      <c r="BA125" s="152"/>
      <c r="BB125" s="152"/>
      <c r="BC125" s="152"/>
      <c r="BD125" s="153" t="str">
        <f>IF((RD[[#This Row],[33 kV_F1_Ex (O2RE9)]]-AX124)*150000&lt;=0,"",(RD[[#This Row],[33 kV_F1_Ex (O2RE9)]]-AX124)*150000)</f>
        <v/>
      </c>
      <c r="BE125" s="153">
        <f>IF((RD[[#This Row],[33kV_OG1_Ex (O2RE9)]]-AY124)*1000&lt;=0,0,(RD[[#This Row],[33kV_OG1_Ex (O2RE9)]]-AY124)*1000)</f>
        <v>0</v>
      </c>
      <c r="BF125" s="153"/>
      <c r="BG125" s="153" t="str">
        <f>IF((RD[[#This Row],[33 kV_F2_Ex (O2RE19)]]-BA124)*150000&lt;=0,"",(RD[[#This Row],[33 kV_F2_Ex (O2RE19)]]-BA124)*150000)</f>
        <v/>
      </c>
      <c r="BH125" s="153">
        <f>IF((RD[[#This Row],[33kV_OG2_Ex (O2RE19)]]-BB124)*1000&lt;=0,0,(RD[[#This Row],[33kV_OG2_Ex (O2RE19)]]-BB124)*1000)</f>
        <v>0</v>
      </c>
      <c r="BI125" s="153">
        <f>IF((RD[[#This Row],[33kV_Aux2_Im (O2RE19)]]-BC124)*1000&lt;0,"",(RD[[#This Row],[33kV_Aux2_Im (O2RE19)]]-BC124)*1000)</f>
        <v>0</v>
      </c>
      <c r="BJ125" s="153">
        <f>IF((RD[[#This Row],[33kV_Aux1_Im (O2RE9)]]-AZ124)*1000&lt;0,"",(RD[[#This Row],[33kV_Aux1_Im (O2RE9)]]-AZ124)*1000)</f>
        <v>0</v>
      </c>
      <c r="BK125" s="153">
        <f>SUM(RD[[#This Row],[33kV_OG1_O2RE9_Energy (KWh)]],RD[[#This Row],[33kV_OG2_O2RE19_Energy (KWh)]])</f>
        <v>0</v>
      </c>
      <c r="BL125" s="62" t="str">
        <f>IFERROR(RD[[#This Row],[33 kV Total Export (KWH)]]/RD[[#This Row],[Inv Total Gneration (MWh)]]-1,"")</f>
        <v/>
      </c>
      <c r="BM125" s="63">
        <f>IFERROR((RD[[#This Row],[Sunset Time (POA&lt;20 W/m2)]]-RD[[#This Row],[Sunrise Time (POA&gt;20 W/m2)]])*24,0)</f>
        <v>0</v>
      </c>
      <c r="BN125" s="64">
        <f>SUM(RD[[#This Row],[33kV_OG1_O2RE9_Energy (KWh)]],RD[[#This Row],[33kV_OG2_O2RE19_Energy (KWh)]])</f>
        <v>0</v>
      </c>
      <c r="BO125" s="64">
        <f>IFERROR(RD[[#This Row],[ Export (33 kV)]]*(1-RD[[#This Row],[33 kV Line Loss (%)]]),RD[[#This Row],[ Export (33 kV)]])</f>
        <v>0</v>
      </c>
      <c r="BP125" s="216"/>
      <c r="BQ125" s="121"/>
      <c r="BR125" s="121"/>
      <c r="BS125" t="str">
        <f>IFERROR(RD[[#This Row],[E_AC (WPR)]]/RD[[#This Row],[E_DC (WPR)]],"")</f>
        <v/>
      </c>
    </row>
    <row r="126" spans="1:71">
      <c r="A126" s="147">
        <f t="shared" si="71"/>
        <v>45960</v>
      </c>
      <c r="B126" s="150">
        <f>YEAR(RD[[#This Row],[Date]])+IF(MONTH(RD[[#This Row],[Date]])&gt;=4,1,0)</f>
        <v>2026</v>
      </c>
      <c r="C126" s="150">
        <f>YEAR(RD[[#This Row],[Date]])</f>
        <v>2025</v>
      </c>
      <c r="D126" s="151">
        <f t="shared" si="70"/>
        <v>45931</v>
      </c>
      <c r="E126" s="150">
        <f>DAY(EOMONTH(RD[[#This Row],[Date]],0))</f>
        <v>31</v>
      </c>
      <c r="F126" s="121"/>
      <c r="G126" s="121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66"/>
      <c r="AF126" s="166"/>
      <c r="AG126" s="166"/>
      <c r="AH126" s="166"/>
      <c r="AI126" s="166"/>
      <c r="AJ126" s="166"/>
      <c r="AK126" s="166"/>
      <c r="AL126" s="166"/>
      <c r="AM126" s="59"/>
      <c r="AN126" s="59"/>
      <c r="AO126" s="59"/>
      <c r="AP126" s="59"/>
      <c r="AQ126" s="59"/>
      <c r="AR126" s="59"/>
      <c r="AS126" s="59"/>
      <c r="AT126" s="59"/>
      <c r="AU126" s="60">
        <f>SUM(RD[[#This Row],[IS2Inv1M1]:[IS4Inv1M3]])</f>
        <v>0</v>
      </c>
      <c r="AV126" s="60">
        <f>SUM(RD[[#This Row],[IS5Inv1M1]:[IS5Inv2M3]])</f>
        <v>0</v>
      </c>
      <c r="AW126" s="60">
        <f>SUM(RD[[#This Row],[O2RE9]:[O2RE192]])</f>
        <v>0</v>
      </c>
      <c r="AX126" s="152"/>
      <c r="AY126" s="152"/>
      <c r="AZ126" s="152"/>
      <c r="BA126" s="152"/>
      <c r="BB126" s="152"/>
      <c r="BC126" s="152"/>
      <c r="BD126" s="153" t="str">
        <f>IF((RD[[#This Row],[33 kV_F1_Ex (O2RE9)]]-AX125)*150000&lt;=0,"",(RD[[#This Row],[33 kV_F1_Ex (O2RE9)]]-AX125)*150000)</f>
        <v/>
      </c>
      <c r="BE126" s="153">
        <f>IF((RD[[#This Row],[33kV_OG1_Ex (O2RE9)]]-AY125)*1000&lt;=0,0,(RD[[#This Row],[33kV_OG1_Ex (O2RE9)]]-AY125)*1000)</f>
        <v>0</v>
      </c>
      <c r="BF126" s="153"/>
      <c r="BG126" s="153" t="str">
        <f>IF((RD[[#This Row],[33 kV_F2_Ex (O2RE19)]]-BA125)*150000&lt;=0,"",(RD[[#This Row],[33 kV_F2_Ex (O2RE19)]]-BA125)*150000)</f>
        <v/>
      </c>
      <c r="BH126" s="153">
        <f>IF((RD[[#This Row],[33kV_OG2_Ex (O2RE19)]]-BB125)*1000&lt;=0,0,(RD[[#This Row],[33kV_OG2_Ex (O2RE19)]]-BB125)*1000)</f>
        <v>0</v>
      </c>
      <c r="BI126" s="153">
        <f>IF((RD[[#This Row],[33kV_Aux2_Im (O2RE19)]]-BC125)*1000&lt;0,"",(RD[[#This Row],[33kV_Aux2_Im (O2RE19)]]-BC125)*1000)</f>
        <v>0</v>
      </c>
      <c r="BJ126" s="153">
        <f>IF((RD[[#This Row],[33kV_Aux1_Im (O2RE9)]]-AZ125)*1000&lt;0,"",(RD[[#This Row],[33kV_Aux1_Im (O2RE9)]]-AZ125)*1000)</f>
        <v>0</v>
      </c>
      <c r="BK126" s="153">
        <f>SUM(RD[[#This Row],[33kV_OG1_O2RE9_Energy (KWh)]],RD[[#This Row],[33kV_OG2_O2RE19_Energy (KWh)]])</f>
        <v>0</v>
      </c>
      <c r="BL126" s="62" t="str">
        <f>IFERROR(RD[[#This Row],[33 kV Total Export (KWH)]]/RD[[#This Row],[Inv Total Gneration (MWh)]]-1,"")</f>
        <v/>
      </c>
      <c r="BM126" s="63">
        <f>IFERROR((RD[[#This Row],[Sunset Time (POA&lt;20 W/m2)]]-RD[[#This Row],[Sunrise Time (POA&gt;20 W/m2)]])*24,0)</f>
        <v>0</v>
      </c>
      <c r="BN126" s="64">
        <f>SUM(RD[[#This Row],[33kV_OG1_O2RE9_Energy (KWh)]],RD[[#This Row],[33kV_OG2_O2RE19_Energy (KWh)]])</f>
        <v>0</v>
      </c>
      <c r="BO126" s="64">
        <f>IFERROR(RD[[#This Row],[ Export (33 kV)]]*(1-RD[[#This Row],[33 kV Line Loss (%)]]),RD[[#This Row],[ Export (33 kV)]])</f>
        <v>0</v>
      </c>
      <c r="BP126" s="216"/>
      <c r="BQ126" s="121"/>
      <c r="BR126" s="121"/>
      <c r="BS126" t="str">
        <f>IFERROR(RD[[#This Row],[E_AC (WPR)]]/RD[[#This Row],[E_DC (WPR)]],"")</f>
        <v/>
      </c>
    </row>
    <row r="127" spans="1:71">
      <c r="A127" s="147">
        <f t="shared" si="71"/>
        <v>45961</v>
      </c>
      <c r="B127" s="150">
        <f>YEAR(RD[[#This Row],[Date]])+IF(MONTH(RD[[#This Row],[Date]])&gt;=4,1,0)</f>
        <v>2026</v>
      </c>
      <c r="C127" s="150">
        <f>YEAR(RD[[#This Row],[Date]])</f>
        <v>2025</v>
      </c>
      <c r="D127" s="151">
        <f t="shared" si="70"/>
        <v>45931</v>
      </c>
      <c r="E127" s="150">
        <f>DAY(EOMONTH(RD[[#This Row],[Date]],0))</f>
        <v>31</v>
      </c>
      <c r="F127" s="121"/>
      <c r="G127" s="121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66"/>
      <c r="AF127" s="166"/>
      <c r="AG127" s="166"/>
      <c r="AH127" s="166"/>
      <c r="AI127" s="166"/>
      <c r="AJ127" s="166"/>
      <c r="AK127" s="166"/>
      <c r="AL127" s="166"/>
      <c r="AM127" s="59"/>
      <c r="AN127" s="59"/>
      <c r="AO127" s="59"/>
      <c r="AP127" s="59"/>
      <c r="AQ127" s="59"/>
      <c r="AR127" s="59"/>
      <c r="AS127" s="59"/>
      <c r="AT127" s="59"/>
      <c r="AU127" s="60">
        <f>SUM(RD[[#This Row],[IS2Inv1M1]:[IS4Inv1M3]])</f>
        <v>0</v>
      </c>
      <c r="AV127" s="60">
        <f>SUM(RD[[#This Row],[IS5Inv1M1]:[IS5Inv2M3]])</f>
        <v>0</v>
      </c>
      <c r="AW127" s="60">
        <f>SUM(RD[[#This Row],[O2RE9]:[O2RE192]])</f>
        <v>0</v>
      </c>
      <c r="AX127" s="152"/>
      <c r="AY127" s="152"/>
      <c r="AZ127" s="152"/>
      <c r="BA127" s="152"/>
      <c r="BB127" s="152"/>
      <c r="BC127" s="152"/>
      <c r="BD127" s="153" t="str">
        <f>IF((RD[[#This Row],[33 kV_F1_Ex (O2RE9)]]-AX126)*150000&lt;=0,"",(RD[[#This Row],[33 kV_F1_Ex (O2RE9)]]-AX126)*150000)</f>
        <v/>
      </c>
      <c r="BE127" s="153">
        <f>IF((RD[[#This Row],[33kV_OG1_Ex (O2RE9)]]-AY126)*1000&lt;=0,0,(RD[[#This Row],[33kV_OG1_Ex (O2RE9)]]-AY126)*1000)</f>
        <v>0</v>
      </c>
      <c r="BF127" s="153"/>
      <c r="BG127" s="153" t="str">
        <f>IF((RD[[#This Row],[33 kV_F2_Ex (O2RE19)]]-BA126)*150000&lt;=0,"",(RD[[#This Row],[33 kV_F2_Ex (O2RE19)]]-BA126)*150000)</f>
        <v/>
      </c>
      <c r="BH127" s="153">
        <f>IF((RD[[#This Row],[33kV_OG2_Ex (O2RE19)]]-BB126)*1000&lt;=0,0,(RD[[#This Row],[33kV_OG2_Ex (O2RE19)]]-BB126)*1000)</f>
        <v>0</v>
      </c>
      <c r="BI127" s="153">
        <f>IF((RD[[#This Row],[33kV_Aux2_Im (O2RE19)]]-BC126)*1000&lt;0,"",(RD[[#This Row],[33kV_Aux2_Im (O2RE19)]]-BC126)*1000)</f>
        <v>0</v>
      </c>
      <c r="BJ127" s="153">
        <f>IF((RD[[#This Row],[33kV_Aux1_Im (O2RE9)]]-AZ126)*1000&lt;0,"",(RD[[#This Row],[33kV_Aux1_Im (O2RE9)]]-AZ126)*1000)</f>
        <v>0</v>
      </c>
      <c r="BK127" s="153">
        <f>SUM(RD[[#This Row],[33kV_OG1_O2RE9_Energy (KWh)]],RD[[#This Row],[33kV_OG2_O2RE19_Energy (KWh)]])</f>
        <v>0</v>
      </c>
      <c r="BL127" s="62" t="str">
        <f>IFERROR(RD[[#This Row],[33 kV Total Export (KWH)]]/RD[[#This Row],[Inv Total Gneration (MWh)]]-1,"")</f>
        <v/>
      </c>
      <c r="BM127" s="63">
        <f>IFERROR((RD[[#This Row],[Sunset Time (POA&lt;20 W/m2)]]-RD[[#This Row],[Sunrise Time (POA&gt;20 W/m2)]])*24,0)</f>
        <v>0</v>
      </c>
      <c r="BN127" s="64">
        <f>SUM(RD[[#This Row],[33kV_OG1_O2RE9_Energy (KWh)]],RD[[#This Row],[33kV_OG2_O2RE19_Energy (KWh)]])</f>
        <v>0</v>
      </c>
      <c r="BO127" s="64">
        <f>IFERROR(RD[[#This Row],[ Export (33 kV)]]*(1-RD[[#This Row],[33 kV Line Loss (%)]]),RD[[#This Row],[ Export (33 kV)]])</f>
        <v>0</v>
      </c>
      <c r="BP127" s="216"/>
      <c r="BQ127" s="121"/>
      <c r="BR127" s="121"/>
      <c r="BS127" t="str">
        <f>IFERROR(RD[[#This Row],[E_AC (WPR)]]/RD[[#This Row],[E_DC (WPR)]],"")</f>
        <v/>
      </c>
    </row>
    <row r="128" spans="1:71">
      <c r="A128" s="147">
        <f t="shared" si="71"/>
        <v>45962</v>
      </c>
      <c r="B128" s="150">
        <f>YEAR(RD[[#This Row],[Date]])+IF(MONTH(RD[[#This Row],[Date]])&gt;=4,1,0)</f>
        <v>2026</v>
      </c>
      <c r="C128" s="150">
        <f>YEAR(RD[[#This Row],[Date]])</f>
        <v>2025</v>
      </c>
      <c r="D128" s="151">
        <f t="shared" si="70"/>
        <v>45962</v>
      </c>
      <c r="E128" s="150">
        <f>DAY(EOMONTH(RD[[#This Row],[Date]],0))</f>
        <v>30</v>
      </c>
      <c r="F128" s="121"/>
      <c r="G128" s="121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66"/>
      <c r="AF128" s="166"/>
      <c r="AG128" s="166"/>
      <c r="AH128" s="166"/>
      <c r="AI128" s="166"/>
      <c r="AJ128" s="166"/>
      <c r="AK128" s="166"/>
      <c r="AL128" s="166"/>
      <c r="AM128" s="59"/>
      <c r="AN128" s="59"/>
      <c r="AO128" s="59"/>
      <c r="AP128" s="59"/>
      <c r="AQ128" s="59"/>
      <c r="AR128" s="59"/>
      <c r="AS128" s="59"/>
      <c r="AT128" s="59"/>
      <c r="AU128" s="60">
        <f>SUM(RD[[#This Row],[IS2Inv1M1]:[IS4Inv1M3]])</f>
        <v>0</v>
      </c>
      <c r="AV128" s="60">
        <f>SUM(RD[[#This Row],[IS5Inv1M1]:[IS5Inv2M3]])</f>
        <v>0</v>
      </c>
      <c r="AW128" s="60">
        <f>SUM(RD[[#This Row],[O2RE9]:[O2RE192]])</f>
        <v>0</v>
      </c>
      <c r="AX128" s="152"/>
      <c r="AY128" s="152"/>
      <c r="AZ128" s="152"/>
      <c r="BA128" s="152"/>
      <c r="BB128" s="152"/>
      <c r="BC128" s="152"/>
      <c r="BD128" s="153" t="str">
        <f>IF((RD[[#This Row],[33 kV_F1_Ex (O2RE9)]]-AX127)*150000&lt;=0,"",(RD[[#This Row],[33 kV_F1_Ex (O2RE9)]]-AX127)*150000)</f>
        <v/>
      </c>
      <c r="BE128" s="153">
        <f>IF((RD[[#This Row],[33kV_OG1_Ex (O2RE9)]]-AY127)*1000&lt;=0,0,(RD[[#This Row],[33kV_OG1_Ex (O2RE9)]]-AY127)*1000)</f>
        <v>0</v>
      </c>
      <c r="BF128" s="153"/>
      <c r="BG128" s="153" t="str">
        <f>IF((RD[[#This Row],[33 kV_F2_Ex (O2RE19)]]-BA127)*150000&lt;=0,"",(RD[[#This Row],[33 kV_F2_Ex (O2RE19)]]-BA127)*150000)</f>
        <v/>
      </c>
      <c r="BH128" s="153">
        <f>IF((RD[[#This Row],[33kV_OG2_Ex (O2RE19)]]-BB127)*1000&lt;=0,0,(RD[[#This Row],[33kV_OG2_Ex (O2RE19)]]-BB127)*1000)</f>
        <v>0</v>
      </c>
      <c r="BI128" s="153">
        <f>IF((RD[[#This Row],[33kV_Aux2_Im (O2RE19)]]-BC127)*1000&lt;0,"",(RD[[#This Row],[33kV_Aux2_Im (O2RE19)]]-BC127)*1000)</f>
        <v>0</v>
      </c>
      <c r="BJ128" s="153">
        <f>IF((RD[[#This Row],[33kV_Aux1_Im (O2RE9)]]-AZ127)*1000&lt;0,"",(RD[[#This Row],[33kV_Aux1_Im (O2RE9)]]-AZ127)*1000)</f>
        <v>0</v>
      </c>
      <c r="BK128" s="153">
        <f>SUM(RD[[#This Row],[33kV_OG1_O2RE9_Energy (KWh)]],RD[[#This Row],[33kV_OG2_O2RE19_Energy (KWh)]])</f>
        <v>0</v>
      </c>
      <c r="BL128" s="62" t="str">
        <f>IFERROR(RD[[#This Row],[33 kV Total Export (KWH)]]/RD[[#This Row],[Inv Total Gneration (MWh)]]-1,"")</f>
        <v/>
      </c>
      <c r="BM128" s="63">
        <f>IFERROR((RD[[#This Row],[Sunset Time (POA&lt;20 W/m2)]]-RD[[#This Row],[Sunrise Time (POA&gt;20 W/m2)]])*24,0)</f>
        <v>0</v>
      </c>
      <c r="BN128" s="64">
        <f>SUM(RD[[#This Row],[33kV_OG1_O2RE9_Energy (KWh)]],RD[[#This Row],[33kV_OG2_O2RE19_Energy (KWh)]])</f>
        <v>0</v>
      </c>
      <c r="BO128" s="64">
        <f>IFERROR(RD[[#This Row],[ Export (33 kV)]]*(1-RD[[#This Row],[33 kV Line Loss (%)]]),RD[[#This Row],[ Export (33 kV)]])</f>
        <v>0</v>
      </c>
      <c r="BP128" s="216"/>
      <c r="BQ128" s="121"/>
      <c r="BR128" s="121"/>
      <c r="BS128" t="str">
        <f>IFERROR(RD[[#This Row],[E_AC (WPR)]]/RD[[#This Row],[E_DC (WPR)]],"")</f>
        <v/>
      </c>
    </row>
    <row r="129" spans="1:71">
      <c r="A129" s="147">
        <f t="shared" si="71"/>
        <v>45963</v>
      </c>
      <c r="B129" s="150">
        <f>YEAR(RD[[#This Row],[Date]])+IF(MONTH(RD[[#This Row],[Date]])&gt;=4,1,0)</f>
        <v>2026</v>
      </c>
      <c r="C129" s="150">
        <f>YEAR(RD[[#This Row],[Date]])</f>
        <v>2025</v>
      </c>
      <c r="D129" s="151">
        <f t="shared" si="70"/>
        <v>45962</v>
      </c>
      <c r="E129" s="150">
        <f>DAY(EOMONTH(RD[[#This Row],[Date]],0))</f>
        <v>30</v>
      </c>
      <c r="F129" s="121"/>
      <c r="G129" s="121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66"/>
      <c r="AF129" s="166"/>
      <c r="AG129" s="166"/>
      <c r="AH129" s="166"/>
      <c r="AI129" s="166"/>
      <c r="AJ129" s="166"/>
      <c r="AK129" s="166"/>
      <c r="AL129" s="166"/>
      <c r="AM129" s="59"/>
      <c r="AN129" s="59"/>
      <c r="AO129" s="59"/>
      <c r="AP129" s="59"/>
      <c r="AQ129" s="59"/>
      <c r="AR129" s="59"/>
      <c r="AS129" s="59"/>
      <c r="AT129" s="59"/>
      <c r="AU129" s="60">
        <f>SUM(RD[[#This Row],[IS2Inv1M1]:[IS4Inv1M3]])</f>
        <v>0</v>
      </c>
      <c r="AV129" s="60">
        <f>SUM(RD[[#This Row],[IS5Inv1M1]:[IS5Inv2M3]])</f>
        <v>0</v>
      </c>
      <c r="AW129" s="60">
        <f>SUM(RD[[#This Row],[O2RE9]:[O2RE192]])</f>
        <v>0</v>
      </c>
      <c r="AX129" s="152"/>
      <c r="AY129" s="152"/>
      <c r="AZ129" s="152"/>
      <c r="BA129" s="152"/>
      <c r="BB129" s="152"/>
      <c r="BC129" s="152"/>
      <c r="BD129" s="153" t="str">
        <f>IF((RD[[#This Row],[33 kV_F1_Ex (O2RE9)]]-AX128)*150000&lt;=0,"",(RD[[#This Row],[33 kV_F1_Ex (O2RE9)]]-AX128)*150000)</f>
        <v/>
      </c>
      <c r="BE129" s="153">
        <f>IF((RD[[#This Row],[33kV_OG1_Ex (O2RE9)]]-AY128)*1000&lt;=0,0,(RD[[#This Row],[33kV_OG1_Ex (O2RE9)]]-AY128)*1000)</f>
        <v>0</v>
      </c>
      <c r="BF129" s="153"/>
      <c r="BG129" s="153" t="str">
        <f>IF((RD[[#This Row],[33 kV_F2_Ex (O2RE19)]]-BA128)*150000&lt;=0,"",(RD[[#This Row],[33 kV_F2_Ex (O2RE19)]]-BA128)*150000)</f>
        <v/>
      </c>
      <c r="BH129" s="153">
        <f>IF((RD[[#This Row],[33kV_OG2_Ex (O2RE19)]]-BB128)*1000&lt;=0,0,(RD[[#This Row],[33kV_OG2_Ex (O2RE19)]]-BB128)*1000)</f>
        <v>0</v>
      </c>
      <c r="BI129" s="153">
        <f>IF((RD[[#This Row],[33kV_Aux2_Im (O2RE19)]]-BC128)*1000&lt;0,"",(RD[[#This Row],[33kV_Aux2_Im (O2RE19)]]-BC128)*1000)</f>
        <v>0</v>
      </c>
      <c r="BJ129" s="153">
        <f>IF((RD[[#This Row],[33kV_Aux1_Im (O2RE9)]]-AZ128)*1000&lt;0,"",(RD[[#This Row],[33kV_Aux1_Im (O2RE9)]]-AZ128)*1000)</f>
        <v>0</v>
      </c>
      <c r="BK129" s="153">
        <f>SUM(RD[[#This Row],[33kV_OG1_O2RE9_Energy (KWh)]],RD[[#This Row],[33kV_OG2_O2RE19_Energy (KWh)]])</f>
        <v>0</v>
      </c>
      <c r="BL129" s="62" t="str">
        <f>IFERROR(RD[[#This Row],[33 kV Total Export (KWH)]]/RD[[#This Row],[Inv Total Gneration (MWh)]]-1,"")</f>
        <v/>
      </c>
      <c r="BM129" s="63">
        <f>IFERROR((RD[[#This Row],[Sunset Time (POA&lt;20 W/m2)]]-RD[[#This Row],[Sunrise Time (POA&gt;20 W/m2)]])*24,0)</f>
        <v>0</v>
      </c>
      <c r="BN129" s="64">
        <f>SUM(RD[[#This Row],[33kV_OG1_O2RE9_Energy (KWh)]],RD[[#This Row],[33kV_OG2_O2RE19_Energy (KWh)]])</f>
        <v>0</v>
      </c>
      <c r="BO129" s="64">
        <f>IFERROR(RD[[#This Row],[ Export (33 kV)]]*(1-RD[[#This Row],[33 kV Line Loss (%)]]),RD[[#This Row],[ Export (33 kV)]])</f>
        <v>0</v>
      </c>
      <c r="BP129" s="216"/>
      <c r="BQ129" s="121"/>
      <c r="BR129" s="121"/>
      <c r="BS129" t="str">
        <f>IFERROR(RD[[#This Row],[E_AC (WPR)]]/RD[[#This Row],[E_DC (WPR)]],"")</f>
        <v/>
      </c>
    </row>
    <row r="130" spans="1:71">
      <c r="A130" s="147">
        <f t="shared" si="71"/>
        <v>45964</v>
      </c>
      <c r="B130" s="150">
        <f>YEAR(RD[[#This Row],[Date]])+IF(MONTH(RD[[#This Row],[Date]])&gt;=4,1,0)</f>
        <v>2026</v>
      </c>
      <c r="C130" s="150">
        <f>YEAR(RD[[#This Row],[Date]])</f>
        <v>2025</v>
      </c>
      <c r="D130" s="151">
        <f t="shared" si="70"/>
        <v>45962</v>
      </c>
      <c r="E130" s="150">
        <f>DAY(EOMONTH(RD[[#This Row],[Date]],0))</f>
        <v>30</v>
      </c>
      <c r="F130" s="121"/>
      <c r="G130" s="121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66"/>
      <c r="AF130" s="166"/>
      <c r="AG130" s="166"/>
      <c r="AH130" s="166"/>
      <c r="AI130" s="166"/>
      <c r="AJ130" s="166"/>
      <c r="AK130" s="166"/>
      <c r="AL130" s="166"/>
      <c r="AM130" s="59"/>
      <c r="AN130" s="59"/>
      <c r="AO130" s="59"/>
      <c r="AP130" s="59"/>
      <c r="AQ130" s="59"/>
      <c r="AR130" s="59"/>
      <c r="AS130" s="59"/>
      <c r="AT130" s="59"/>
      <c r="AU130" s="60">
        <f>SUM(RD[[#This Row],[IS2Inv1M1]:[IS4Inv1M3]])</f>
        <v>0</v>
      </c>
      <c r="AV130" s="60">
        <f>SUM(RD[[#This Row],[IS5Inv1M1]:[IS5Inv2M3]])</f>
        <v>0</v>
      </c>
      <c r="AW130" s="60">
        <f>SUM(RD[[#This Row],[O2RE9]:[O2RE192]])</f>
        <v>0</v>
      </c>
      <c r="AX130" s="152"/>
      <c r="AY130" s="152"/>
      <c r="AZ130" s="152"/>
      <c r="BA130" s="152"/>
      <c r="BB130" s="152"/>
      <c r="BC130" s="152"/>
      <c r="BD130" s="153" t="str">
        <f>IF((RD[[#This Row],[33 kV_F1_Ex (O2RE9)]]-AX129)*150000&lt;=0,"",(RD[[#This Row],[33 kV_F1_Ex (O2RE9)]]-AX129)*150000)</f>
        <v/>
      </c>
      <c r="BE130" s="153">
        <f>IF((RD[[#This Row],[33kV_OG1_Ex (O2RE9)]]-AY129)*1000&lt;=0,0,(RD[[#This Row],[33kV_OG1_Ex (O2RE9)]]-AY129)*1000)</f>
        <v>0</v>
      </c>
      <c r="BF130" s="153"/>
      <c r="BG130" s="153" t="str">
        <f>IF((RD[[#This Row],[33 kV_F2_Ex (O2RE19)]]-BA129)*150000&lt;=0,"",(RD[[#This Row],[33 kV_F2_Ex (O2RE19)]]-BA129)*150000)</f>
        <v/>
      </c>
      <c r="BH130" s="153">
        <f>IF((RD[[#This Row],[33kV_OG2_Ex (O2RE19)]]-BB129)*1000&lt;=0,0,(RD[[#This Row],[33kV_OG2_Ex (O2RE19)]]-BB129)*1000)</f>
        <v>0</v>
      </c>
      <c r="BI130" s="153">
        <f>IF((RD[[#This Row],[33kV_Aux2_Im (O2RE19)]]-BC129)*1000&lt;0,"",(RD[[#This Row],[33kV_Aux2_Im (O2RE19)]]-BC129)*1000)</f>
        <v>0</v>
      </c>
      <c r="BJ130" s="153">
        <f>IF((RD[[#This Row],[33kV_Aux1_Im (O2RE9)]]-AZ129)*1000&lt;0,"",(RD[[#This Row],[33kV_Aux1_Im (O2RE9)]]-AZ129)*1000)</f>
        <v>0</v>
      </c>
      <c r="BK130" s="153">
        <f>SUM(RD[[#This Row],[33kV_OG1_O2RE9_Energy (KWh)]],RD[[#This Row],[33kV_OG2_O2RE19_Energy (KWh)]])</f>
        <v>0</v>
      </c>
      <c r="BL130" s="62" t="str">
        <f>IFERROR(RD[[#This Row],[33 kV Total Export (KWH)]]/RD[[#This Row],[Inv Total Gneration (MWh)]]-1,"")</f>
        <v/>
      </c>
      <c r="BM130" s="63">
        <f>IFERROR((RD[[#This Row],[Sunset Time (POA&lt;20 W/m2)]]-RD[[#This Row],[Sunrise Time (POA&gt;20 W/m2)]])*24,0)</f>
        <v>0</v>
      </c>
      <c r="BN130" s="64">
        <f>SUM(RD[[#This Row],[33kV_OG1_O2RE9_Energy (KWh)]],RD[[#This Row],[33kV_OG2_O2RE19_Energy (KWh)]])</f>
        <v>0</v>
      </c>
      <c r="BO130" s="64">
        <f>IFERROR(RD[[#This Row],[ Export (33 kV)]]*(1-RD[[#This Row],[33 kV Line Loss (%)]]),RD[[#This Row],[ Export (33 kV)]])</f>
        <v>0</v>
      </c>
      <c r="BP130" s="121"/>
      <c r="BQ130" s="121"/>
      <c r="BR130" s="121"/>
      <c r="BS130" t="str">
        <f>IFERROR(RD[[#This Row],[E_AC (WPR)]]/RD[[#This Row],[E_DC (WPR)]],"")</f>
        <v/>
      </c>
    </row>
    <row r="131" spans="1:71">
      <c r="A131" s="147">
        <f t="shared" si="71"/>
        <v>45965</v>
      </c>
      <c r="B131" s="150">
        <f>YEAR(RD[[#This Row],[Date]])+IF(MONTH(RD[[#This Row],[Date]])&gt;=4,1,0)</f>
        <v>2026</v>
      </c>
      <c r="C131" s="150">
        <f>YEAR(RD[[#This Row],[Date]])</f>
        <v>2025</v>
      </c>
      <c r="D131" s="151">
        <f t="shared" si="70"/>
        <v>45962</v>
      </c>
      <c r="E131" s="150">
        <f>DAY(EOMONTH(RD[[#This Row],[Date]],0))</f>
        <v>30</v>
      </c>
      <c r="F131" s="121"/>
      <c r="G131" s="121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66"/>
      <c r="AF131" s="166"/>
      <c r="AG131" s="166"/>
      <c r="AH131" s="166"/>
      <c r="AI131" s="166"/>
      <c r="AJ131" s="166"/>
      <c r="AK131" s="166"/>
      <c r="AL131" s="166"/>
      <c r="AM131" s="59"/>
      <c r="AN131" s="59"/>
      <c r="AO131" s="59"/>
      <c r="AP131" s="59"/>
      <c r="AQ131" s="59"/>
      <c r="AR131" s="59"/>
      <c r="AS131" s="59"/>
      <c r="AT131" s="59"/>
      <c r="AU131" s="60">
        <f>SUM(RD[[#This Row],[IS2Inv1M1]:[IS4Inv1M3]])</f>
        <v>0</v>
      </c>
      <c r="AV131" s="60">
        <f>SUM(RD[[#This Row],[IS5Inv1M1]:[IS5Inv2M3]])</f>
        <v>0</v>
      </c>
      <c r="AW131" s="60">
        <f>SUM(RD[[#This Row],[O2RE9]:[O2RE192]])</f>
        <v>0</v>
      </c>
      <c r="AX131" s="152"/>
      <c r="AY131" s="152"/>
      <c r="AZ131" s="152"/>
      <c r="BA131" s="152"/>
      <c r="BB131" s="152"/>
      <c r="BC131" s="152"/>
      <c r="BD131" s="153" t="str">
        <f>IF((RD[[#This Row],[33 kV_F1_Ex (O2RE9)]]-AX130)*150000&lt;=0,"",(RD[[#This Row],[33 kV_F1_Ex (O2RE9)]]-AX130)*150000)</f>
        <v/>
      </c>
      <c r="BE131" s="153">
        <f>IF((RD[[#This Row],[33kV_OG1_Ex (O2RE9)]]-AY130)*1000&lt;=0,0,(RD[[#This Row],[33kV_OG1_Ex (O2RE9)]]-AY130)*1000)</f>
        <v>0</v>
      </c>
      <c r="BF131" s="153"/>
      <c r="BG131" s="153" t="str">
        <f>IF((RD[[#This Row],[33 kV_F2_Ex (O2RE19)]]-BA130)*150000&lt;=0,"",(RD[[#This Row],[33 kV_F2_Ex (O2RE19)]]-BA130)*150000)</f>
        <v/>
      </c>
      <c r="BH131" s="153">
        <f>IF((RD[[#This Row],[33kV_OG2_Ex (O2RE19)]]-BB130)*1000&lt;=0,0,(RD[[#This Row],[33kV_OG2_Ex (O2RE19)]]-BB130)*1000)</f>
        <v>0</v>
      </c>
      <c r="BI131" s="153">
        <f>IF((RD[[#This Row],[33kV_Aux2_Im (O2RE19)]]-BC130)*1000&lt;0,"",(RD[[#This Row],[33kV_Aux2_Im (O2RE19)]]-BC130)*1000)</f>
        <v>0</v>
      </c>
      <c r="BJ131" s="153">
        <f>IF((RD[[#This Row],[33kV_Aux1_Im (O2RE9)]]-AZ130)*1000&lt;0,"",(RD[[#This Row],[33kV_Aux1_Im (O2RE9)]]-AZ130)*1000)</f>
        <v>0</v>
      </c>
      <c r="BK131" s="153">
        <f>SUM(RD[[#This Row],[33kV_OG1_O2RE9_Energy (KWh)]],RD[[#This Row],[33kV_OG2_O2RE19_Energy (KWh)]])</f>
        <v>0</v>
      </c>
      <c r="BL131" s="62" t="str">
        <f>IFERROR(RD[[#This Row],[33 kV Total Export (KWH)]]/RD[[#This Row],[Inv Total Gneration (MWh)]]-1,"")</f>
        <v/>
      </c>
      <c r="BM131" s="63">
        <f>IFERROR((RD[[#This Row],[Sunset Time (POA&lt;20 W/m2)]]-RD[[#This Row],[Sunrise Time (POA&gt;20 W/m2)]])*24,0)</f>
        <v>0</v>
      </c>
      <c r="BN131" s="64">
        <f>SUM(RD[[#This Row],[33kV_OG1_O2RE9_Energy (KWh)]],RD[[#This Row],[33kV_OG2_O2RE19_Energy (KWh)]])</f>
        <v>0</v>
      </c>
      <c r="BO131" s="64">
        <f>IFERROR(RD[[#This Row],[ Export (33 kV)]]*(1-RD[[#This Row],[33 kV Line Loss (%)]]),RD[[#This Row],[ Export (33 kV)]])</f>
        <v>0</v>
      </c>
      <c r="BP131" s="121"/>
      <c r="BQ131" s="121"/>
      <c r="BR131" s="121"/>
      <c r="BS131" t="str">
        <f>IFERROR(RD[[#This Row],[E_AC (WPR)]]/RD[[#This Row],[E_DC (WPR)]],"")</f>
        <v/>
      </c>
    </row>
    <row r="132" spans="1:71">
      <c r="A132" s="147">
        <f t="shared" si="71"/>
        <v>45966</v>
      </c>
      <c r="B132" s="150">
        <f>YEAR(RD[[#This Row],[Date]])+IF(MONTH(RD[[#This Row],[Date]])&gt;=4,1,0)</f>
        <v>2026</v>
      </c>
      <c r="C132" s="150">
        <f>YEAR(RD[[#This Row],[Date]])</f>
        <v>2025</v>
      </c>
      <c r="D132" s="151">
        <f t="shared" si="70"/>
        <v>45962</v>
      </c>
      <c r="E132" s="150">
        <f>DAY(EOMONTH(RD[[#This Row],[Date]],0))</f>
        <v>30</v>
      </c>
      <c r="F132" s="121"/>
      <c r="G132" s="121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66"/>
      <c r="AF132" s="166"/>
      <c r="AG132" s="166"/>
      <c r="AH132" s="166"/>
      <c r="AI132" s="166"/>
      <c r="AJ132" s="166"/>
      <c r="AK132" s="166"/>
      <c r="AL132" s="166"/>
      <c r="AM132" s="59"/>
      <c r="AN132" s="59"/>
      <c r="AO132" s="59"/>
      <c r="AP132" s="59"/>
      <c r="AQ132" s="59"/>
      <c r="AR132" s="59"/>
      <c r="AS132" s="59"/>
      <c r="AT132" s="59"/>
      <c r="AU132" s="60">
        <f>SUM(RD[[#This Row],[IS2Inv1M1]:[IS4Inv1M3]])</f>
        <v>0</v>
      </c>
      <c r="AV132" s="60">
        <f>SUM(RD[[#This Row],[IS5Inv1M1]:[IS5Inv2M3]])</f>
        <v>0</v>
      </c>
      <c r="AW132" s="60">
        <f>SUM(RD[[#This Row],[O2RE9]:[O2RE192]])</f>
        <v>0</v>
      </c>
      <c r="AX132" s="152"/>
      <c r="AY132" s="152"/>
      <c r="AZ132" s="152"/>
      <c r="BA132" s="152"/>
      <c r="BB132" s="152"/>
      <c r="BC132" s="152"/>
      <c r="BD132" s="153" t="str">
        <f>IF((RD[[#This Row],[33 kV_F1_Ex (O2RE9)]]-AX131)*150000&lt;=0,"",(RD[[#This Row],[33 kV_F1_Ex (O2RE9)]]-AX131)*150000)</f>
        <v/>
      </c>
      <c r="BE132" s="153">
        <f>IF((RD[[#This Row],[33kV_OG1_Ex (O2RE9)]]-AY131)*1000&lt;=0,0,(RD[[#This Row],[33kV_OG1_Ex (O2RE9)]]-AY131)*1000)</f>
        <v>0</v>
      </c>
      <c r="BF132" s="153"/>
      <c r="BG132" s="153" t="str">
        <f>IF((RD[[#This Row],[33 kV_F2_Ex (O2RE19)]]-BA131)*150000&lt;=0,"",(RD[[#This Row],[33 kV_F2_Ex (O2RE19)]]-BA131)*150000)</f>
        <v/>
      </c>
      <c r="BH132" s="153">
        <f>IF((RD[[#This Row],[33kV_OG2_Ex (O2RE19)]]-BB131)*1000&lt;=0,0,(RD[[#This Row],[33kV_OG2_Ex (O2RE19)]]-BB131)*1000)</f>
        <v>0</v>
      </c>
      <c r="BI132" s="153">
        <f>IF((RD[[#This Row],[33kV_Aux2_Im (O2RE19)]]-BC131)*1000&lt;0,"",(RD[[#This Row],[33kV_Aux2_Im (O2RE19)]]-BC131)*1000)</f>
        <v>0</v>
      </c>
      <c r="BJ132" s="153">
        <f>IF((RD[[#This Row],[33kV_Aux1_Im (O2RE9)]]-AZ131)*1000&lt;0,"",(RD[[#This Row],[33kV_Aux1_Im (O2RE9)]]-AZ131)*1000)</f>
        <v>0</v>
      </c>
      <c r="BK132" s="153">
        <f>SUM(RD[[#This Row],[33kV_OG1_O2RE9_Energy (KWh)]],RD[[#This Row],[33kV_OG2_O2RE19_Energy (KWh)]])</f>
        <v>0</v>
      </c>
      <c r="BL132" s="62" t="str">
        <f>IFERROR(RD[[#This Row],[33 kV Total Export (KWH)]]/RD[[#This Row],[Inv Total Gneration (MWh)]]-1,"")</f>
        <v/>
      </c>
      <c r="BM132" s="63">
        <f>IFERROR((RD[[#This Row],[Sunset Time (POA&lt;20 W/m2)]]-RD[[#This Row],[Sunrise Time (POA&gt;20 W/m2)]])*24,0)</f>
        <v>0</v>
      </c>
      <c r="BN132" s="64">
        <f>SUM(RD[[#This Row],[33kV_OG1_O2RE9_Energy (KWh)]],RD[[#This Row],[33kV_OG2_O2RE19_Energy (KWh)]])</f>
        <v>0</v>
      </c>
      <c r="BO132" s="64">
        <f>IFERROR(RD[[#This Row],[ Export (33 kV)]]*(1-RD[[#This Row],[33 kV Line Loss (%)]]),RD[[#This Row],[ Export (33 kV)]])</f>
        <v>0</v>
      </c>
      <c r="BP132" s="121"/>
      <c r="BQ132" s="121"/>
      <c r="BR132" s="121"/>
      <c r="BS132" t="str">
        <f>IFERROR(RD[[#This Row],[E_AC (WPR)]]/RD[[#This Row],[E_DC (WPR)]],"")</f>
        <v/>
      </c>
    </row>
    <row r="133" spans="1:71">
      <c r="A133" s="147">
        <f t="shared" si="71"/>
        <v>45967</v>
      </c>
      <c r="B133" s="150">
        <f>YEAR(RD[[#This Row],[Date]])+IF(MONTH(RD[[#This Row],[Date]])&gt;=4,1,0)</f>
        <v>2026</v>
      </c>
      <c r="C133" s="150">
        <f>YEAR(RD[[#This Row],[Date]])</f>
        <v>2025</v>
      </c>
      <c r="D133" s="151">
        <f t="shared" si="70"/>
        <v>45962</v>
      </c>
      <c r="E133" s="150">
        <f>DAY(EOMONTH(RD[[#This Row],[Date]],0))</f>
        <v>30</v>
      </c>
      <c r="F133" s="121"/>
      <c r="G133" s="121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66"/>
      <c r="AF133" s="166"/>
      <c r="AG133" s="166"/>
      <c r="AH133" s="166"/>
      <c r="AI133" s="166"/>
      <c r="AJ133" s="166"/>
      <c r="AK133" s="166"/>
      <c r="AL133" s="166"/>
      <c r="AM133" s="59"/>
      <c r="AN133" s="59"/>
      <c r="AO133" s="59"/>
      <c r="AP133" s="59"/>
      <c r="AQ133" s="59"/>
      <c r="AR133" s="59"/>
      <c r="AS133" s="59"/>
      <c r="AT133" s="59"/>
      <c r="AU133" s="60">
        <f>SUM(RD[[#This Row],[IS2Inv1M1]:[IS4Inv1M3]])</f>
        <v>0</v>
      </c>
      <c r="AV133" s="60">
        <f>SUM(RD[[#This Row],[IS5Inv1M1]:[IS5Inv2M3]])</f>
        <v>0</v>
      </c>
      <c r="AW133" s="60">
        <f>SUM(RD[[#This Row],[O2RE9]:[O2RE192]])</f>
        <v>0</v>
      </c>
      <c r="AX133" s="152"/>
      <c r="AY133" s="152"/>
      <c r="AZ133" s="152"/>
      <c r="BA133" s="152"/>
      <c r="BB133" s="152"/>
      <c r="BC133" s="152"/>
      <c r="BD133" s="153" t="str">
        <f>IF((RD[[#This Row],[33 kV_F1_Ex (O2RE9)]]-AX132)*150000&lt;=0,"",(RD[[#This Row],[33 kV_F1_Ex (O2RE9)]]-AX132)*150000)</f>
        <v/>
      </c>
      <c r="BE133" s="153">
        <f>IF((RD[[#This Row],[33kV_OG1_Ex (O2RE9)]]-AY132)*1000&lt;=0,0,(RD[[#This Row],[33kV_OG1_Ex (O2RE9)]]-AY132)*1000)</f>
        <v>0</v>
      </c>
      <c r="BF133" s="153"/>
      <c r="BG133" s="153" t="str">
        <f>IF((RD[[#This Row],[33 kV_F2_Ex (O2RE19)]]-BA132)*150000&lt;=0,"",(RD[[#This Row],[33 kV_F2_Ex (O2RE19)]]-BA132)*150000)</f>
        <v/>
      </c>
      <c r="BH133" s="153">
        <f>IF((RD[[#This Row],[33kV_OG2_Ex (O2RE19)]]-BB132)*1000&lt;=0,0,(RD[[#This Row],[33kV_OG2_Ex (O2RE19)]]-BB132)*1000)</f>
        <v>0</v>
      </c>
      <c r="BI133" s="153">
        <f>IF((RD[[#This Row],[33kV_Aux2_Im (O2RE19)]]-BC132)*1000&lt;0,"",(RD[[#This Row],[33kV_Aux2_Im (O2RE19)]]-BC132)*1000)</f>
        <v>0</v>
      </c>
      <c r="BJ133" s="153">
        <f>IF((RD[[#This Row],[33kV_Aux1_Im (O2RE9)]]-AZ132)*1000&lt;0,"",(RD[[#This Row],[33kV_Aux1_Im (O2RE9)]]-AZ132)*1000)</f>
        <v>0</v>
      </c>
      <c r="BK133" s="153">
        <f>SUM(RD[[#This Row],[33kV_OG1_O2RE9_Energy (KWh)]],RD[[#This Row],[33kV_OG2_O2RE19_Energy (KWh)]])</f>
        <v>0</v>
      </c>
      <c r="BL133" s="62" t="str">
        <f>IFERROR(RD[[#This Row],[33 kV Total Export (KWH)]]/RD[[#This Row],[Inv Total Gneration (MWh)]]-1,"")</f>
        <v/>
      </c>
      <c r="BM133" s="63">
        <f>IFERROR((RD[[#This Row],[Sunset Time (POA&lt;20 W/m2)]]-RD[[#This Row],[Sunrise Time (POA&gt;20 W/m2)]])*24,0)</f>
        <v>0</v>
      </c>
      <c r="BN133" s="64">
        <f>SUM(RD[[#This Row],[33kV_OG1_O2RE9_Energy (KWh)]],RD[[#This Row],[33kV_OG2_O2RE19_Energy (KWh)]])</f>
        <v>0</v>
      </c>
      <c r="BO133" s="64">
        <f>IFERROR(RD[[#This Row],[ Export (33 kV)]]*(1-RD[[#This Row],[33 kV Line Loss (%)]]),RD[[#This Row],[ Export (33 kV)]])</f>
        <v>0</v>
      </c>
      <c r="BP133" s="121"/>
      <c r="BQ133" s="121"/>
      <c r="BR133" s="121"/>
      <c r="BS133" t="str">
        <f>IFERROR(RD[[#This Row],[E_AC (WPR)]]/RD[[#This Row],[E_DC (WPR)]],"")</f>
        <v/>
      </c>
    </row>
    <row r="134" spans="1:71">
      <c r="A134" s="147">
        <f t="shared" si="71"/>
        <v>45968</v>
      </c>
      <c r="B134" s="150">
        <f>YEAR(RD[[#This Row],[Date]])+IF(MONTH(RD[[#This Row],[Date]])&gt;=4,1,0)</f>
        <v>2026</v>
      </c>
      <c r="C134" s="150">
        <f>YEAR(RD[[#This Row],[Date]])</f>
        <v>2025</v>
      </c>
      <c r="D134" s="151">
        <f t="shared" si="70"/>
        <v>45962</v>
      </c>
      <c r="E134" s="150">
        <f>DAY(EOMONTH(RD[[#This Row],[Date]],0))</f>
        <v>30</v>
      </c>
      <c r="F134" s="121"/>
      <c r="G134" s="121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66"/>
      <c r="AF134" s="166"/>
      <c r="AG134" s="166"/>
      <c r="AH134" s="166"/>
      <c r="AI134" s="166"/>
      <c r="AJ134" s="166"/>
      <c r="AK134" s="166"/>
      <c r="AL134" s="166"/>
      <c r="AM134" s="59"/>
      <c r="AN134" s="59"/>
      <c r="AO134" s="59"/>
      <c r="AP134" s="59"/>
      <c r="AQ134" s="59"/>
      <c r="AR134" s="59"/>
      <c r="AS134" s="59"/>
      <c r="AT134" s="59"/>
      <c r="AU134" s="60">
        <f>SUM(RD[[#This Row],[IS2Inv1M1]:[IS4Inv1M3]])</f>
        <v>0</v>
      </c>
      <c r="AV134" s="60">
        <f>SUM(RD[[#This Row],[IS5Inv1M1]:[IS5Inv2M3]])</f>
        <v>0</v>
      </c>
      <c r="AW134" s="60">
        <f>SUM(RD[[#This Row],[O2RE9]:[O2RE192]])</f>
        <v>0</v>
      </c>
      <c r="AX134" s="152"/>
      <c r="AY134" s="152"/>
      <c r="AZ134" s="152"/>
      <c r="BA134" s="152"/>
      <c r="BB134" s="152"/>
      <c r="BC134" s="152"/>
      <c r="BD134" s="153" t="str">
        <f>IF((RD[[#This Row],[33 kV_F1_Ex (O2RE9)]]-AX133)*150000&lt;=0,"",(RD[[#This Row],[33 kV_F1_Ex (O2RE9)]]-AX133)*150000)</f>
        <v/>
      </c>
      <c r="BE134" s="153">
        <f>IF((RD[[#This Row],[33kV_OG1_Ex (O2RE9)]]-AY133)*1000&lt;=0,0,(RD[[#This Row],[33kV_OG1_Ex (O2RE9)]]-AY133)*1000)</f>
        <v>0</v>
      </c>
      <c r="BF134" s="153"/>
      <c r="BG134" s="153" t="str">
        <f>IF((RD[[#This Row],[33 kV_F2_Ex (O2RE19)]]-BA133)*150000&lt;=0,"",(RD[[#This Row],[33 kV_F2_Ex (O2RE19)]]-BA133)*150000)</f>
        <v/>
      </c>
      <c r="BH134" s="153">
        <f>IF((RD[[#This Row],[33kV_OG2_Ex (O2RE19)]]-BB133)*1000&lt;=0,0,(RD[[#This Row],[33kV_OG2_Ex (O2RE19)]]-BB133)*1000)</f>
        <v>0</v>
      </c>
      <c r="BI134" s="153">
        <f>IF((RD[[#This Row],[33kV_Aux2_Im (O2RE19)]]-BC133)*1000&lt;0,"",(RD[[#This Row],[33kV_Aux2_Im (O2RE19)]]-BC133)*1000)</f>
        <v>0</v>
      </c>
      <c r="BJ134" s="153">
        <f>IF((RD[[#This Row],[33kV_Aux1_Im (O2RE9)]]-AZ133)*1000&lt;0,"",(RD[[#This Row],[33kV_Aux1_Im (O2RE9)]]-AZ133)*1000)</f>
        <v>0</v>
      </c>
      <c r="BK134" s="153">
        <f>SUM(RD[[#This Row],[33kV_OG1_O2RE9_Energy (KWh)]],RD[[#This Row],[33kV_OG2_O2RE19_Energy (KWh)]])</f>
        <v>0</v>
      </c>
      <c r="BL134" s="62" t="str">
        <f>IFERROR(RD[[#This Row],[33 kV Total Export (KWH)]]/RD[[#This Row],[Inv Total Gneration (MWh)]]-1,"")</f>
        <v/>
      </c>
      <c r="BM134" s="63">
        <f>IFERROR((RD[[#This Row],[Sunset Time (POA&lt;20 W/m2)]]-RD[[#This Row],[Sunrise Time (POA&gt;20 W/m2)]])*24,0)</f>
        <v>0</v>
      </c>
      <c r="BN134" s="64">
        <f>SUM(RD[[#This Row],[33kV_OG1_O2RE9_Energy (KWh)]],RD[[#This Row],[33kV_OG2_O2RE19_Energy (KWh)]])</f>
        <v>0</v>
      </c>
      <c r="BO134" s="64">
        <f>IFERROR(RD[[#This Row],[ Export (33 kV)]]*(1-RD[[#This Row],[33 kV Line Loss (%)]]),RD[[#This Row],[ Export (33 kV)]])</f>
        <v>0</v>
      </c>
      <c r="BP134" s="121"/>
      <c r="BQ134" s="121"/>
      <c r="BR134" s="121"/>
      <c r="BS134" t="str">
        <f>IFERROR(RD[[#This Row],[E_AC (WPR)]]/RD[[#This Row],[E_DC (WPR)]],"")</f>
        <v/>
      </c>
    </row>
    <row r="135" spans="1:71">
      <c r="A135" s="147">
        <f t="shared" si="71"/>
        <v>45969</v>
      </c>
      <c r="B135" s="150">
        <f>YEAR(RD[[#This Row],[Date]])+IF(MONTH(RD[[#This Row],[Date]])&gt;=4,1,0)</f>
        <v>2026</v>
      </c>
      <c r="C135" s="150">
        <f>YEAR(RD[[#This Row],[Date]])</f>
        <v>2025</v>
      </c>
      <c r="D135" s="151">
        <f t="shared" si="70"/>
        <v>45962</v>
      </c>
      <c r="E135" s="150">
        <f>DAY(EOMONTH(RD[[#This Row],[Date]],0))</f>
        <v>30</v>
      </c>
      <c r="F135" s="121"/>
      <c r="G135" s="121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66"/>
      <c r="AF135" s="166"/>
      <c r="AG135" s="166"/>
      <c r="AH135" s="166"/>
      <c r="AI135" s="166"/>
      <c r="AJ135" s="166"/>
      <c r="AK135" s="166"/>
      <c r="AL135" s="166"/>
      <c r="AM135" s="59"/>
      <c r="AN135" s="59"/>
      <c r="AO135" s="59"/>
      <c r="AP135" s="59"/>
      <c r="AQ135" s="59"/>
      <c r="AR135" s="59"/>
      <c r="AS135" s="59"/>
      <c r="AT135" s="59"/>
      <c r="AU135" s="60">
        <f>SUM(RD[[#This Row],[IS2Inv1M1]:[IS4Inv1M3]])</f>
        <v>0</v>
      </c>
      <c r="AV135" s="60">
        <f>SUM(RD[[#This Row],[IS5Inv1M1]:[IS5Inv2M3]])</f>
        <v>0</v>
      </c>
      <c r="AW135" s="60">
        <f>SUM(RD[[#This Row],[O2RE9]:[O2RE192]])</f>
        <v>0</v>
      </c>
      <c r="AX135" s="152"/>
      <c r="AY135" s="152"/>
      <c r="AZ135" s="152"/>
      <c r="BA135" s="152"/>
      <c r="BB135" s="152"/>
      <c r="BC135" s="152"/>
      <c r="BD135" s="153" t="str">
        <f>IF((RD[[#This Row],[33 kV_F1_Ex (O2RE9)]]-AX134)*150000&lt;=0,"",(RD[[#This Row],[33 kV_F1_Ex (O2RE9)]]-AX134)*150000)</f>
        <v/>
      </c>
      <c r="BE135" s="153">
        <f>IF((RD[[#This Row],[33kV_OG1_Ex (O2RE9)]]-AY134)*1000&lt;=0,0,(RD[[#This Row],[33kV_OG1_Ex (O2RE9)]]-AY134)*1000)</f>
        <v>0</v>
      </c>
      <c r="BF135" s="153"/>
      <c r="BG135" s="153" t="str">
        <f>IF((RD[[#This Row],[33 kV_F2_Ex (O2RE19)]]-BA134)*150000&lt;=0,"",(RD[[#This Row],[33 kV_F2_Ex (O2RE19)]]-BA134)*150000)</f>
        <v/>
      </c>
      <c r="BH135" s="153">
        <f>IF((RD[[#This Row],[33kV_OG2_Ex (O2RE19)]]-BB134)*1000&lt;=0,0,(RD[[#This Row],[33kV_OG2_Ex (O2RE19)]]-BB134)*1000)</f>
        <v>0</v>
      </c>
      <c r="BI135" s="153">
        <f>IF((RD[[#This Row],[33kV_Aux2_Im (O2RE19)]]-BC134)*1000&lt;0,"",(RD[[#This Row],[33kV_Aux2_Im (O2RE19)]]-BC134)*1000)</f>
        <v>0</v>
      </c>
      <c r="BJ135" s="153">
        <f>IF((RD[[#This Row],[33kV_Aux1_Im (O2RE9)]]-AZ134)*1000&lt;0,"",(RD[[#This Row],[33kV_Aux1_Im (O2RE9)]]-AZ134)*1000)</f>
        <v>0</v>
      </c>
      <c r="BK135" s="153">
        <f>SUM(RD[[#This Row],[33kV_OG1_O2RE9_Energy (KWh)]],RD[[#This Row],[33kV_OG2_O2RE19_Energy (KWh)]])</f>
        <v>0</v>
      </c>
      <c r="BL135" s="62" t="str">
        <f>IFERROR(RD[[#This Row],[33 kV Total Export (KWH)]]/RD[[#This Row],[Inv Total Gneration (MWh)]]-1,"")</f>
        <v/>
      </c>
      <c r="BM135" s="63">
        <f>IFERROR((RD[[#This Row],[Sunset Time (POA&lt;20 W/m2)]]-RD[[#This Row],[Sunrise Time (POA&gt;20 W/m2)]])*24,0)</f>
        <v>0</v>
      </c>
      <c r="BN135" s="64">
        <f>SUM(RD[[#This Row],[33kV_OG1_O2RE9_Energy (KWh)]],RD[[#This Row],[33kV_OG2_O2RE19_Energy (KWh)]])</f>
        <v>0</v>
      </c>
      <c r="BO135" s="64">
        <f>IFERROR(RD[[#This Row],[ Export (33 kV)]]*(1-RD[[#This Row],[33 kV Line Loss (%)]]),RD[[#This Row],[ Export (33 kV)]])</f>
        <v>0</v>
      </c>
      <c r="BP135" s="121"/>
      <c r="BQ135" s="121"/>
      <c r="BR135" s="121"/>
      <c r="BS135" t="str">
        <f>IFERROR(RD[[#This Row],[E_AC (WPR)]]/RD[[#This Row],[E_DC (WPR)]],"")</f>
        <v/>
      </c>
    </row>
    <row r="136" spans="1:71">
      <c r="A136" s="147">
        <f t="shared" si="71"/>
        <v>45970</v>
      </c>
      <c r="B136" s="150">
        <f>YEAR(RD[[#This Row],[Date]])+IF(MONTH(RD[[#This Row],[Date]])&gt;=4,1,0)</f>
        <v>2026</v>
      </c>
      <c r="C136" s="150">
        <f>YEAR(RD[[#This Row],[Date]])</f>
        <v>2025</v>
      </c>
      <c r="D136" s="151">
        <f t="shared" si="70"/>
        <v>45962</v>
      </c>
      <c r="E136" s="150">
        <f>DAY(EOMONTH(RD[[#This Row],[Date]],0))</f>
        <v>30</v>
      </c>
      <c r="F136" s="121"/>
      <c r="G136" s="121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66"/>
      <c r="AF136" s="166"/>
      <c r="AG136" s="166"/>
      <c r="AH136" s="166"/>
      <c r="AI136" s="166"/>
      <c r="AJ136" s="166"/>
      <c r="AK136" s="166"/>
      <c r="AL136" s="166"/>
      <c r="AM136" s="59"/>
      <c r="AN136" s="59"/>
      <c r="AO136" s="59"/>
      <c r="AP136" s="59"/>
      <c r="AQ136" s="59"/>
      <c r="AR136" s="59"/>
      <c r="AS136" s="59"/>
      <c r="AT136" s="59"/>
      <c r="AU136" s="60">
        <f>SUM(RD[[#This Row],[IS2Inv1M1]:[IS4Inv1M3]])</f>
        <v>0</v>
      </c>
      <c r="AV136" s="60">
        <f>SUM(RD[[#This Row],[IS5Inv1M1]:[IS5Inv2M3]])</f>
        <v>0</v>
      </c>
      <c r="AW136" s="60">
        <f>SUM(RD[[#This Row],[O2RE9]:[O2RE192]])</f>
        <v>0</v>
      </c>
      <c r="AX136" s="152"/>
      <c r="AY136" s="152"/>
      <c r="AZ136" s="152"/>
      <c r="BA136" s="152"/>
      <c r="BB136" s="152"/>
      <c r="BC136" s="152"/>
      <c r="BD136" s="153" t="str">
        <f>IF((RD[[#This Row],[33 kV_F1_Ex (O2RE9)]]-AX135)*150000&lt;=0,"",(RD[[#This Row],[33 kV_F1_Ex (O2RE9)]]-AX135)*150000)</f>
        <v/>
      </c>
      <c r="BE136" s="153">
        <f>IF((RD[[#This Row],[33kV_OG1_Ex (O2RE9)]]-AY135)*1000&lt;=0,0,(RD[[#This Row],[33kV_OG1_Ex (O2RE9)]]-AY135)*1000)</f>
        <v>0</v>
      </c>
      <c r="BF136" s="153"/>
      <c r="BG136" s="153" t="str">
        <f>IF((RD[[#This Row],[33 kV_F2_Ex (O2RE19)]]-BA135)*150000&lt;=0,"",(RD[[#This Row],[33 kV_F2_Ex (O2RE19)]]-BA135)*150000)</f>
        <v/>
      </c>
      <c r="BH136" s="153">
        <f>IF((RD[[#This Row],[33kV_OG2_Ex (O2RE19)]]-BB135)*1000&lt;=0,0,(RD[[#This Row],[33kV_OG2_Ex (O2RE19)]]-BB135)*1000)</f>
        <v>0</v>
      </c>
      <c r="BI136" s="153">
        <f>IF((RD[[#This Row],[33kV_Aux2_Im (O2RE19)]]-BC135)*1000&lt;0,"",(RD[[#This Row],[33kV_Aux2_Im (O2RE19)]]-BC135)*1000)</f>
        <v>0</v>
      </c>
      <c r="BJ136" s="153">
        <f>IF((RD[[#This Row],[33kV_Aux1_Im (O2RE9)]]-AZ135)*1000&lt;0,"",(RD[[#This Row],[33kV_Aux1_Im (O2RE9)]]-AZ135)*1000)</f>
        <v>0</v>
      </c>
      <c r="BK136" s="153">
        <f>SUM(RD[[#This Row],[33kV_OG1_O2RE9_Energy (KWh)]],RD[[#This Row],[33kV_OG2_O2RE19_Energy (KWh)]])</f>
        <v>0</v>
      </c>
      <c r="BL136" s="62" t="str">
        <f>IFERROR(RD[[#This Row],[33 kV Total Export (KWH)]]/RD[[#This Row],[Inv Total Gneration (MWh)]]-1,"")</f>
        <v/>
      </c>
      <c r="BM136" s="63">
        <f>IFERROR((RD[[#This Row],[Sunset Time (POA&lt;20 W/m2)]]-RD[[#This Row],[Sunrise Time (POA&gt;20 W/m2)]])*24,0)</f>
        <v>0</v>
      </c>
      <c r="BN136" s="64">
        <f>SUM(RD[[#This Row],[33kV_OG1_O2RE9_Energy (KWh)]],RD[[#This Row],[33kV_OG2_O2RE19_Energy (KWh)]])</f>
        <v>0</v>
      </c>
      <c r="BO136" s="64">
        <f>IFERROR(RD[[#This Row],[ Export (33 kV)]]*(1-RD[[#This Row],[33 kV Line Loss (%)]]),RD[[#This Row],[ Export (33 kV)]])</f>
        <v>0</v>
      </c>
      <c r="BP136" s="121"/>
      <c r="BQ136" s="121"/>
      <c r="BR136" s="121"/>
      <c r="BS136" t="str">
        <f>IFERROR(RD[[#This Row],[E_AC (WPR)]]/RD[[#This Row],[E_DC (WPR)]],"")</f>
        <v/>
      </c>
    </row>
    <row r="137" spans="1:71">
      <c r="A137" s="147">
        <f t="shared" si="71"/>
        <v>45971</v>
      </c>
      <c r="B137" s="150">
        <f>YEAR(RD[[#This Row],[Date]])+IF(MONTH(RD[[#This Row],[Date]])&gt;=4,1,0)</f>
        <v>2026</v>
      </c>
      <c r="C137" s="150">
        <f>YEAR(RD[[#This Row],[Date]])</f>
        <v>2025</v>
      </c>
      <c r="D137" s="151">
        <f t="shared" si="70"/>
        <v>45962</v>
      </c>
      <c r="E137" s="150">
        <f>DAY(EOMONTH(RD[[#This Row],[Date]],0))</f>
        <v>30</v>
      </c>
      <c r="F137" s="121"/>
      <c r="G137" s="121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66"/>
      <c r="AF137" s="166"/>
      <c r="AG137" s="166"/>
      <c r="AH137" s="166"/>
      <c r="AI137" s="166"/>
      <c r="AJ137" s="166"/>
      <c r="AK137" s="166"/>
      <c r="AL137" s="166"/>
      <c r="AM137" s="59"/>
      <c r="AN137" s="59"/>
      <c r="AO137" s="59"/>
      <c r="AP137" s="59"/>
      <c r="AQ137" s="59"/>
      <c r="AR137" s="59"/>
      <c r="AS137" s="59"/>
      <c r="AT137" s="59"/>
      <c r="AU137" s="60">
        <f>SUM(RD[[#This Row],[IS2Inv1M1]:[IS4Inv1M3]])</f>
        <v>0</v>
      </c>
      <c r="AV137" s="60">
        <f>SUM(RD[[#This Row],[IS5Inv1M1]:[IS5Inv2M3]])</f>
        <v>0</v>
      </c>
      <c r="AW137" s="60">
        <f>SUM(RD[[#This Row],[O2RE9]:[O2RE192]])</f>
        <v>0</v>
      </c>
      <c r="AX137" s="152"/>
      <c r="AY137" s="152"/>
      <c r="AZ137" s="152"/>
      <c r="BA137" s="152"/>
      <c r="BB137" s="152"/>
      <c r="BC137" s="152"/>
      <c r="BD137" s="153" t="str">
        <f>IF((RD[[#This Row],[33 kV_F1_Ex (O2RE9)]]-AX136)*150000&lt;=0,"",(RD[[#This Row],[33 kV_F1_Ex (O2RE9)]]-AX136)*150000)</f>
        <v/>
      </c>
      <c r="BE137" s="153">
        <f>IF((RD[[#This Row],[33kV_OG1_Ex (O2RE9)]]-AY136)*1000&lt;=0,0,(RD[[#This Row],[33kV_OG1_Ex (O2RE9)]]-AY136)*1000)</f>
        <v>0</v>
      </c>
      <c r="BF137" s="153"/>
      <c r="BG137" s="153" t="str">
        <f>IF((RD[[#This Row],[33 kV_F2_Ex (O2RE19)]]-BA136)*150000&lt;=0,"",(RD[[#This Row],[33 kV_F2_Ex (O2RE19)]]-BA136)*150000)</f>
        <v/>
      </c>
      <c r="BH137" s="153">
        <f>IF((RD[[#This Row],[33kV_OG2_Ex (O2RE19)]]-BB136)*1000&lt;=0,0,(RD[[#This Row],[33kV_OG2_Ex (O2RE19)]]-BB136)*1000)</f>
        <v>0</v>
      </c>
      <c r="BI137" s="153">
        <f>IF((RD[[#This Row],[33kV_Aux2_Im (O2RE19)]]-BC136)*1000&lt;0,"",(RD[[#This Row],[33kV_Aux2_Im (O2RE19)]]-BC136)*1000)</f>
        <v>0</v>
      </c>
      <c r="BJ137" s="153">
        <f>IF((RD[[#This Row],[33kV_Aux1_Im (O2RE9)]]-AZ136)*1000&lt;0,"",(RD[[#This Row],[33kV_Aux1_Im (O2RE9)]]-AZ136)*1000)</f>
        <v>0</v>
      </c>
      <c r="BK137" s="153">
        <f>SUM(RD[[#This Row],[33kV_OG1_O2RE9_Energy (KWh)]],RD[[#This Row],[33kV_OG2_O2RE19_Energy (KWh)]])</f>
        <v>0</v>
      </c>
      <c r="BL137" s="62" t="str">
        <f>IFERROR(RD[[#This Row],[33 kV Total Export (KWH)]]/RD[[#This Row],[Inv Total Gneration (MWh)]]-1,"")</f>
        <v/>
      </c>
      <c r="BM137" s="63">
        <f>IFERROR((RD[[#This Row],[Sunset Time (POA&lt;20 W/m2)]]-RD[[#This Row],[Sunrise Time (POA&gt;20 W/m2)]])*24,0)</f>
        <v>0</v>
      </c>
      <c r="BN137" s="64">
        <f>SUM(RD[[#This Row],[33kV_OG1_O2RE9_Energy (KWh)]],RD[[#This Row],[33kV_OG2_O2RE19_Energy (KWh)]])</f>
        <v>0</v>
      </c>
      <c r="BO137" s="64">
        <f>IFERROR(RD[[#This Row],[ Export (33 kV)]]*(1-RD[[#This Row],[33 kV Line Loss (%)]]),RD[[#This Row],[ Export (33 kV)]])</f>
        <v>0</v>
      </c>
      <c r="BP137" s="121"/>
      <c r="BQ137" s="121"/>
      <c r="BR137" s="121"/>
      <c r="BS137" t="str">
        <f>IFERROR(RD[[#This Row],[E_AC (WPR)]]/RD[[#This Row],[E_DC (WPR)]],"")</f>
        <v/>
      </c>
    </row>
    <row r="138" spans="1:71">
      <c r="A138" s="147">
        <f t="shared" si="71"/>
        <v>45972</v>
      </c>
      <c r="B138" s="150">
        <f>YEAR(RD[[#This Row],[Date]])+IF(MONTH(RD[[#This Row],[Date]])&gt;=4,1,0)</f>
        <v>2026</v>
      </c>
      <c r="C138" s="150">
        <f>YEAR(RD[[#This Row],[Date]])</f>
        <v>2025</v>
      </c>
      <c r="D138" s="151">
        <f t="shared" si="70"/>
        <v>45962</v>
      </c>
      <c r="E138" s="150">
        <f>DAY(EOMONTH(RD[[#This Row],[Date]],0))</f>
        <v>30</v>
      </c>
      <c r="F138" s="121"/>
      <c r="G138" s="121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66"/>
      <c r="AF138" s="166"/>
      <c r="AG138" s="166"/>
      <c r="AH138" s="166"/>
      <c r="AI138" s="166"/>
      <c r="AJ138" s="166"/>
      <c r="AK138" s="166"/>
      <c r="AL138" s="166"/>
      <c r="AM138" s="59"/>
      <c r="AN138" s="59"/>
      <c r="AO138" s="59"/>
      <c r="AP138" s="59"/>
      <c r="AQ138" s="59"/>
      <c r="AR138" s="59"/>
      <c r="AS138" s="59"/>
      <c r="AT138" s="59"/>
      <c r="AU138" s="60">
        <f>SUM(RD[[#This Row],[IS2Inv1M1]:[IS4Inv1M3]])</f>
        <v>0</v>
      </c>
      <c r="AV138" s="60">
        <f>SUM(RD[[#This Row],[IS5Inv1M1]:[IS5Inv2M3]])</f>
        <v>0</v>
      </c>
      <c r="AW138" s="60">
        <f>SUM(RD[[#This Row],[O2RE9]:[O2RE192]])</f>
        <v>0</v>
      </c>
      <c r="AX138" s="152"/>
      <c r="AY138" s="152"/>
      <c r="AZ138" s="152"/>
      <c r="BA138" s="152"/>
      <c r="BB138" s="152"/>
      <c r="BC138" s="152"/>
      <c r="BD138" s="153" t="str">
        <f>IF((RD[[#This Row],[33 kV_F1_Ex (O2RE9)]]-AX137)*150000&lt;=0,"",(RD[[#This Row],[33 kV_F1_Ex (O2RE9)]]-AX137)*150000)</f>
        <v/>
      </c>
      <c r="BE138" s="153">
        <f>IF((RD[[#This Row],[33kV_OG1_Ex (O2RE9)]]-AY137)*1000&lt;=0,0,(RD[[#This Row],[33kV_OG1_Ex (O2RE9)]]-AY137)*1000)</f>
        <v>0</v>
      </c>
      <c r="BF138" s="153"/>
      <c r="BG138" s="153" t="str">
        <f>IF((RD[[#This Row],[33 kV_F2_Ex (O2RE19)]]-BA137)*150000&lt;=0,"",(RD[[#This Row],[33 kV_F2_Ex (O2RE19)]]-BA137)*150000)</f>
        <v/>
      </c>
      <c r="BH138" s="153">
        <f>IF((RD[[#This Row],[33kV_OG2_Ex (O2RE19)]]-BB137)*1000&lt;=0,0,(RD[[#This Row],[33kV_OG2_Ex (O2RE19)]]-BB137)*1000)</f>
        <v>0</v>
      </c>
      <c r="BI138" s="153">
        <f>IF((RD[[#This Row],[33kV_Aux2_Im (O2RE19)]]-BC137)*1000&lt;0,"",(RD[[#This Row],[33kV_Aux2_Im (O2RE19)]]-BC137)*1000)</f>
        <v>0</v>
      </c>
      <c r="BJ138" s="153">
        <f>IF((RD[[#This Row],[33kV_Aux1_Im (O2RE9)]]-AZ137)*1000&lt;0,"",(RD[[#This Row],[33kV_Aux1_Im (O2RE9)]]-AZ137)*1000)</f>
        <v>0</v>
      </c>
      <c r="BK138" s="153">
        <f>SUM(RD[[#This Row],[33kV_OG1_O2RE9_Energy (KWh)]],RD[[#This Row],[33kV_OG2_O2RE19_Energy (KWh)]])</f>
        <v>0</v>
      </c>
      <c r="BL138" s="62" t="str">
        <f>IFERROR(RD[[#This Row],[33 kV Total Export (KWH)]]/RD[[#This Row],[Inv Total Gneration (MWh)]]-1,"")</f>
        <v/>
      </c>
      <c r="BM138" s="63">
        <f>IFERROR((RD[[#This Row],[Sunset Time (POA&lt;20 W/m2)]]-RD[[#This Row],[Sunrise Time (POA&gt;20 W/m2)]])*24,0)</f>
        <v>0</v>
      </c>
      <c r="BN138" s="64">
        <f>SUM(RD[[#This Row],[33kV_OG1_O2RE9_Energy (KWh)]],RD[[#This Row],[33kV_OG2_O2RE19_Energy (KWh)]])</f>
        <v>0</v>
      </c>
      <c r="BO138" s="64">
        <f>IFERROR(RD[[#This Row],[ Export (33 kV)]]*(1-RD[[#This Row],[33 kV Line Loss (%)]]),RD[[#This Row],[ Export (33 kV)]])</f>
        <v>0</v>
      </c>
      <c r="BP138" s="121"/>
      <c r="BQ138" s="121"/>
      <c r="BR138" s="121"/>
      <c r="BS138" t="str">
        <f>IFERROR(RD[[#This Row],[E_AC (WPR)]]/RD[[#This Row],[E_DC (WPR)]],"")</f>
        <v/>
      </c>
    </row>
    <row r="139" spans="1:71">
      <c r="A139" s="147">
        <f t="shared" si="71"/>
        <v>45973</v>
      </c>
      <c r="B139" s="150">
        <f>YEAR(RD[[#This Row],[Date]])+IF(MONTH(RD[[#This Row],[Date]])&gt;=4,1,0)</f>
        <v>2026</v>
      </c>
      <c r="C139" s="150">
        <f>YEAR(RD[[#This Row],[Date]])</f>
        <v>2025</v>
      </c>
      <c r="D139" s="151">
        <f t="shared" si="70"/>
        <v>45962</v>
      </c>
      <c r="E139" s="150">
        <f>DAY(EOMONTH(RD[[#This Row],[Date]],0))</f>
        <v>30</v>
      </c>
      <c r="F139" s="121"/>
      <c r="G139" s="121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66"/>
      <c r="AF139" s="166"/>
      <c r="AG139" s="166"/>
      <c r="AH139" s="166"/>
      <c r="AI139" s="166"/>
      <c r="AJ139" s="166"/>
      <c r="AK139" s="166"/>
      <c r="AL139" s="166"/>
      <c r="AM139" s="59"/>
      <c r="AN139" s="59"/>
      <c r="AO139" s="59"/>
      <c r="AP139" s="59"/>
      <c r="AQ139" s="59"/>
      <c r="AR139" s="59"/>
      <c r="AS139" s="59"/>
      <c r="AT139" s="59"/>
      <c r="AU139" s="60">
        <f>SUM(RD[[#This Row],[IS2Inv1M1]:[IS4Inv1M3]])</f>
        <v>0</v>
      </c>
      <c r="AV139" s="60">
        <f>SUM(RD[[#This Row],[IS5Inv1M1]:[IS5Inv2M3]])</f>
        <v>0</v>
      </c>
      <c r="AW139" s="60">
        <f>SUM(RD[[#This Row],[O2RE9]:[O2RE192]])</f>
        <v>0</v>
      </c>
      <c r="AX139" s="152"/>
      <c r="AY139" s="152"/>
      <c r="AZ139" s="152"/>
      <c r="BA139" s="152"/>
      <c r="BB139" s="152"/>
      <c r="BC139" s="152"/>
      <c r="BD139" s="153" t="str">
        <f>IF((RD[[#This Row],[33 kV_F1_Ex (O2RE9)]]-AX138)*150000&lt;=0,"",(RD[[#This Row],[33 kV_F1_Ex (O2RE9)]]-AX138)*150000)</f>
        <v/>
      </c>
      <c r="BE139" s="153">
        <f>IF((RD[[#This Row],[33kV_OG1_Ex (O2RE9)]]-AY138)*1000&lt;=0,0,(RD[[#This Row],[33kV_OG1_Ex (O2RE9)]]-AY138)*1000)</f>
        <v>0</v>
      </c>
      <c r="BF139" s="153"/>
      <c r="BG139" s="153" t="str">
        <f>IF((RD[[#This Row],[33 kV_F2_Ex (O2RE19)]]-BA138)*150000&lt;=0,"",(RD[[#This Row],[33 kV_F2_Ex (O2RE19)]]-BA138)*150000)</f>
        <v/>
      </c>
      <c r="BH139" s="153">
        <f>IF((RD[[#This Row],[33kV_OG2_Ex (O2RE19)]]-BB138)*1000&lt;=0,0,(RD[[#This Row],[33kV_OG2_Ex (O2RE19)]]-BB138)*1000)</f>
        <v>0</v>
      </c>
      <c r="BI139" s="153">
        <f>IF((RD[[#This Row],[33kV_Aux2_Im (O2RE19)]]-BC138)*1000&lt;0,"",(RD[[#This Row],[33kV_Aux2_Im (O2RE19)]]-BC138)*1000)</f>
        <v>0</v>
      </c>
      <c r="BJ139" s="153">
        <f>IF((RD[[#This Row],[33kV_Aux1_Im (O2RE9)]]-AZ138)*1000&lt;0,"",(RD[[#This Row],[33kV_Aux1_Im (O2RE9)]]-AZ138)*1000)</f>
        <v>0</v>
      </c>
      <c r="BK139" s="153">
        <f>SUM(RD[[#This Row],[33kV_OG1_O2RE9_Energy (KWh)]],RD[[#This Row],[33kV_OG2_O2RE19_Energy (KWh)]])</f>
        <v>0</v>
      </c>
      <c r="BL139" s="62" t="str">
        <f>IFERROR(RD[[#This Row],[33 kV Total Export (KWH)]]/RD[[#This Row],[Inv Total Gneration (MWh)]]-1,"")</f>
        <v/>
      </c>
      <c r="BM139" s="63">
        <f>IFERROR((RD[[#This Row],[Sunset Time (POA&lt;20 W/m2)]]-RD[[#This Row],[Sunrise Time (POA&gt;20 W/m2)]])*24,0)</f>
        <v>0</v>
      </c>
      <c r="BN139" s="64">
        <f>SUM(RD[[#This Row],[33kV_OG1_O2RE9_Energy (KWh)]],RD[[#This Row],[33kV_OG2_O2RE19_Energy (KWh)]])</f>
        <v>0</v>
      </c>
      <c r="BO139" s="64">
        <f>IFERROR(RD[[#This Row],[ Export (33 kV)]]*(1-RD[[#This Row],[33 kV Line Loss (%)]]),RD[[#This Row],[ Export (33 kV)]])</f>
        <v>0</v>
      </c>
      <c r="BP139" s="121"/>
      <c r="BQ139" s="121"/>
      <c r="BR139" s="121"/>
      <c r="BS139" t="str">
        <f>IFERROR(RD[[#This Row],[E_AC (WPR)]]/RD[[#This Row],[E_DC (WPR)]],"")</f>
        <v/>
      </c>
    </row>
    <row r="140" spans="1:71">
      <c r="A140" s="147">
        <f t="shared" si="71"/>
        <v>45974</v>
      </c>
      <c r="B140" s="150">
        <f>YEAR(RD[[#This Row],[Date]])+IF(MONTH(RD[[#This Row],[Date]])&gt;=4,1,0)</f>
        <v>2026</v>
      </c>
      <c r="C140" s="150">
        <f>YEAR(RD[[#This Row],[Date]])</f>
        <v>2025</v>
      </c>
      <c r="D140" s="151">
        <f t="shared" si="70"/>
        <v>45962</v>
      </c>
      <c r="E140" s="150">
        <f>DAY(EOMONTH(RD[[#This Row],[Date]],0))</f>
        <v>30</v>
      </c>
      <c r="F140" s="121"/>
      <c r="G140" s="121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66"/>
      <c r="AF140" s="166"/>
      <c r="AG140" s="166"/>
      <c r="AH140" s="166"/>
      <c r="AI140" s="166"/>
      <c r="AJ140" s="166"/>
      <c r="AK140" s="166"/>
      <c r="AL140" s="166"/>
      <c r="AM140" s="59"/>
      <c r="AN140" s="59"/>
      <c r="AO140" s="59"/>
      <c r="AP140" s="59"/>
      <c r="AQ140" s="59"/>
      <c r="AR140" s="59"/>
      <c r="AS140" s="59"/>
      <c r="AT140" s="59"/>
      <c r="AU140" s="60">
        <f>SUM(RD[[#This Row],[IS2Inv1M1]:[IS4Inv1M3]])</f>
        <v>0</v>
      </c>
      <c r="AV140" s="60">
        <f>SUM(RD[[#This Row],[IS5Inv1M1]:[IS5Inv2M3]])</f>
        <v>0</v>
      </c>
      <c r="AW140" s="60">
        <f>SUM(RD[[#This Row],[O2RE9]:[O2RE192]])</f>
        <v>0</v>
      </c>
      <c r="AX140" s="152"/>
      <c r="AY140" s="152"/>
      <c r="AZ140" s="152"/>
      <c r="BA140" s="152"/>
      <c r="BB140" s="152"/>
      <c r="BC140" s="152"/>
      <c r="BD140" s="153" t="str">
        <f>IF((RD[[#This Row],[33 kV_F1_Ex (O2RE9)]]-AX139)*150000&lt;=0,"",(RD[[#This Row],[33 kV_F1_Ex (O2RE9)]]-AX139)*150000)</f>
        <v/>
      </c>
      <c r="BE140" s="153">
        <f>IF((RD[[#This Row],[33kV_OG1_Ex (O2RE9)]]-AY139)*1000&lt;=0,0,(RD[[#This Row],[33kV_OG1_Ex (O2RE9)]]-AY139)*1000)</f>
        <v>0</v>
      </c>
      <c r="BF140" s="153"/>
      <c r="BG140" s="153" t="str">
        <f>IF((RD[[#This Row],[33 kV_F2_Ex (O2RE19)]]-BA139)*150000&lt;=0,"",(RD[[#This Row],[33 kV_F2_Ex (O2RE19)]]-BA139)*150000)</f>
        <v/>
      </c>
      <c r="BH140" s="153">
        <f>IF((RD[[#This Row],[33kV_OG2_Ex (O2RE19)]]-BB139)*1000&lt;=0,0,(RD[[#This Row],[33kV_OG2_Ex (O2RE19)]]-BB139)*1000)</f>
        <v>0</v>
      </c>
      <c r="BI140" s="153">
        <f>IF((RD[[#This Row],[33kV_Aux2_Im (O2RE19)]]-BC139)*1000&lt;0,"",(RD[[#This Row],[33kV_Aux2_Im (O2RE19)]]-BC139)*1000)</f>
        <v>0</v>
      </c>
      <c r="BJ140" s="153">
        <f>IF((RD[[#This Row],[33kV_Aux1_Im (O2RE9)]]-AZ139)*1000&lt;0,"",(RD[[#This Row],[33kV_Aux1_Im (O2RE9)]]-AZ139)*1000)</f>
        <v>0</v>
      </c>
      <c r="BK140" s="153">
        <f>SUM(RD[[#This Row],[33kV_OG1_O2RE9_Energy (KWh)]],RD[[#This Row],[33kV_OG2_O2RE19_Energy (KWh)]])</f>
        <v>0</v>
      </c>
      <c r="BL140" s="62" t="str">
        <f>IFERROR(RD[[#This Row],[33 kV Total Export (KWH)]]/RD[[#This Row],[Inv Total Gneration (MWh)]]-1,"")</f>
        <v/>
      </c>
      <c r="BM140" s="63">
        <f>IFERROR((RD[[#This Row],[Sunset Time (POA&lt;20 W/m2)]]-RD[[#This Row],[Sunrise Time (POA&gt;20 W/m2)]])*24,0)</f>
        <v>0</v>
      </c>
      <c r="BN140" s="64">
        <f>SUM(RD[[#This Row],[33kV_OG1_O2RE9_Energy (KWh)]],RD[[#This Row],[33kV_OG2_O2RE19_Energy (KWh)]])</f>
        <v>0</v>
      </c>
      <c r="BO140" s="64">
        <f>IFERROR(RD[[#This Row],[ Export (33 kV)]]*(1-RD[[#This Row],[33 kV Line Loss (%)]]),RD[[#This Row],[ Export (33 kV)]])</f>
        <v>0</v>
      </c>
      <c r="BP140" s="121"/>
      <c r="BQ140" s="121"/>
      <c r="BR140" s="121"/>
      <c r="BS140" t="str">
        <f>IFERROR(RD[[#This Row],[E_AC (WPR)]]/RD[[#This Row],[E_DC (WPR)]],"")</f>
        <v/>
      </c>
    </row>
    <row r="141" spans="1:71">
      <c r="A141" s="147">
        <f t="shared" si="71"/>
        <v>45975</v>
      </c>
      <c r="B141" s="150">
        <f>YEAR(RD[[#This Row],[Date]])+IF(MONTH(RD[[#This Row],[Date]])&gt;=4,1,0)</f>
        <v>2026</v>
      </c>
      <c r="C141" s="150">
        <f>YEAR(RD[[#This Row],[Date]])</f>
        <v>2025</v>
      </c>
      <c r="D141" s="151">
        <f t="shared" ref="D141:D204" si="72">A141-DAY(A141)+1</f>
        <v>45962</v>
      </c>
      <c r="E141" s="150">
        <f>DAY(EOMONTH(RD[[#This Row],[Date]],0))</f>
        <v>30</v>
      </c>
      <c r="F141" s="121"/>
      <c r="G141" s="121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66"/>
      <c r="AF141" s="166"/>
      <c r="AG141" s="166"/>
      <c r="AH141" s="166"/>
      <c r="AI141" s="166"/>
      <c r="AJ141" s="166"/>
      <c r="AK141" s="166"/>
      <c r="AL141" s="166"/>
      <c r="AM141" s="59"/>
      <c r="AN141" s="59"/>
      <c r="AO141" s="59"/>
      <c r="AP141" s="59"/>
      <c r="AQ141" s="59"/>
      <c r="AR141" s="59"/>
      <c r="AS141" s="59"/>
      <c r="AT141" s="59"/>
      <c r="AU141" s="60">
        <f>SUM(RD[[#This Row],[IS2Inv1M1]:[IS4Inv1M3]])</f>
        <v>0</v>
      </c>
      <c r="AV141" s="60">
        <f>SUM(RD[[#This Row],[IS5Inv1M1]:[IS5Inv2M3]])</f>
        <v>0</v>
      </c>
      <c r="AW141" s="60">
        <f>SUM(RD[[#This Row],[O2RE9]:[O2RE192]])</f>
        <v>0</v>
      </c>
      <c r="AX141" s="152"/>
      <c r="AY141" s="152"/>
      <c r="AZ141" s="152"/>
      <c r="BA141" s="152"/>
      <c r="BB141" s="152"/>
      <c r="BC141" s="152"/>
      <c r="BD141" s="153" t="str">
        <f>IF((RD[[#This Row],[33 kV_F1_Ex (O2RE9)]]-AX140)*150000&lt;=0,"",(RD[[#This Row],[33 kV_F1_Ex (O2RE9)]]-AX140)*150000)</f>
        <v/>
      </c>
      <c r="BE141" s="153">
        <f>IF((RD[[#This Row],[33kV_OG1_Ex (O2RE9)]]-AY140)*1000&lt;=0,0,(RD[[#This Row],[33kV_OG1_Ex (O2RE9)]]-AY140)*1000)</f>
        <v>0</v>
      </c>
      <c r="BF141" s="153"/>
      <c r="BG141" s="153" t="str">
        <f>IF((RD[[#This Row],[33 kV_F2_Ex (O2RE19)]]-BA140)*150000&lt;=0,"",(RD[[#This Row],[33 kV_F2_Ex (O2RE19)]]-BA140)*150000)</f>
        <v/>
      </c>
      <c r="BH141" s="153">
        <f>IF((RD[[#This Row],[33kV_OG2_Ex (O2RE19)]]-BB140)*1000&lt;=0,0,(RD[[#This Row],[33kV_OG2_Ex (O2RE19)]]-BB140)*1000)</f>
        <v>0</v>
      </c>
      <c r="BI141" s="153">
        <f>IF((RD[[#This Row],[33kV_Aux2_Im (O2RE19)]]-BC140)*1000&lt;0,"",(RD[[#This Row],[33kV_Aux2_Im (O2RE19)]]-BC140)*1000)</f>
        <v>0</v>
      </c>
      <c r="BJ141" s="153">
        <f>IF((RD[[#This Row],[33kV_Aux1_Im (O2RE9)]]-AZ140)*1000&lt;0,"",(RD[[#This Row],[33kV_Aux1_Im (O2RE9)]]-AZ140)*1000)</f>
        <v>0</v>
      </c>
      <c r="BK141" s="153">
        <f>SUM(RD[[#This Row],[33kV_OG1_O2RE9_Energy (KWh)]],RD[[#This Row],[33kV_OG2_O2RE19_Energy (KWh)]])</f>
        <v>0</v>
      </c>
      <c r="BL141" s="62" t="str">
        <f>IFERROR(RD[[#This Row],[33 kV Total Export (KWH)]]/RD[[#This Row],[Inv Total Gneration (MWh)]]-1,"")</f>
        <v/>
      </c>
      <c r="BM141" s="63">
        <f>IFERROR((RD[[#This Row],[Sunset Time (POA&lt;20 W/m2)]]-RD[[#This Row],[Sunrise Time (POA&gt;20 W/m2)]])*24,0)</f>
        <v>0</v>
      </c>
      <c r="BN141" s="64">
        <f>SUM(RD[[#This Row],[33kV_OG1_O2RE9_Energy (KWh)]],RD[[#This Row],[33kV_OG2_O2RE19_Energy (KWh)]])</f>
        <v>0</v>
      </c>
      <c r="BO141" s="64">
        <f>IFERROR(RD[[#This Row],[ Export (33 kV)]]*(1-RD[[#This Row],[33 kV Line Loss (%)]]),RD[[#This Row],[ Export (33 kV)]])</f>
        <v>0</v>
      </c>
      <c r="BP141" s="121"/>
      <c r="BQ141" s="121"/>
      <c r="BR141" s="121"/>
      <c r="BS141" t="str">
        <f>IFERROR(RD[[#This Row],[E_AC (WPR)]]/RD[[#This Row],[E_DC (WPR)]],"")</f>
        <v/>
      </c>
    </row>
    <row r="142" spans="1:71">
      <c r="A142" s="147">
        <f t="shared" si="71"/>
        <v>45976</v>
      </c>
      <c r="B142" s="150">
        <f>YEAR(RD[[#This Row],[Date]])+IF(MONTH(RD[[#This Row],[Date]])&gt;=4,1,0)</f>
        <v>2026</v>
      </c>
      <c r="C142" s="150">
        <f>YEAR(RD[[#This Row],[Date]])</f>
        <v>2025</v>
      </c>
      <c r="D142" s="151">
        <f t="shared" si="72"/>
        <v>45962</v>
      </c>
      <c r="E142" s="150">
        <f>DAY(EOMONTH(RD[[#This Row],[Date]],0))</f>
        <v>30</v>
      </c>
      <c r="F142" s="121"/>
      <c r="G142" s="121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66"/>
      <c r="AF142" s="166"/>
      <c r="AG142" s="166"/>
      <c r="AH142" s="166"/>
      <c r="AI142" s="166"/>
      <c r="AJ142" s="166"/>
      <c r="AK142" s="166"/>
      <c r="AL142" s="166"/>
      <c r="AM142" s="59"/>
      <c r="AN142" s="59"/>
      <c r="AO142" s="59"/>
      <c r="AP142" s="59"/>
      <c r="AQ142" s="59"/>
      <c r="AR142" s="59"/>
      <c r="AS142" s="59"/>
      <c r="AT142" s="59"/>
      <c r="AU142" s="60">
        <f>SUM(RD[[#This Row],[IS2Inv1M1]:[IS4Inv1M3]])</f>
        <v>0</v>
      </c>
      <c r="AV142" s="60">
        <f>SUM(RD[[#This Row],[IS5Inv1M1]:[IS5Inv2M3]])</f>
        <v>0</v>
      </c>
      <c r="AW142" s="60">
        <f>SUM(RD[[#This Row],[O2RE9]:[O2RE192]])</f>
        <v>0</v>
      </c>
      <c r="AX142" s="152"/>
      <c r="AY142" s="152"/>
      <c r="AZ142" s="152"/>
      <c r="BA142" s="152"/>
      <c r="BB142" s="152"/>
      <c r="BC142" s="152"/>
      <c r="BD142" s="153" t="str">
        <f>IF((RD[[#This Row],[33 kV_F1_Ex (O2RE9)]]-AX141)*150000&lt;=0,"",(RD[[#This Row],[33 kV_F1_Ex (O2RE9)]]-AX141)*150000)</f>
        <v/>
      </c>
      <c r="BE142" s="153">
        <f>IF((RD[[#This Row],[33kV_OG1_Ex (O2RE9)]]-AY141)*1000&lt;=0,0,(RD[[#This Row],[33kV_OG1_Ex (O2RE9)]]-AY141)*1000)</f>
        <v>0</v>
      </c>
      <c r="BF142" s="153"/>
      <c r="BG142" s="153" t="str">
        <f>IF((RD[[#This Row],[33 kV_F2_Ex (O2RE19)]]-BA141)*150000&lt;=0,"",(RD[[#This Row],[33 kV_F2_Ex (O2RE19)]]-BA141)*150000)</f>
        <v/>
      </c>
      <c r="BH142" s="153">
        <f>IF((RD[[#This Row],[33kV_OG2_Ex (O2RE19)]]-BB141)*1000&lt;=0,0,(RD[[#This Row],[33kV_OG2_Ex (O2RE19)]]-BB141)*1000)</f>
        <v>0</v>
      </c>
      <c r="BI142" s="153">
        <f>IF((RD[[#This Row],[33kV_Aux2_Im (O2RE19)]]-BC141)*1000&lt;0,"",(RD[[#This Row],[33kV_Aux2_Im (O2RE19)]]-BC141)*1000)</f>
        <v>0</v>
      </c>
      <c r="BJ142" s="153">
        <f>IF((RD[[#This Row],[33kV_Aux1_Im (O2RE9)]]-AZ141)*1000&lt;0,"",(RD[[#This Row],[33kV_Aux1_Im (O2RE9)]]-AZ141)*1000)</f>
        <v>0</v>
      </c>
      <c r="BK142" s="153">
        <f>SUM(RD[[#This Row],[33kV_OG1_O2RE9_Energy (KWh)]],RD[[#This Row],[33kV_OG2_O2RE19_Energy (KWh)]])</f>
        <v>0</v>
      </c>
      <c r="BL142" s="62" t="str">
        <f>IFERROR(RD[[#This Row],[33 kV Total Export (KWH)]]/RD[[#This Row],[Inv Total Gneration (MWh)]]-1,"")</f>
        <v/>
      </c>
      <c r="BM142" s="63">
        <f>IFERROR((RD[[#This Row],[Sunset Time (POA&lt;20 W/m2)]]-RD[[#This Row],[Sunrise Time (POA&gt;20 W/m2)]])*24,0)</f>
        <v>0</v>
      </c>
      <c r="BN142" s="64">
        <f>SUM(RD[[#This Row],[33kV_OG1_O2RE9_Energy (KWh)]],RD[[#This Row],[33kV_OG2_O2RE19_Energy (KWh)]])</f>
        <v>0</v>
      </c>
      <c r="BO142" s="64">
        <f>IFERROR(RD[[#This Row],[ Export (33 kV)]]*(1-RD[[#This Row],[33 kV Line Loss (%)]]),RD[[#This Row],[ Export (33 kV)]])</f>
        <v>0</v>
      </c>
      <c r="BP142" s="121"/>
      <c r="BQ142" s="121"/>
      <c r="BR142" s="121"/>
      <c r="BS142" t="str">
        <f>IFERROR(RD[[#This Row],[E_AC (WPR)]]/RD[[#This Row],[E_DC (WPR)]],"")</f>
        <v/>
      </c>
    </row>
    <row r="143" spans="1:71">
      <c r="A143" s="147">
        <f t="shared" ref="A143:A206" si="73">A142+1</f>
        <v>45977</v>
      </c>
      <c r="B143" s="150">
        <f>YEAR(RD[[#This Row],[Date]])+IF(MONTH(RD[[#This Row],[Date]])&gt;=4,1,0)</f>
        <v>2026</v>
      </c>
      <c r="C143" s="150">
        <f>YEAR(RD[[#This Row],[Date]])</f>
        <v>2025</v>
      </c>
      <c r="D143" s="151">
        <f t="shared" si="72"/>
        <v>45962</v>
      </c>
      <c r="E143" s="150">
        <f>DAY(EOMONTH(RD[[#This Row],[Date]],0))</f>
        <v>30</v>
      </c>
      <c r="F143" s="121"/>
      <c r="G143" s="121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66"/>
      <c r="AF143" s="166"/>
      <c r="AG143" s="166"/>
      <c r="AH143" s="166"/>
      <c r="AI143" s="166"/>
      <c r="AJ143" s="166"/>
      <c r="AK143" s="166"/>
      <c r="AL143" s="166"/>
      <c r="AM143" s="59"/>
      <c r="AN143" s="59"/>
      <c r="AO143" s="59"/>
      <c r="AP143" s="59"/>
      <c r="AQ143" s="59"/>
      <c r="AR143" s="59"/>
      <c r="AS143" s="59"/>
      <c r="AT143" s="59"/>
      <c r="AU143" s="60">
        <f>SUM(RD[[#This Row],[IS2Inv1M1]:[IS4Inv1M3]])</f>
        <v>0</v>
      </c>
      <c r="AV143" s="60">
        <f>SUM(RD[[#This Row],[IS5Inv1M1]:[IS5Inv2M3]])</f>
        <v>0</v>
      </c>
      <c r="AW143" s="60">
        <f>SUM(RD[[#This Row],[O2RE9]:[O2RE192]])</f>
        <v>0</v>
      </c>
      <c r="AX143" s="152"/>
      <c r="AY143" s="152"/>
      <c r="AZ143" s="152"/>
      <c r="BA143" s="152"/>
      <c r="BB143" s="152"/>
      <c r="BC143" s="152"/>
      <c r="BD143" s="153" t="str">
        <f>IF((RD[[#This Row],[33 kV_F1_Ex (O2RE9)]]-AX142)*150000&lt;=0,"",(RD[[#This Row],[33 kV_F1_Ex (O2RE9)]]-AX142)*150000)</f>
        <v/>
      </c>
      <c r="BE143" s="153">
        <f>IF((RD[[#This Row],[33kV_OG1_Ex (O2RE9)]]-AY142)*1000&lt;=0,0,(RD[[#This Row],[33kV_OG1_Ex (O2RE9)]]-AY142)*1000)</f>
        <v>0</v>
      </c>
      <c r="BF143" s="153"/>
      <c r="BG143" s="153" t="str">
        <f>IF((RD[[#This Row],[33 kV_F2_Ex (O2RE19)]]-BA142)*150000&lt;=0,"",(RD[[#This Row],[33 kV_F2_Ex (O2RE19)]]-BA142)*150000)</f>
        <v/>
      </c>
      <c r="BH143" s="153">
        <f>IF((RD[[#This Row],[33kV_OG2_Ex (O2RE19)]]-BB142)*1000&lt;=0,0,(RD[[#This Row],[33kV_OG2_Ex (O2RE19)]]-BB142)*1000)</f>
        <v>0</v>
      </c>
      <c r="BI143" s="153">
        <f>IF((RD[[#This Row],[33kV_Aux2_Im (O2RE19)]]-BC142)*1000&lt;0,"",(RD[[#This Row],[33kV_Aux2_Im (O2RE19)]]-BC142)*1000)</f>
        <v>0</v>
      </c>
      <c r="BJ143" s="153">
        <f>IF((RD[[#This Row],[33kV_Aux1_Im (O2RE9)]]-AZ142)*1000&lt;0,"",(RD[[#This Row],[33kV_Aux1_Im (O2RE9)]]-AZ142)*1000)</f>
        <v>0</v>
      </c>
      <c r="BK143" s="153">
        <f>SUM(RD[[#This Row],[33kV_OG1_O2RE9_Energy (KWh)]],RD[[#This Row],[33kV_OG2_O2RE19_Energy (KWh)]])</f>
        <v>0</v>
      </c>
      <c r="BL143" s="62" t="str">
        <f>IFERROR(RD[[#This Row],[33 kV Total Export (KWH)]]/RD[[#This Row],[Inv Total Gneration (MWh)]]-1,"")</f>
        <v/>
      </c>
      <c r="BM143" s="63">
        <f>IFERROR((RD[[#This Row],[Sunset Time (POA&lt;20 W/m2)]]-RD[[#This Row],[Sunrise Time (POA&gt;20 W/m2)]])*24,0)</f>
        <v>0</v>
      </c>
      <c r="BN143" s="64">
        <f>SUM(RD[[#This Row],[33kV_OG1_O2RE9_Energy (KWh)]],RD[[#This Row],[33kV_OG2_O2RE19_Energy (KWh)]])</f>
        <v>0</v>
      </c>
      <c r="BO143" s="64">
        <f>IFERROR(RD[[#This Row],[ Export (33 kV)]]*(1-RD[[#This Row],[33 kV Line Loss (%)]]),RD[[#This Row],[ Export (33 kV)]])</f>
        <v>0</v>
      </c>
      <c r="BP143" s="121"/>
      <c r="BQ143" s="121"/>
      <c r="BR143" s="121"/>
      <c r="BS143" t="str">
        <f>IFERROR(RD[[#This Row],[E_AC (WPR)]]/RD[[#This Row],[E_DC (WPR)]],"")</f>
        <v/>
      </c>
    </row>
    <row r="144" spans="1:71">
      <c r="A144" s="147">
        <f t="shared" si="73"/>
        <v>45978</v>
      </c>
      <c r="B144" s="150">
        <f>YEAR(RD[[#This Row],[Date]])+IF(MONTH(RD[[#This Row],[Date]])&gt;=4,1,0)</f>
        <v>2026</v>
      </c>
      <c r="C144" s="150">
        <f>YEAR(RD[[#This Row],[Date]])</f>
        <v>2025</v>
      </c>
      <c r="D144" s="151">
        <f t="shared" si="72"/>
        <v>45962</v>
      </c>
      <c r="E144" s="150">
        <f>DAY(EOMONTH(RD[[#This Row],[Date]],0))</f>
        <v>30</v>
      </c>
      <c r="F144" s="121"/>
      <c r="G144" s="121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66"/>
      <c r="AF144" s="166"/>
      <c r="AG144" s="166"/>
      <c r="AH144" s="166"/>
      <c r="AI144" s="166"/>
      <c r="AJ144" s="166"/>
      <c r="AK144" s="166"/>
      <c r="AL144" s="166"/>
      <c r="AM144" s="59"/>
      <c r="AN144" s="59"/>
      <c r="AO144" s="59"/>
      <c r="AP144" s="59"/>
      <c r="AQ144" s="59"/>
      <c r="AR144" s="59"/>
      <c r="AS144" s="59"/>
      <c r="AT144" s="59"/>
      <c r="AU144" s="60">
        <f>SUM(RD[[#This Row],[IS2Inv1M1]:[IS4Inv1M3]])</f>
        <v>0</v>
      </c>
      <c r="AV144" s="60">
        <f>SUM(RD[[#This Row],[IS5Inv1M1]:[IS5Inv2M3]])</f>
        <v>0</v>
      </c>
      <c r="AW144" s="60">
        <f>SUM(RD[[#This Row],[O2RE9]:[O2RE192]])</f>
        <v>0</v>
      </c>
      <c r="AX144" s="152"/>
      <c r="AY144" s="152"/>
      <c r="AZ144" s="152"/>
      <c r="BA144" s="152"/>
      <c r="BB144" s="152"/>
      <c r="BC144" s="152"/>
      <c r="BD144" s="153" t="str">
        <f>IF((RD[[#This Row],[33 kV_F1_Ex (O2RE9)]]-AX143)*150000&lt;=0,"",(RD[[#This Row],[33 kV_F1_Ex (O2RE9)]]-AX143)*150000)</f>
        <v/>
      </c>
      <c r="BE144" s="153">
        <f>IF((RD[[#This Row],[33kV_OG1_Ex (O2RE9)]]-AY143)*1000&lt;=0,0,(RD[[#This Row],[33kV_OG1_Ex (O2RE9)]]-AY143)*1000)</f>
        <v>0</v>
      </c>
      <c r="BF144" s="153"/>
      <c r="BG144" s="153" t="str">
        <f>IF((RD[[#This Row],[33 kV_F2_Ex (O2RE19)]]-BA143)*150000&lt;=0,"",(RD[[#This Row],[33 kV_F2_Ex (O2RE19)]]-BA143)*150000)</f>
        <v/>
      </c>
      <c r="BH144" s="153">
        <f>IF((RD[[#This Row],[33kV_OG2_Ex (O2RE19)]]-BB143)*1000&lt;=0,0,(RD[[#This Row],[33kV_OG2_Ex (O2RE19)]]-BB143)*1000)</f>
        <v>0</v>
      </c>
      <c r="BI144" s="153">
        <f>IF((RD[[#This Row],[33kV_Aux2_Im (O2RE19)]]-BC143)*1000&lt;0,"",(RD[[#This Row],[33kV_Aux2_Im (O2RE19)]]-BC143)*1000)</f>
        <v>0</v>
      </c>
      <c r="BJ144" s="153">
        <f>IF((RD[[#This Row],[33kV_Aux1_Im (O2RE9)]]-AZ143)*1000&lt;0,"",(RD[[#This Row],[33kV_Aux1_Im (O2RE9)]]-AZ143)*1000)</f>
        <v>0</v>
      </c>
      <c r="BK144" s="153">
        <f>SUM(RD[[#This Row],[33kV_OG1_O2RE9_Energy (KWh)]],RD[[#This Row],[33kV_OG2_O2RE19_Energy (KWh)]])</f>
        <v>0</v>
      </c>
      <c r="BL144" s="62" t="str">
        <f>IFERROR(RD[[#This Row],[33 kV Total Export (KWH)]]/RD[[#This Row],[Inv Total Gneration (MWh)]]-1,"")</f>
        <v/>
      </c>
      <c r="BM144" s="63">
        <f>IFERROR((RD[[#This Row],[Sunset Time (POA&lt;20 W/m2)]]-RD[[#This Row],[Sunrise Time (POA&gt;20 W/m2)]])*24,0)</f>
        <v>0</v>
      </c>
      <c r="BN144" s="64">
        <f>SUM(RD[[#This Row],[33kV_OG1_O2RE9_Energy (KWh)]],RD[[#This Row],[33kV_OG2_O2RE19_Energy (KWh)]])</f>
        <v>0</v>
      </c>
      <c r="BO144" s="64">
        <f>IFERROR(RD[[#This Row],[ Export (33 kV)]]*(1-RD[[#This Row],[33 kV Line Loss (%)]]),RD[[#This Row],[ Export (33 kV)]])</f>
        <v>0</v>
      </c>
      <c r="BP144" s="121"/>
      <c r="BQ144" s="121"/>
      <c r="BR144" s="121"/>
      <c r="BS144" t="str">
        <f>IFERROR(RD[[#This Row],[E_AC (WPR)]]/RD[[#This Row],[E_DC (WPR)]],"")</f>
        <v/>
      </c>
    </row>
    <row r="145" spans="1:71">
      <c r="A145" s="147">
        <f t="shared" si="73"/>
        <v>45979</v>
      </c>
      <c r="B145" s="150">
        <f>YEAR(RD[[#This Row],[Date]])+IF(MONTH(RD[[#This Row],[Date]])&gt;=4,1,0)</f>
        <v>2026</v>
      </c>
      <c r="C145" s="150">
        <f>YEAR(RD[[#This Row],[Date]])</f>
        <v>2025</v>
      </c>
      <c r="D145" s="151">
        <f t="shared" si="72"/>
        <v>45962</v>
      </c>
      <c r="E145" s="150">
        <f>DAY(EOMONTH(RD[[#This Row],[Date]],0))</f>
        <v>30</v>
      </c>
      <c r="F145" s="121"/>
      <c r="G145" s="121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66"/>
      <c r="AF145" s="166"/>
      <c r="AG145" s="166"/>
      <c r="AH145" s="166"/>
      <c r="AI145" s="166"/>
      <c r="AJ145" s="166"/>
      <c r="AK145" s="166"/>
      <c r="AL145" s="166"/>
      <c r="AM145" s="59"/>
      <c r="AN145" s="59"/>
      <c r="AO145" s="59"/>
      <c r="AP145" s="59"/>
      <c r="AQ145" s="59"/>
      <c r="AR145" s="59"/>
      <c r="AS145" s="59"/>
      <c r="AT145" s="59"/>
      <c r="AU145" s="60">
        <f>SUM(RD[[#This Row],[IS2Inv1M1]:[IS4Inv1M3]])</f>
        <v>0</v>
      </c>
      <c r="AV145" s="60">
        <f>SUM(RD[[#This Row],[IS5Inv1M1]:[IS5Inv2M3]])</f>
        <v>0</v>
      </c>
      <c r="AW145" s="60">
        <f>SUM(RD[[#This Row],[O2RE9]:[O2RE192]])</f>
        <v>0</v>
      </c>
      <c r="AX145" s="152"/>
      <c r="AY145" s="152"/>
      <c r="AZ145" s="152"/>
      <c r="BA145" s="152"/>
      <c r="BB145" s="152"/>
      <c r="BC145" s="152"/>
      <c r="BD145" s="153" t="str">
        <f>IF((RD[[#This Row],[33 kV_F1_Ex (O2RE9)]]-AX144)*150000&lt;=0,"",(RD[[#This Row],[33 kV_F1_Ex (O2RE9)]]-AX144)*150000)</f>
        <v/>
      </c>
      <c r="BE145" s="153">
        <f>IF((RD[[#This Row],[33kV_OG1_Ex (O2RE9)]]-AY144)*1000&lt;=0,0,(RD[[#This Row],[33kV_OG1_Ex (O2RE9)]]-AY144)*1000)</f>
        <v>0</v>
      </c>
      <c r="BF145" s="153"/>
      <c r="BG145" s="153" t="str">
        <f>IF((RD[[#This Row],[33 kV_F2_Ex (O2RE19)]]-BA144)*150000&lt;=0,"",(RD[[#This Row],[33 kV_F2_Ex (O2RE19)]]-BA144)*150000)</f>
        <v/>
      </c>
      <c r="BH145" s="153">
        <f>IF((RD[[#This Row],[33kV_OG2_Ex (O2RE19)]]-BB144)*1000&lt;=0,0,(RD[[#This Row],[33kV_OG2_Ex (O2RE19)]]-BB144)*1000)</f>
        <v>0</v>
      </c>
      <c r="BI145" s="153">
        <f>IF((RD[[#This Row],[33kV_Aux2_Im (O2RE19)]]-BC144)*1000&lt;0,"",(RD[[#This Row],[33kV_Aux2_Im (O2RE19)]]-BC144)*1000)</f>
        <v>0</v>
      </c>
      <c r="BJ145" s="153">
        <f>IF((RD[[#This Row],[33kV_Aux1_Im (O2RE9)]]-AZ144)*1000&lt;0,"",(RD[[#This Row],[33kV_Aux1_Im (O2RE9)]]-AZ144)*1000)</f>
        <v>0</v>
      </c>
      <c r="BK145" s="153">
        <f>SUM(RD[[#This Row],[33kV_OG1_O2RE9_Energy (KWh)]],RD[[#This Row],[33kV_OG2_O2RE19_Energy (KWh)]])</f>
        <v>0</v>
      </c>
      <c r="BL145" s="62" t="str">
        <f>IFERROR(RD[[#This Row],[33 kV Total Export (KWH)]]/RD[[#This Row],[Inv Total Gneration (MWh)]]-1,"")</f>
        <v/>
      </c>
      <c r="BM145" s="63">
        <f>IFERROR((RD[[#This Row],[Sunset Time (POA&lt;20 W/m2)]]-RD[[#This Row],[Sunrise Time (POA&gt;20 W/m2)]])*24,0)</f>
        <v>0</v>
      </c>
      <c r="BN145" s="64">
        <f>SUM(RD[[#This Row],[33kV_OG1_O2RE9_Energy (KWh)]],RD[[#This Row],[33kV_OG2_O2RE19_Energy (KWh)]])</f>
        <v>0</v>
      </c>
      <c r="BO145" s="64">
        <f>IFERROR(RD[[#This Row],[ Export (33 kV)]]*(1-RD[[#This Row],[33 kV Line Loss (%)]]),RD[[#This Row],[ Export (33 kV)]])</f>
        <v>0</v>
      </c>
      <c r="BP145" s="121"/>
      <c r="BQ145" s="121"/>
      <c r="BR145" s="121"/>
      <c r="BS145" t="str">
        <f>IFERROR(RD[[#This Row],[E_AC (WPR)]]/RD[[#This Row],[E_DC (WPR)]],"")</f>
        <v/>
      </c>
    </row>
    <row r="146" spans="1:71">
      <c r="A146" s="147">
        <f t="shared" si="73"/>
        <v>45980</v>
      </c>
      <c r="B146" s="150">
        <f>YEAR(RD[[#This Row],[Date]])+IF(MONTH(RD[[#This Row],[Date]])&gt;=4,1,0)</f>
        <v>2026</v>
      </c>
      <c r="C146" s="150">
        <f>YEAR(RD[[#This Row],[Date]])</f>
        <v>2025</v>
      </c>
      <c r="D146" s="151">
        <f t="shared" si="72"/>
        <v>45962</v>
      </c>
      <c r="E146" s="150">
        <f>DAY(EOMONTH(RD[[#This Row],[Date]],0))</f>
        <v>30</v>
      </c>
      <c r="F146" s="121"/>
      <c r="G146" s="121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66"/>
      <c r="AF146" s="166"/>
      <c r="AG146" s="166"/>
      <c r="AH146" s="166"/>
      <c r="AI146" s="166"/>
      <c r="AJ146" s="166"/>
      <c r="AK146" s="166"/>
      <c r="AL146" s="166"/>
      <c r="AM146" s="59"/>
      <c r="AN146" s="59"/>
      <c r="AO146" s="59"/>
      <c r="AP146" s="59"/>
      <c r="AQ146" s="59"/>
      <c r="AR146" s="59"/>
      <c r="AS146" s="59"/>
      <c r="AT146" s="59"/>
      <c r="AU146" s="60">
        <f>SUM(RD[[#This Row],[IS2Inv1M1]:[IS4Inv1M3]])</f>
        <v>0</v>
      </c>
      <c r="AV146" s="60">
        <f>SUM(RD[[#This Row],[IS5Inv1M1]:[IS5Inv2M3]])</f>
        <v>0</v>
      </c>
      <c r="AW146" s="60">
        <f>SUM(RD[[#This Row],[O2RE9]:[O2RE192]])</f>
        <v>0</v>
      </c>
      <c r="AX146" s="152"/>
      <c r="AY146" s="152"/>
      <c r="AZ146" s="152"/>
      <c r="BA146" s="152"/>
      <c r="BB146" s="152"/>
      <c r="BC146" s="152"/>
      <c r="BD146" s="153" t="str">
        <f>IF((RD[[#This Row],[33 kV_F1_Ex (O2RE9)]]-AX145)*150000&lt;=0,"",(RD[[#This Row],[33 kV_F1_Ex (O2RE9)]]-AX145)*150000)</f>
        <v/>
      </c>
      <c r="BE146" s="153">
        <f>IF((RD[[#This Row],[33kV_OG1_Ex (O2RE9)]]-AY145)*1000&lt;=0,0,(RD[[#This Row],[33kV_OG1_Ex (O2RE9)]]-AY145)*1000)</f>
        <v>0</v>
      </c>
      <c r="BF146" s="153"/>
      <c r="BG146" s="153" t="str">
        <f>IF((RD[[#This Row],[33 kV_F2_Ex (O2RE19)]]-BA145)*150000&lt;=0,"",(RD[[#This Row],[33 kV_F2_Ex (O2RE19)]]-BA145)*150000)</f>
        <v/>
      </c>
      <c r="BH146" s="153">
        <f>IF((RD[[#This Row],[33kV_OG2_Ex (O2RE19)]]-BB145)*1000&lt;=0,0,(RD[[#This Row],[33kV_OG2_Ex (O2RE19)]]-BB145)*1000)</f>
        <v>0</v>
      </c>
      <c r="BI146" s="153">
        <f>IF((RD[[#This Row],[33kV_Aux2_Im (O2RE19)]]-BC145)*1000&lt;0,"",(RD[[#This Row],[33kV_Aux2_Im (O2RE19)]]-BC145)*1000)</f>
        <v>0</v>
      </c>
      <c r="BJ146" s="153">
        <f>IF((RD[[#This Row],[33kV_Aux1_Im (O2RE9)]]-AZ145)*1000&lt;0,"",(RD[[#This Row],[33kV_Aux1_Im (O2RE9)]]-AZ145)*1000)</f>
        <v>0</v>
      </c>
      <c r="BK146" s="153">
        <f>SUM(RD[[#This Row],[33kV_OG1_O2RE9_Energy (KWh)]],RD[[#This Row],[33kV_OG2_O2RE19_Energy (KWh)]])</f>
        <v>0</v>
      </c>
      <c r="BL146" s="62" t="str">
        <f>IFERROR(RD[[#This Row],[33 kV Total Export (KWH)]]/RD[[#This Row],[Inv Total Gneration (MWh)]]-1,"")</f>
        <v/>
      </c>
      <c r="BM146" s="63">
        <f>IFERROR((RD[[#This Row],[Sunset Time (POA&lt;20 W/m2)]]-RD[[#This Row],[Sunrise Time (POA&gt;20 W/m2)]])*24,0)</f>
        <v>0</v>
      </c>
      <c r="BN146" s="64">
        <f>SUM(RD[[#This Row],[33kV_OG1_O2RE9_Energy (KWh)]],RD[[#This Row],[33kV_OG2_O2RE19_Energy (KWh)]])</f>
        <v>0</v>
      </c>
      <c r="BO146" s="64">
        <f>IFERROR(RD[[#This Row],[ Export (33 kV)]]*(1-RD[[#This Row],[33 kV Line Loss (%)]]),RD[[#This Row],[ Export (33 kV)]])</f>
        <v>0</v>
      </c>
      <c r="BP146" s="121"/>
      <c r="BQ146" s="121"/>
      <c r="BR146" s="121"/>
      <c r="BS146" t="str">
        <f>IFERROR(RD[[#This Row],[E_AC (WPR)]]/RD[[#This Row],[E_DC (WPR)]],"")</f>
        <v/>
      </c>
    </row>
    <row r="147" spans="1:71">
      <c r="A147" s="147">
        <f t="shared" si="73"/>
        <v>45981</v>
      </c>
      <c r="B147" s="150">
        <f>YEAR(RD[[#This Row],[Date]])+IF(MONTH(RD[[#This Row],[Date]])&gt;=4,1,0)</f>
        <v>2026</v>
      </c>
      <c r="C147" s="150">
        <f>YEAR(RD[[#This Row],[Date]])</f>
        <v>2025</v>
      </c>
      <c r="D147" s="151">
        <f t="shared" si="72"/>
        <v>45962</v>
      </c>
      <c r="E147" s="150">
        <f>DAY(EOMONTH(RD[[#This Row],[Date]],0))</f>
        <v>30</v>
      </c>
      <c r="F147" s="121"/>
      <c r="G147" s="121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66"/>
      <c r="AF147" s="166"/>
      <c r="AG147" s="166"/>
      <c r="AH147" s="166"/>
      <c r="AI147" s="166"/>
      <c r="AJ147" s="166"/>
      <c r="AK147" s="166"/>
      <c r="AL147" s="166"/>
      <c r="AM147" s="59"/>
      <c r="AN147" s="59"/>
      <c r="AO147" s="59"/>
      <c r="AP147" s="59"/>
      <c r="AQ147" s="59"/>
      <c r="AR147" s="59"/>
      <c r="AS147" s="59"/>
      <c r="AT147" s="59"/>
      <c r="AU147" s="60">
        <f>SUM(RD[[#This Row],[IS2Inv1M1]:[IS4Inv1M3]])</f>
        <v>0</v>
      </c>
      <c r="AV147" s="60">
        <f>SUM(RD[[#This Row],[IS5Inv1M1]:[IS5Inv2M3]])</f>
        <v>0</v>
      </c>
      <c r="AW147" s="60">
        <f>SUM(RD[[#This Row],[O2RE9]:[O2RE192]])</f>
        <v>0</v>
      </c>
      <c r="AX147" s="152"/>
      <c r="AY147" s="152"/>
      <c r="AZ147" s="152"/>
      <c r="BA147" s="152"/>
      <c r="BB147" s="152"/>
      <c r="BC147" s="152"/>
      <c r="BD147" s="153" t="str">
        <f>IF((RD[[#This Row],[33 kV_F1_Ex (O2RE9)]]-AX146)*150000&lt;=0,"",(RD[[#This Row],[33 kV_F1_Ex (O2RE9)]]-AX146)*150000)</f>
        <v/>
      </c>
      <c r="BE147" s="153">
        <f>IF((RD[[#This Row],[33kV_OG1_Ex (O2RE9)]]-AY146)*1000&lt;=0,0,(RD[[#This Row],[33kV_OG1_Ex (O2RE9)]]-AY146)*1000)</f>
        <v>0</v>
      </c>
      <c r="BF147" s="153"/>
      <c r="BG147" s="153" t="str">
        <f>IF((RD[[#This Row],[33 kV_F2_Ex (O2RE19)]]-BA146)*150000&lt;=0,"",(RD[[#This Row],[33 kV_F2_Ex (O2RE19)]]-BA146)*150000)</f>
        <v/>
      </c>
      <c r="BH147" s="153">
        <f>IF((RD[[#This Row],[33kV_OG2_Ex (O2RE19)]]-BB146)*1000&lt;=0,0,(RD[[#This Row],[33kV_OG2_Ex (O2RE19)]]-BB146)*1000)</f>
        <v>0</v>
      </c>
      <c r="BI147" s="153">
        <f>IF((RD[[#This Row],[33kV_Aux2_Im (O2RE19)]]-BC146)*1000&lt;0,"",(RD[[#This Row],[33kV_Aux2_Im (O2RE19)]]-BC146)*1000)</f>
        <v>0</v>
      </c>
      <c r="BJ147" s="153">
        <f>IF((RD[[#This Row],[33kV_Aux1_Im (O2RE9)]]-AZ146)*1000&lt;0,"",(RD[[#This Row],[33kV_Aux1_Im (O2RE9)]]-AZ146)*1000)</f>
        <v>0</v>
      </c>
      <c r="BK147" s="153">
        <f>SUM(RD[[#This Row],[33kV_OG1_O2RE9_Energy (KWh)]],RD[[#This Row],[33kV_OG2_O2RE19_Energy (KWh)]])</f>
        <v>0</v>
      </c>
      <c r="BL147" s="62" t="str">
        <f>IFERROR(RD[[#This Row],[33 kV Total Export (KWH)]]/RD[[#This Row],[Inv Total Gneration (MWh)]]-1,"")</f>
        <v/>
      </c>
      <c r="BM147" s="63">
        <f>IFERROR((RD[[#This Row],[Sunset Time (POA&lt;20 W/m2)]]-RD[[#This Row],[Sunrise Time (POA&gt;20 W/m2)]])*24,0)</f>
        <v>0</v>
      </c>
      <c r="BN147" s="64">
        <f>SUM(RD[[#This Row],[33kV_OG1_O2RE9_Energy (KWh)]],RD[[#This Row],[33kV_OG2_O2RE19_Energy (KWh)]])</f>
        <v>0</v>
      </c>
      <c r="BO147" s="64">
        <f>IFERROR(RD[[#This Row],[ Export (33 kV)]]*(1-RD[[#This Row],[33 kV Line Loss (%)]]),RD[[#This Row],[ Export (33 kV)]])</f>
        <v>0</v>
      </c>
      <c r="BP147" s="121"/>
      <c r="BQ147" s="121"/>
      <c r="BR147" s="121"/>
      <c r="BS147" t="str">
        <f>IFERROR(RD[[#This Row],[E_AC (WPR)]]/RD[[#This Row],[E_DC (WPR)]],"")</f>
        <v/>
      </c>
    </row>
    <row r="148" spans="1:71">
      <c r="A148" s="147">
        <f t="shared" si="73"/>
        <v>45982</v>
      </c>
      <c r="B148" s="150">
        <f>YEAR(RD[[#This Row],[Date]])+IF(MONTH(RD[[#This Row],[Date]])&gt;=4,1,0)</f>
        <v>2026</v>
      </c>
      <c r="C148" s="150">
        <f>YEAR(RD[[#This Row],[Date]])</f>
        <v>2025</v>
      </c>
      <c r="D148" s="151">
        <f t="shared" si="72"/>
        <v>45962</v>
      </c>
      <c r="E148" s="150">
        <f>DAY(EOMONTH(RD[[#This Row],[Date]],0))</f>
        <v>30</v>
      </c>
      <c r="F148" s="121"/>
      <c r="G148" s="121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66"/>
      <c r="AF148" s="166"/>
      <c r="AG148" s="166"/>
      <c r="AH148" s="166"/>
      <c r="AI148" s="166"/>
      <c r="AJ148" s="166"/>
      <c r="AK148" s="166"/>
      <c r="AL148" s="166"/>
      <c r="AM148" s="59"/>
      <c r="AN148" s="59"/>
      <c r="AO148" s="59"/>
      <c r="AP148" s="59"/>
      <c r="AQ148" s="59"/>
      <c r="AR148" s="59"/>
      <c r="AS148" s="59"/>
      <c r="AT148" s="59"/>
      <c r="AU148" s="60">
        <f>SUM(RD[[#This Row],[IS2Inv1M1]:[IS4Inv1M3]])</f>
        <v>0</v>
      </c>
      <c r="AV148" s="60">
        <f>SUM(RD[[#This Row],[IS5Inv1M1]:[IS5Inv2M3]])</f>
        <v>0</v>
      </c>
      <c r="AW148" s="60">
        <f>SUM(RD[[#This Row],[O2RE9]:[O2RE192]])</f>
        <v>0</v>
      </c>
      <c r="AX148" s="152"/>
      <c r="AY148" s="152"/>
      <c r="AZ148" s="152"/>
      <c r="BA148" s="152"/>
      <c r="BB148" s="152"/>
      <c r="BC148" s="152"/>
      <c r="BD148" s="153" t="str">
        <f>IF((RD[[#This Row],[33 kV_F1_Ex (O2RE9)]]-AX147)*150000&lt;=0,"",(RD[[#This Row],[33 kV_F1_Ex (O2RE9)]]-AX147)*150000)</f>
        <v/>
      </c>
      <c r="BE148" s="153">
        <f>IF((RD[[#This Row],[33kV_OG1_Ex (O2RE9)]]-AY147)*1000&lt;=0,0,(RD[[#This Row],[33kV_OG1_Ex (O2RE9)]]-AY147)*1000)</f>
        <v>0</v>
      </c>
      <c r="BF148" s="153"/>
      <c r="BG148" s="153" t="str">
        <f>IF((RD[[#This Row],[33 kV_F2_Ex (O2RE19)]]-BA147)*150000&lt;=0,"",(RD[[#This Row],[33 kV_F2_Ex (O2RE19)]]-BA147)*150000)</f>
        <v/>
      </c>
      <c r="BH148" s="153">
        <f>IF((RD[[#This Row],[33kV_OG2_Ex (O2RE19)]]-BB147)*1000&lt;=0,0,(RD[[#This Row],[33kV_OG2_Ex (O2RE19)]]-BB147)*1000)</f>
        <v>0</v>
      </c>
      <c r="BI148" s="153">
        <f>IF((RD[[#This Row],[33kV_Aux2_Im (O2RE19)]]-BC147)*1000&lt;0,"",(RD[[#This Row],[33kV_Aux2_Im (O2RE19)]]-BC147)*1000)</f>
        <v>0</v>
      </c>
      <c r="BJ148" s="153">
        <f>IF((RD[[#This Row],[33kV_Aux1_Im (O2RE9)]]-AZ147)*1000&lt;0,"",(RD[[#This Row],[33kV_Aux1_Im (O2RE9)]]-AZ147)*1000)</f>
        <v>0</v>
      </c>
      <c r="BK148" s="153">
        <f>SUM(RD[[#This Row],[33kV_OG1_O2RE9_Energy (KWh)]],RD[[#This Row],[33kV_OG2_O2RE19_Energy (KWh)]])</f>
        <v>0</v>
      </c>
      <c r="BL148" s="62" t="str">
        <f>IFERROR(RD[[#This Row],[33 kV Total Export (KWH)]]/RD[[#This Row],[Inv Total Gneration (MWh)]]-1,"")</f>
        <v/>
      </c>
      <c r="BM148" s="63">
        <f>IFERROR((RD[[#This Row],[Sunset Time (POA&lt;20 W/m2)]]-RD[[#This Row],[Sunrise Time (POA&gt;20 W/m2)]])*24,0)</f>
        <v>0</v>
      </c>
      <c r="BN148" s="64">
        <f>SUM(RD[[#This Row],[33kV_OG1_O2RE9_Energy (KWh)]],RD[[#This Row],[33kV_OG2_O2RE19_Energy (KWh)]])</f>
        <v>0</v>
      </c>
      <c r="BO148" s="64">
        <f>IFERROR(RD[[#This Row],[ Export (33 kV)]]*(1-RD[[#This Row],[33 kV Line Loss (%)]]),RD[[#This Row],[ Export (33 kV)]])</f>
        <v>0</v>
      </c>
      <c r="BP148" s="121"/>
      <c r="BQ148" s="121"/>
      <c r="BR148" s="121"/>
      <c r="BS148" t="str">
        <f>IFERROR(RD[[#This Row],[E_AC (WPR)]]/RD[[#This Row],[E_DC (WPR)]],"")</f>
        <v/>
      </c>
    </row>
    <row r="149" spans="1:71">
      <c r="A149" s="147">
        <f t="shared" si="73"/>
        <v>45983</v>
      </c>
      <c r="B149" s="150">
        <f>YEAR(RD[[#This Row],[Date]])+IF(MONTH(RD[[#This Row],[Date]])&gt;=4,1,0)</f>
        <v>2026</v>
      </c>
      <c r="C149" s="150">
        <f>YEAR(RD[[#This Row],[Date]])</f>
        <v>2025</v>
      </c>
      <c r="D149" s="151">
        <f t="shared" si="72"/>
        <v>45962</v>
      </c>
      <c r="E149" s="150">
        <f>DAY(EOMONTH(RD[[#This Row],[Date]],0))</f>
        <v>30</v>
      </c>
      <c r="F149" s="121"/>
      <c r="G149" s="121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66"/>
      <c r="AF149" s="166"/>
      <c r="AG149" s="166"/>
      <c r="AH149" s="166"/>
      <c r="AI149" s="166"/>
      <c r="AJ149" s="166"/>
      <c r="AK149" s="166"/>
      <c r="AL149" s="166"/>
      <c r="AM149" s="59"/>
      <c r="AN149" s="59"/>
      <c r="AO149" s="59"/>
      <c r="AP149" s="59"/>
      <c r="AQ149" s="59"/>
      <c r="AR149" s="59"/>
      <c r="AS149" s="59"/>
      <c r="AT149" s="59"/>
      <c r="AU149" s="60">
        <f>SUM(RD[[#This Row],[IS2Inv1M1]:[IS4Inv1M3]])</f>
        <v>0</v>
      </c>
      <c r="AV149" s="60">
        <f>SUM(RD[[#This Row],[IS5Inv1M1]:[IS5Inv2M3]])</f>
        <v>0</v>
      </c>
      <c r="AW149" s="60">
        <f>SUM(RD[[#This Row],[O2RE9]:[O2RE192]])</f>
        <v>0</v>
      </c>
      <c r="AX149" s="152"/>
      <c r="AY149" s="152"/>
      <c r="AZ149" s="152"/>
      <c r="BA149" s="152"/>
      <c r="BB149" s="152"/>
      <c r="BC149" s="152"/>
      <c r="BD149" s="153" t="str">
        <f>IF((RD[[#This Row],[33 kV_F1_Ex (O2RE9)]]-AX148)*150000&lt;=0,"",(RD[[#This Row],[33 kV_F1_Ex (O2RE9)]]-AX148)*150000)</f>
        <v/>
      </c>
      <c r="BE149" s="153">
        <f>IF((RD[[#This Row],[33kV_OG1_Ex (O2RE9)]]-AY148)*1000&lt;=0,0,(RD[[#This Row],[33kV_OG1_Ex (O2RE9)]]-AY148)*1000)</f>
        <v>0</v>
      </c>
      <c r="BF149" s="153"/>
      <c r="BG149" s="153" t="str">
        <f>IF((RD[[#This Row],[33 kV_F2_Ex (O2RE19)]]-BA148)*150000&lt;=0,"",(RD[[#This Row],[33 kV_F2_Ex (O2RE19)]]-BA148)*150000)</f>
        <v/>
      </c>
      <c r="BH149" s="153">
        <f>IF((RD[[#This Row],[33kV_OG2_Ex (O2RE19)]]-BB148)*1000&lt;=0,0,(RD[[#This Row],[33kV_OG2_Ex (O2RE19)]]-BB148)*1000)</f>
        <v>0</v>
      </c>
      <c r="BI149" s="153">
        <f>IF((RD[[#This Row],[33kV_Aux2_Im (O2RE19)]]-BC148)*1000&lt;0,"",(RD[[#This Row],[33kV_Aux2_Im (O2RE19)]]-BC148)*1000)</f>
        <v>0</v>
      </c>
      <c r="BJ149" s="153">
        <f>IF((RD[[#This Row],[33kV_Aux1_Im (O2RE9)]]-AZ148)*1000&lt;0,"",(RD[[#This Row],[33kV_Aux1_Im (O2RE9)]]-AZ148)*1000)</f>
        <v>0</v>
      </c>
      <c r="BK149" s="153">
        <f>SUM(RD[[#This Row],[33kV_OG1_O2RE9_Energy (KWh)]],RD[[#This Row],[33kV_OG2_O2RE19_Energy (KWh)]])</f>
        <v>0</v>
      </c>
      <c r="BL149" s="62" t="str">
        <f>IFERROR(RD[[#This Row],[33 kV Total Export (KWH)]]/RD[[#This Row],[Inv Total Gneration (MWh)]]-1,"")</f>
        <v/>
      </c>
      <c r="BM149" s="63">
        <f>IFERROR((RD[[#This Row],[Sunset Time (POA&lt;20 W/m2)]]-RD[[#This Row],[Sunrise Time (POA&gt;20 W/m2)]])*24,0)</f>
        <v>0</v>
      </c>
      <c r="BN149" s="64">
        <f>SUM(RD[[#This Row],[33kV_OG1_O2RE9_Energy (KWh)]],RD[[#This Row],[33kV_OG2_O2RE19_Energy (KWh)]])</f>
        <v>0</v>
      </c>
      <c r="BO149" s="64">
        <f>IFERROR(RD[[#This Row],[ Export (33 kV)]]*(1-RD[[#This Row],[33 kV Line Loss (%)]]),RD[[#This Row],[ Export (33 kV)]])</f>
        <v>0</v>
      </c>
      <c r="BP149" s="121"/>
      <c r="BQ149" s="121"/>
      <c r="BR149" s="121"/>
      <c r="BS149" t="str">
        <f>IFERROR(RD[[#This Row],[E_AC (WPR)]]/RD[[#This Row],[E_DC (WPR)]],"")</f>
        <v/>
      </c>
    </row>
    <row r="150" spans="1:71">
      <c r="A150" s="147">
        <f t="shared" si="73"/>
        <v>45984</v>
      </c>
      <c r="B150" s="150">
        <f>YEAR(RD[[#This Row],[Date]])+IF(MONTH(RD[[#This Row],[Date]])&gt;=4,1,0)</f>
        <v>2026</v>
      </c>
      <c r="C150" s="150">
        <f>YEAR(RD[[#This Row],[Date]])</f>
        <v>2025</v>
      </c>
      <c r="D150" s="151">
        <f t="shared" si="72"/>
        <v>45962</v>
      </c>
      <c r="E150" s="150">
        <f>DAY(EOMONTH(RD[[#This Row],[Date]],0))</f>
        <v>30</v>
      </c>
      <c r="F150" s="121"/>
      <c r="G150" s="121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66"/>
      <c r="AF150" s="166"/>
      <c r="AG150" s="166"/>
      <c r="AH150" s="166"/>
      <c r="AI150" s="166"/>
      <c r="AJ150" s="166"/>
      <c r="AK150" s="166"/>
      <c r="AL150" s="166"/>
      <c r="AM150" s="59"/>
      <c r="AN150" s="59"/>
      <c r="AO150" s="59"/>
      <c r="AP150" s="59"/>
      <c r="AQ150" s="59"/>
      <c r="AR150" s="59"/>
      <c r="AS150" s="59"/>
      <c r="AT150" s="59"/>
      <c r="AU150" s="60">
        <f>SUM(RD[[#This Row],[IS2Inv1M1]:[IS4Inv1M3]])</f>
        <v>0</v>
      </c>
      <c r="AV150" s="60">
        <f>SUM(RD[[#This Row],[IS5Inv1M1]:[IS5Inv2M3]])</f>
        <v>0</v>
      </c>
      <c r="AW150" s="60">
        <f>SUM(RD[[#This Row],[O2RE9]:[O2RE192]])</f>
        <v>0</v>
      </c>
      <c r="AX150" s="152"/>
      <c r="AY150" s="152"/>
      <c r="AZ150" s="152"/>
      <c r="BA150" s="152"/>
      <c r="BB150" s="152"/>
      <c r="BC150" s="152"/>
      <c r="BD150" s="153" t="str">
        <f>IF((RD[[#This Row],[33 kV_F1_Ex (O2RE9)]]-AX149)*150000&lt;=0,"",(RD[[#This Row],[33 kV_F1_Ex (O2RE9)]]-AX149)*150000)</f>
        <v/>
      </c>
      <c r="BE150" s="153">
        <f>IF((RD[[#This Row],[33kV_OG1_Ex (O2RE9)]]-AY149)*1000&lt;=0,0,(RD[[#This Row],[33kV_OG1_Ex (O2RE9)]]-AY149)*1000)</f>
        <v>0</v>
      </c>
      <c r="BF150" s="153"/>
      <c r="BG150" s="153" t="str">
        <f>IF((RD[[#This Row],[33 kV_F2_Ex (O2RE19)]]-BA149)*150000&lt;=0,"",(RD[[#This Row],[33 kV_F2_Ex (O2RE19)]]-BA149)*150000)</f>
        <v/>
      </c>
      <c r="BH150" s="153">
        <f>IF((RD[[#This Row],[33kV_OG2_Ex (O2RE19)]]-BB149)*1000&lt;=0,0,(RD[[#This Row],[33kV_OG2_Ex (O2RE19)]]-BB149)*1000)</f>
        <v>0</v>
      </c>
      <c r="BI150" s="153">
        <f>IF((RD[[#This Row],[33kV_Aux2_Im (O2RE19)]]-BC149)*1000&lt;0,"",(RD[[#This Row],[33kV_Aux2_Im (O2RE19)]]-BC149)*1000)</f>
        <v>0</v>
      </c>
      <c r="BJ150" s="153">
        <f>IF((RD[[#This Row],[33kV_Aux1_Im (O2RE9)]]-AZ149)*1000&lt;0,"",(RD[[#This Row],[33kV_Aux1_Im (O2RE9)]]-AZ149)*1000)</f>
        <v>0</v>
      </c>
      <c r="BK150" s="153">
        <f>SUM(RD[[#This Row],[33kV_OG1_O2RE9_Energy (KWh)]],RD[[#This Row],[33kV_OG2_O2RE19_Energy (KWh)]])</f>
        <v>0</v>
      </c>
      <c r="BL150" s="62" t="str">
        <f>IFERROR(RD[[#This Row],[33 kV Total Export (KWH)]]/RD[[#This Row],[Inv Total Gneration (MWh)]]-1,"")</f>
        <v/>
      </c>
      <c r="BM150" s="63">
        <f>IFERROR((RD[[#This Row],[Sunset Time (POA&lt;20 W/m2)]]-RD[[#This Row],[Sunrise Time (POA&gt;20 W/m2)]])*24,0)</f>
        <v>0</v>
      </c>
      <c r="BN150" s="64">
        <f>SUM(RD[[#This Row],[33kV_OG1_O2RE9_Energy (KWh)]],RD[[#This Row],[33kV_OG2_O2RE19_Energy (KWh)]])</f>
        <v>0</v>
      </c>
      <c r="BO150" s="64">
        <f>IFERROR(RD[[#This Row],[ Export (33 kV)]]*(1-RD[[#This Row],[33 kV Line Loss (%)]]),RD[[#This Row],[ Export (33 kV)]])</f>
        <v>0</v>
      </c>
      <c r="BP150" s="121"/>
      <c r="BQ150" s="121"/>
      <c r="BR150" s="121"/>
      <c r="BS150" t="str">
        <f>IFERROR(RD[[#This Row],[E_AC (WPR)]]/RD[[#This Row],[E_DC (WPR)]],"")</f>
        <v/>
      </c>
    </row>
    <row r="151" spans="1:71">
      <c r="A151" s="147">
        <f t="shared" si="73"/>
        <v>45985</v>
      </c>
      <c r="B151" s="150">
        <f>YEAR(RD[[#This Row],[Date]])+IF(MONTH(RD[[#This Row],[Date]])&gt;=4,1,0)</f>
        <v>2026</v>
      </c>
      <c r="C151" s="150">
        <f>YEAR(RD[[#This Row],[Date]])</f>
        <v>2025</v>
      </c>
      <c r="D151" s="151">
        <f t="shared" si="72"/>
        <v>45962</v>
      </c>
      <c r="E151" s="150">
        <f>DAY(EOMONTH(RD[[#This Row],[Date]],0))</f>
        <v>30</v>
      </c>
      <c r="F151" s="121"/>
      <c r="G151" s="121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66"/>
      <c r="AF151" s="166"/>
      <c r="AG151" s="166"/>
      <c r="AH151" s="166"/>
      <c r="AI151" s="166"/>
      <c r="AJ151" s="166"/>
      <c r="AK151" s="166"/>
      <c r="AL151" s="166"/>
      <c r="AM151" s="59"/>
      <c r="AN151" s="59"/>
      <c r="AO151" s="59"/>
      <c r="AP151" s="59"/>
      <c r="AQ151" s="59"/>
      <c r="AR151" s="59"/>
      <c r="AS151" s="59"/>
      <c r="AT151" s="59"/>
      <c r="AU151" s="60">
        <f>SUM(RD[[#This Row],[IS2Inv1M1]:[IS4Inv1M3]])</f>
        <v>0</v>
      </c>
      <c r="AV151" s="60">
        <f>SUM(RD[[#This Row],[IS5Inv1M1]:[IS5Inv2M3]])</f>
        <v>0</v>
      </c>
      <c r="AW151" s="60">
        <f>SUM(RD[[#This Row],[O2RE9]:[O2RE192]])</f>
        <v>0</v>
      </c>
      <c r="AX151" s="152"/>
      <c r="AY151" s="152"/>
      <c r="AZ151" s="152"/>
      <c r="BA151" s="152"/>
      <c r="BB151" s="152"/>
      <c r="BC151" s="152"/>
      <c r="BD151" s="153" t="str">
        <f>IF((RD[[#This Row],[33 kV_F1_Ex (O2RE9)]]-AX150)*150000&lt;=0,"",(RD[[#This Row],[33 kV_F1_Ex (O2RE9)]]-AX150)*150000)</f>
        <v/>
      </c>
      <c r="BE151" s="153">
        <f>IF((RD[[#This Row],[33kV_OG1_Ex (O2RE9)]]-AY150)*1000&lt;=0,0,(RD[[#This Row],[33kV_OG1_Ex (O2RE9)]]-AY150)*1000)</f>
        <v>0</v>
      </c>
      <c r="BF151" s="153"/>
      <c r="BG151" s="153" t="str">
        <f>IF((RD[[#This Row],[33 kV_F2_Ex (O2RE19)]]-BA150)*150000&lt;=0,"",(RD[[#This Row],[33 kV_F2_Ex (O2RE19)]]-BA150)*150000)</f>
        <v/>
      </c>
      <c r="BH151" s="153">
        <f>IF((RD[[#This Row],[33kV_OG2_Ex (O2RE19)]]-BB150)*1000&lt;=0,0,(RD[[#This Row],[33kV_OG2_Ex (O2RE19)]]-BB150)*1000)</f>
        <v>0</v>
      </c>
      <c r="BI151" s="153">
        <f>IF((RD[[#This Row],[33kV_Aux2_Im (O2RE19)]]-BC150)*1000&lt;0,"",(RD[[#This Row],[33kV_Aux2_Im (O2RE19)]]-BC150)*1000)</f>
        <v>0</v>
      </c>
      <c r="BJ151" s="153">
        <f>IF((RD[[#This Row],[33kV_Aux1_Im (O2RE9)]]-AZ150)*1000&lt;0,"",(RD[[#This Row],[33kV_Aux1_Im (O2RE9)]]-AZ150)*1000)</f>
        <v>0</v>
      </c>
      <c r="BK151" s="153">
        <f>SUM(RD[[#This Row],[33kV_OG1_O2RE9_Energy (KWh)]],RD[[#This Row],[33kV_OG2_O2RE19_Energy (KWh)]])</f>
        <v>0</v>
      </c>
      <c r="BL151" s="62" t="str">
        <f>IFERROR(RD[[#This Row],[33 kV Total Export (KWH)]]/RD[[#This Row],[Inv Total Gneration (MWh)]]-1,"")</f>
        <v/>
      </c>
      <c r="BM151" s="63">
        <f>IFERROR((RD[[#This Row],[Sunset Time (POA&lt;20 W/m2)]]-RD[[#This Row],[Sunrise Time (POA&gt;20 W/m2)]])*24,0)</f>
        <v>0</v>
      </c>
      <c r="BN151" s="64">
        <f>SUM(RD[[#This Row],[33kV_OG1_O2RE9_Energy (KWh)]],RD[[#This Row],[33kV_OG2_O2RE19_Energy (KWh)]])</f>
        <v>0</v>
      </c>
      <c r="BO151" s="64">
        <f>IFERROR(RD[[#This Row],[ Export (33 kV)]]*(1-RD[[#This Row],[33 kV Line Loss (%)]]),RD[[#This Row],[ Export (33 kV)]])</f>
        <v>0</v>
      </c>
      <c r="BP151" s="121"/>
      <c r="BQ151" s="121"/>
      <c r="BR151" s="121"/>
      <c r="BS151" t="str">
        <f>IFERROR(RD[[#This Row],[E_AC (WPR)]]/RD[[#This Row],[E_DC (WPR)]],"")</f>
        <v/>
      </c>
    </row>
    <row r="152" spans="1:71">
      <c r="A152" s="147">
        <f t="shared" si="73"/>
        <v>45986</v>
      </c>
      <c r="B152" s="150">
        <f>YEAR(RD[[#This Row],[Date]])+IF(MONTH(RD[[#This Row],[Date]])&gt;=4,1,0)</f>
        <v>2026</v>
      </c>
      <c r="C152" s="150">
        <f>YEAR(RD[[#This Row],[Date]])</f>
        <v>2025</v>
      </c>
      <c r="D152" s="151">
        <f t="shared" si="72"/>
        <v>45962</v>
      </c>
      <c r="E152" s="150">
        <f>DAY(EOMONTH(RD[[#This Row],[Date]],0))</f>
        <v>30</v>
      </c>
      <c r="F152" s="121"/>
      <c r="G152" s="121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66"/>
      <c r="AF152" s="166"/>
      <c r="AG152" s="166"/>
      <c r="AH152" s="166"/>
      <c r="AI152" s="166"/>
      <c r="AJ152" s="166"/>
      <c r="AK152" s="166"/>
      <c r="AL152" s="166"/>
      <c r="AM152" s="59"/>
      <c r="AN152" s="59"/>
      <c r="AO152" s="59"/>
      <c r="AP152" s="59"/>
      <c r="AQ152" s="59"/>
      <c r="AR152" s="59"/>
      <c r="AS152" s="59"/>
      <c r="AT152" s="59"/>
      <c r="AU152" s="60">
        <f>SUM(RD[[#This Row],[IS2Inv1M1]:[IS4Inv1M3]])</f>
        <v>0</v>
      </c>
      <c r="AV152" s="60">
        <f>SUM(RD[[#This Row],[IS5Inv1M1]:[IS5Inv2M3]])</f>
        <v>0</v>
      </c>
      <c r="AW152" s="60">
        <f>SUM(RD[[#This Row],[O2RE9]:[O2RE192]])</f>
        <v>0</v>
      </c>
      <c r="AX152" s="152"/>
      <c r="AY152" s="152"/>
      <c r="AZ152" s="152"/>
      <c r="BA152" s="152"/>
      <c r="BB152" s="152"/>
      <c r="BC152" s="152"/>
      <c r="BD152" s="153" t="str">
        <f>IF((RD[[#This Row],[33 kV_F1_Ex (O2RE9)]]-AX151)*150000&lt;=0,"",(RD[[#This Row],[33 kV_F1_Ex (O2RE9)]]-AX151)*150000)</f>
        <v/>
      </c>
      <c r="BE152" s="153">
        <f>IF((RD[[#This Row],[33kV_OG1_Ex (O2RE9)]]-AY151)*1000&lt;=0,0,(RD[[#This Row],[33kV_OG1_Ex (O2RE9)]]-AY151)*1000)</f>
        <v>0</v>
      </c>
      <c r="BF152" s="153"/>
      <c r="BG152" s="153" t="str">
        <f>IF((RD[[#This Row],[33 kV_F2_Ex (O2RE19)]]-BA151)*150000&lt;=0,"",(RD[[#This Row],[33 kV_F2_Ex (O2RE19)]]-BA151)*150000)</f>
        <v/>
      </c>
      <c r="BH152" s="153">
        <f>IF((RD[[#This Row],[33kV_OG2_Ex (O2RE19)]]-BB151)*1000&lt;=0,0,(RD[[#This Row],[33kV_OG2_Ex (O2RE19)]]-BB151)*1000)</f>
        <v>0</v>
      </c>
      <c r="BI152" s="153">
        <f>IF((RD[[#This Row],[33kV_Aux2_Im (O2RE19)]]-BC151)*1000&lt;0,"",(RD[[#This Row],[33kV_Aux2_Im (O2RE19)]]-BC151)*1000)</f>
        <v>0</v>
      </c>
      <c r="BJ152" s="153">
        <f>IF((RD[[#This Row],[33kV_Aux1_Im (O2RE9)]]-AZ151)*1000&lt;0,"",(RD[[#This Row],[33kV_Aux1_Im (O2RE9)]]-AZ151)*1000)</f>
        <v>0</v>
      </c>
      <c r="BK152" s="153">
        <f>SUM(RD[[#This Row],[33kV_OG1_O2RE9_Energy (KWh)]],RD[[#This Row],[33kV_OG2_O2RE19_Energy (KWh)]])</f>
        <v>0</v>
      </c>
      <c r="BL152" s="62" t="str">
        <f>IFERROR(RD[[#This Row],[33 kV Total Export (KWH)]]/RD[[#This Row],[Inv Total Gneration (MWh)]]-1,"")</f>
        <v/>
      </c>
      <c r="BM152" s="63">
        <f>IFERROR((RD[[#This Row],[Sunset Time (POA&lt;20 W/m2)]]-RD[[#This Row],[Sunrise Time (POA&gt;20 W/m2)]])*24,0)</f>
        <v>0</v>
      </c>
      <c r="BN152" s="64">
        <f>SUM(RD[[#This Row],[33kV_OG1_O2RE9_Energy (KWh)]],RD[[#This Row],[33kV_OG2_O2RE19_Energy (KWh)]])</f>
        <v>0</v>
      </c>
      <c r="BO152" s="64">
        <f>IFERROR(RD[[#This Row],[ Export (33 kV)]]*(1-RD[[#This Row],[33 kV Line Loss (%)]]),RD[[#This Row],[ Export (33 kV)]])</f>
        <v>0</v>
      </c>
      <c r="BP152" s="121"/>
      <c r="BQ152" s="121"/>
      <c r="BR152" s="121"/>
      <c r="BS152" t="str">
        <f>IFERROR(RD[[#This Row],[E_AC (WPR)]]/RD[[#This Row],[E_DC (WPR)]],"")</f>
        <v/>
      </c>
    </row>
    <row r="153" spans="1:71">
      <c r="A153" s="147">
        <f t="shared" si="73"/>
        <v>45987</v>
      </c>
      <c r="B153" s="150">
        <f>YEAR(RD[[#This Row],[Date]])+IF(MONTH(RD[[#This Row],[Date]])&gt;=4,1,0)</f>
        <v>2026</v>
      </c>
      <c r="C153" s="150">
        <f>YEAR(RD[[#This Row],[Date]])</f>
        <v>2025</v>
      </c>
      <c r="D153" s="151">
        <f t="shared" si="72"/>
        <v>45962</v>
      </c>
      <c r="E153" s="150">
        <f>DAY(EOMONTH(RD[[#This Row],[Date]],0))</f>
        <v>30</v>
      </c>
      <c r="F153" s="121"/>
      <c r="G153" s="121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66"/>
      <c r="AF153" s="166"/>
      <c r="AG153" s="166"/>
      <c r="AH153" s="166"/>
      <c r="AI153" s="166"/>
      <c r="AJ153" s="166"/>
      <c r="AK153" s="166"/>
      <c r="AL153" s="166"/>
      <c r="AM153" s="59"/>
      <c r="AN153" s="59"/>
      <c r="AO153" s="59"/>
      <c r="AP153" s="59"/>
      <c r="AQ153" s="59"/>
      <c r="AR153" s="59"/>
      <c r="AS153" s="59"/>
      <c r="AT153" s="59"/>
      <c r="AU153" s="60">
        <f>SUM(RD[[#This Row],[IS2Inv1M1]:[IS4Inv1M3]])</f>
        <v>0</v>
      </c>
      <c r="AV153" s="60">
        <f>SUM(RD[[#This Row],[IS5Inv1M1]:[IS5Inv2M3]])</f>
        <v>0</v>
      </c>
      <c r="AW153" s="60">
        <f>SUM(RD[[#This Row],[O2RE9]:[O2RE192]])</f>
        <v>0</v>
      </c>
      <c r="AX153" s="152"/>
      <c r="AY153" s="152"/>
      <c r="AZ153" s="152"/>
      <c r="BA153" s="152"/>
      <c r="BB153" s="152"/>
      <c r="BC153" s="152"/>
      <c r="BD153" s="153" t="str">
        <f>IF((RD[[#This Row],[33 kV_F1_Ex (O2RE9)]]-AX152)*150000&lt;=0,"",(RD[[#This Row],[33 kV_F1_Ex (O2RE9)]]-AX152)*150000)</f>
        <v/>
      </c>
      <c r="BE153" s="153">
        <f>IF((RD[[#This Row],[33kV_OG1_Ex (O2RE9)]]-AY152)*1000&lt;=0,0,(RD[[#This Row],[33kV_OG1_Ex (O2RE9)]]-AY152)*1000)</f>
        <v>0</v>
      </c>
      <c r="BF153" s="153"/>
      <c r="BG153" s="153" t="str">
        <f>IF((RD[[#This Row],[33 kV_F2_Ex (O2RE19)]]-BA152)*150000&lt;=0,"",(RD[[#This Row],[33 kV_F2_Ex (O2RE19)]]-BA152)*150000)</f>
        <v/>
      </c>
      <c r="BH153" s="153">
        <f>IF((RD[[#This Row],[33kV_OG2_Ex (O2RE19)]]-BB152)*1000&lt;=0,0,(RD[[#This Row],[33kV_OG2_Ex (O2RE19)]]-BB152)*1000)</f>
        <v>0</v>
      </c>
      <c r="BI153" s="153">
        <f>IF((RD[[#This Row],[33kV_Aux2_Im (O2RE19)]]-BC152)*1000&lt;0,"",(RD[[#This Row],[33kV_Aux2_Im (O2RE19)]]-BC152)*1000)</f>
        <v>0</v>
      </c>
      <c r="BJ153" s="153">
        <f>IF((RD[[#This Row],[33kV_Aux1_Im (O2RE9)]]-AZ152)*1000&lt;0,"",(RD[[#This Row],[33kV_Aux1_Im (O2RE9)]]-AZ152)*1000)</f>
        <v>0</v>
      </c>
      <c r="BK153" s="153">
        <f>SUM(RD[[#This Row],[33kV_OG1_O2RE9_Energy (KWh)]],RD[[#This Row],[33kV_OG2_O2RE19_Energy (KWh)]])</f>
        <v>0</v>
      </c>
      <c r="BL153" s="62" t="str">
        <f>IFERROR(RD[[#This Row],[33 kV Total Export (KWH)]]/RD[[#This Row],[Inv Total Gneration (MWh)]]-1,"")</f>
        <v/>
      </c>
      <c r="BM153" s="63">
        <f>IFERROR((RD[[#This Row],[Sunset Time (POA&lt;20 W/m2)]]-RD[[#This Row],[Sunrise Time (POA&gt;20 W/m2)]])*24,0)</f>
        <v>0</v>
      </c>
      <c r="BN153" s="64">
        <f>SUM(RD[[#This Row],[33kV_OG1_O2RE9_Energy (KWh)]],RD[[#This Row],[33kV_OG2_O2RE19_Energy (KWh)]])</f>
        <v>0</v>
      </c>
      <c r="BO153" s="64">
        <f>IFERROR(RD[[#This Row],[ Export (33 kV)]]*(1-RD[[#This Row],[33 kV Line Loss (%)]]),RD[[#This Row],[ Export (33 kV)]])</f>
        <v>0</v>
      </c>
      <c r="BP153" s="121"/>
      <c r="BQ153" s="121"/>
      <c r="BR153" s="121"/>
      <c r="BS153" t="str">
        <f>IFERROR(RD[[#This Row],[E_AC (WPR)]]/RD[[#This Row],[E_DC (WPR)]],"")</f>
        <v/>
      </c>
    </row>
    <row r="154" spans="1:71">
      <c r="A154" s="147">
        <f t="shared" si="73"/>
        <v>45988</v>
      </c>
      <c r="B154" s="150">
        <f>YEAR(RD[[#This Row],[Date]])+IF(MONTH(RD[[#This Row],[Date]])&gt;=4,1,0)</f>
        <v>2026</v>
      </c>
      <c r="C154" s="150">
        <f>YEAR(RD[[#This Row],[Date]])</f>
        <v>2025</v>
      </c>
      <c r="D154" s="151">
        <f t="shared" si="72"/>
        <v>45962</v>
      </c>
      <c r="E154" s="150">
        <f>DAY(EOMONTH(RD[[#This Row],[Date]],0))</f>
        <v>30</v>
      </c>
      <c r="F154" s="121"/>
      <c r="G154" s="121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66"/>
      <c r="AF154" s="166"/>
      <c r="AG154" s="166"/>
      <c r="AH154" s="166"/>
      <c r="AI154" s="166"/>
      <c r="AJ154" s="166"/>
      <c r="AK154" s="166"/>
      <c r="AL154" s="166"/>
      <c r="AM154" s="59"/>
      <c r="AN154" s="59"/>
      <c r="AO154" s="59"/>
      <c r="AP154" s="59"/>
      <c r="AQ154" s="59"/>
      <c r="AR154" s="59"/>
      <c r="AS154" s="59"/>
      <c r="AT154" s="59"/>
      <c r="AU154" s="60">
        <f>SUM(RD[[#This Row],[IS2Inv1M1]:[IS4Inv1M3]])</f>
        <v>0</v>
      </c>
      <c r="AV154" s="60">
        <f>SUM(RD[[#This Row],[IS5Inv1M1]:[IS5Inv2M3]])</f>
        <v>0</v>
      </c>
      <c r="AW154" s="60">
        <f>SUM(RD[[#This Row],[O2RE9]:[O2RE192]])</f>
        <v>0</v>
      </c>
      <c r="AX154" s="152"/>
      <c r="AY154" s="152"/>
      <c r="AZ154" s="152"/>
      <c r="BA154" s="152"/>
      <c r="BB154" s="152"/>
      <c r="BC154" s="152"/>
      <c r="BD154" s="153" t="str">
        <f>IF((RD[[#This Row],[33 kV_F1_Ex (O2RE9)]]-AX153)*150000&lt;=0,"",(RD[[#This Row],[33 kV_F1_Ex (O2RE9)]]-AX153)*150000)</f>
        <v/>
      </c>
      <c r="BE154" s="153">
        <f>IF((RD[[#This Row],[33kV_OG1_Ex (O2RE9)]]-AY153)*1000&lt;=0,0,(RD[[#This Row],[33kV_OG1_Ex (O2RE9)]]-AY153)*1000)</f>
        <v>0</v>
      </c>
      <c r="BF154" s="153"/>
      <c r="BG154" s="153" t="str">
        <f>IF((RD[[#This Row],[33 kV_F2_Ex (O2RE19)]]-BA153)*150000&lt;=0,"",(RD[[#This Row],[33 kV_F2_Ex (O2RE19)]]-BA153)*150000)</f>
        <v/>
      </c>
      <c r="BH154" s="153">
        <f>IF((RD[[#This Row],[33kV_OG2_Ex (O2RE19)]]-BB153)*1000&lt;=0,0,(RD[[#This Row],[33kV_OG2_Ex (O2RE19)]]-BB153)*1000)</f>
        <v>0</v>
      </c>
      <c r="BI154" s="153">
        <f>IF((RD[[#This Row],[33kV_Aux2_Im (O2RE19)]]-BC153)*1000&lt;0,"",(RD[[#This Row],[33kV_Aux2_Im (O2RE19)]]-BC153)*1000)</f>
        <v>0</v>
      </c>
      <c r="BJ154" s="153">
        <f>IF((RD[[#This Row],[33kV_Aux1_Im (O2RE9)]]-AZ153)*1000&lt;0,"",(RD[[#This Row],[33kV_Aux1_Im (O2RE9)]]-AZ153)*1000)</f>
        <v>0</v>
      </c>
      <c r="BK154" s="153">
        <f>SUM(RD[[#This Row],[33kV_OG1_O2RE9_Energy (KWh)]],RD[[#This Row],[33kV_OG2_O2RE19_Energy (KWh)]])</f>
        <v>0</v>
      </c>
      <c r="BL154" s="62" t="str">
        <f>IFERROR(RD[[#This Row],[33 kV Total Export (KWH)]]/RD[[#This Row],[Inv Total Gneration (MWh)]]-1,"")</f>
        <v/>
      </c>
      <c r="BM154" s="63">
        <f>IFERROR((RD[[#This Row],[Sunset Time (POA&lt;20 W/m2)]]-RD[[#This Row],[Sunrise Time (POA&gt;20 W/m2)]])*24,0)</f>
        <v>0</v>
      </c>
      <c r="BN154" s="64">
        <f>SUM(RD[[#This Row],[33kV_OG1_O2RE9_Energy (KWh)]],RD[[#This Row],[33kV_OG2_O2RE19_Energy (KWh)]])</f>
        <v>0</v>
      </c>
      <c r="BO154" s="64">
        <f>IFERROR(RD[[#This Row],[ Export (33 kV)]]*(1-RD[[#This Row],[33 kV Line Loss (%)]]),RD[[#This Row],[ Export (33 kV)]])</f>
        <v>0</v>
      </c>
      <c r="BP154" s="121"/>
      <c r="BQ154" s="121"/>
      <c r="BR154" s="121"/>
      <c r="BS154" t="str">
        <f>IFERROR(RD[[#This Row],[E_AC (WPR)]]/RD[[#This Row],[E_DC (WPR)]],"")</f>
        <v/>
      </c>
    </row>
    <row r="155" spans="1:71">
      <c r="A155" s="147">
        <f t="shared" si="73"/>
        <v>45989</v>
      </c>
      <c r="B155" s="150">
        <f>YEAR(RD[[#This Row],[Date]])+IF(MONTH(RD[[#This Row],[Date]])&gt;=4,1,0)</f>
        <v>2026</v>
      </c>
      <c r="C155" s="150">
        <f>YEAR(RD[[#This Row],[Date]])</f>
        <v>2025</v>
      </c>
      <c r="D155" s="151">
        <f t="shared" si="72"/>
        <v>45962</v>
      </c>
      <c r="E155" s="150">
        <f>DAY(EOMONTH(RD[[#This Row],[Date]],0))</f>
        <v>30</v>
      </c>
      <c r="F155" s="121"/>
      <c r="G155" s="121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66"/>
      <c r="AF155" s="166"/>
      <c r="AG155" s="166"/>
      <c r="AH155" s="166"/>
      <c r="AI155" s="166"/>
      <c r="AJ155" s="166"/>
      <c r="AK155" s="166"/>
      <c r="AL155" s="166"/>
      <c r="AM155" s="59"/>
      <c r="AN155" s="59"/>
      <c r="AO155" s="59"/>
      <c r="AP155" s="59"/>
      <c r="AQ155" s="59"/>
      <c r="AR155" s="59"/>
      <c r="AS155" s="59"/>
      <c r="AT155" s="59"/>
      <c r="AU155" s="60">
        <f>SUM(RD[[#This Row],[IS2Inv1M1]:[IS4Inv1M3]])</f>
        <v>0</v>
      </c>
      <c r="AV155" s="60">
        <f>SUM(RD[[#This Row],[IS5Inv1M1]:[IS5Inv2M3]])</f>
        <v>0</v>
      </c>
      <c r="AW155" s="60">
        <f>SUM(RD[[#This Row],[O2RE9]:[O2RE192]])</f>
        <v>0</v>
      </c>
      <c r="AX155" s="152"/>
      <c r="AY155" s="152"/>
      <c r="AZ155" s="152"/>
      <c r="BA155" s="152"/>
      <c r="BB155" s="152"/>
      <c r="BC155" s="152"/>
      <c r="BD155" s="153" t="str">
        <f>IF((RD[[#This Row],[33 kV_F1_Ex (O2RE9)]]-AX154)*150000&lt;=0,"",(RD[[#This Row],[33 kV_F1_Ex (O2RE9)]]-AX154)*150000)</f>
        <v/>
      </c>
      <c r="BE155" s="153">
        <f>IF((RD[[#This Row],[33kV_OG1_Ex (O2RE9)]]-AY154)*1000&lt;=0,0,(RD[[#This Row],[33kV_OG1_Ex (O2RE9)]]-AY154)*1000)</f>
        <v>0</v>
      </c>
      <c r="BF155" s="153"/>
      <c r="BG155" s="153" t="str">
        <f>IF((RD[[#This Row],[33 kV_F2_Ex (O2RE19)]]-BA154)*150000&lt;=0,"",(RD[[#This Row],[33 kV_F2_Ex (O2RE19)]]-BA154)*150000)</f>
        <v/>
      </c>
      <c r="BH155" s="153">
        <f>IF((RD[[#This Row],[33kV_OG2_Ex (O2RE19)]]-BB154)*1000&lt;=0,0,(RD[[#This Row],[33kV_OG2_Ex (O2RE19)]]-BB154)*1000)</f>
        <v>0</v>
      </c>
      <c r="BI155" s="153">
        <f>IF((RD[[#This Row],[33kV_Aux2_Im (O2RE19)]]-BC154)*1000&lt;0,"",(RD[[#This Row],[33kV_Aux2_Im (O2RE19)]]-BC154)*1000)</f>
        <v>0</v>
      </c>
      <c r="BJ155" s="153">
        <f>IF((RD[[#This Row],[33kV_Aux1_Im (O2RE9)]]-AZ154)*1000&lt;0,"",(RD[[#This Row],[33kV_Aux1_Im (O2RE9)]]-AZ154)*1000)</f>
        <v>0</v>
      </c>
      <c r="BK155" s="153">
        <f>SUM(RD[[#This Row],[33kV_OG1_O2RE9_Energy (KWh)]],RD[[#This Row],[33kV_OG2_O2RE19_Energy (KWh)]])</f>
        <v>0</v>
      </c>
      <c r="BL155" s="62" t="str">
        <f>IFERROR(RD[[#This Row],[33 kV Total Export (KWH)]]/RD[[#This Row],[Inv Total Gneration (MWh)]]-1,"")</f>
        <v/>
      </c>
      <c r="BM155" s="63">
        <f>IFERROR((RD[[#This Row],[Sunset Time (POA&lt;20 W/m2)]]-RD[[#This Row],[Sunrise Time (POA&gt;20 W/m2)]])*24,0)</f>
        <v>0</v>
      </c>
      <c r="BN155" s="64">
        <f>SUM(RD[[#This Row],[33kV_OG1_O2RE9_Energy (KWh)]],RD[[#This Row],[33kV_OG2_O2RE19_Energy (KWh)]])</f>
        <v>0</v>
      </c>
      <c r="BO155" s="64">
        <f>IFERROR(RD[[#This Row],[ Export (33 kV)]]*(1-RD[[#This Row],[33 kV Line Loss (%)]]),RD[[#This Row],[ Export (33 kV)]])</f>
        <v>0</v>
      </c>
      <c r="BP155" s="121"/>
      <c r="BQ155" s="121"/>
      <c r="BR155" s="121"/>
      <c r="BS155" t="str">
        <f>IFERROR(RD[[#This Row],[E_AC (WPR)]]/RD[[#This Row],[E_DC (WPR)]],"")</f>
        <v/>
      </c>
    </row>
    <row r="156" spans="1:71">
      <c r="A156" s="147">
        <f t="shared" si="73"/>
        <v>45990</v>
      </c>
      <c r="B156" s="150">
        <f>YEAR(RD[[#This Row],[Date]])+IF(MONTH(RD[[#This Row],[Date]])&gt;=4,1,0)</f>
        <v>2026</v>
      </c>
      <c r="C156" s="150">
        <f>YEAR(RD[[#This Row],[Date]])</f>
        <v>2025</v>
      </c>
      <c r="D156" s="151">
        <f t="shared" si="72"/>
        <v>45962</v>
      </c>
      <c r="E156" s="150">
        <f>DAY(EOMONTH(RD[[#This Row],[Date]],0))</f>
        <v>30</v>
      </c>
      <c r="F156" s="121"/>
      <c r="G156" s="121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66"/>
      <c r="AF156" s="166"/>
      <c r="AG156" s="166"/>
      <c r="AH156" s="166"/>
      <c r="AI156" s="166"/>
      <c r="AJ156" s="166"/>
      <c r="AK156" s="166"/>
      <c r="AL156" s="166"/>
      <c r="AM156" s="59"/>
      <c r="AN156" s="59"/>
      <c r="AO156" s="59"/>
      <c r="AP156" s="59"/>
      <c r="AQ156" s="59"/>
      <c r="AR156" s="59"/>
      <c r="AS156" s="59"/>
      <c r="AT156" s="59"/>
      <c r="AU156" s="60">
        <f>SUM(RD[[#This Row],[IS2Inv1M1]:[IS4Inv1M3]])</f>
        <v>0</v>
      </c>
      <c r="AV156" s="60">
        <f>SUM(RD[[#This Row],[IS5Inv1M1]:[IS5Inv2M3]])</f>
        <v>0</v>
      </c>
      <c r="AW156" s="60">
        <f>SUM(RD[[#This Row],[O2RE9]:[O2RE192]])</f>
        <v>0</v>
      </c>
      <c r="AX156" s="152"/>
      <c r="AY156" s="152"/>
      <c r="AZ156" s="152"/>
      <c r="BA156" s="152"/>
      <c r="BB156" s="152"/>
      <c r="BC156" s="152"/>
      <c r="BD156" s="153" t="str">
        <f>IF((RD[[#This Row],[33 kV_F1_Ex (O2RE9)]]-AX155)*150000&lt;=0,"",(RD[[#This Row],[33 kV_F1_Ex (O2RE9)]]-AX155)*150000)</f>
        <v/>
      </c>
      <c r="BE156" s="153">
        <f>IF((RD[[#This Row],[33kV_OG1_Ex (O2RE9)]]-AY155)*1000&lt;=0,0,(RD[[#This Row],[33kV_OG1_Ex (O2RE9)]]-AY155)*1000)</f>
        <v>0</v>
      </c>
      <c r="BF156" s="153"/>
      <c r="BG156" s="153" t="str">
        <f>IF((RD[[#This Row],[33 kV_F2_Ex (O2RE19)]]-BA155)*150000&lt;=0,"",(RD[[#This Row],[33 kV_F2_Ex (O2RE19)]]-BA155)*150000)</f>
        <v/>
      </c>
      <c r="BH156" s="153">
        <f>IF((RD[[#This Row],[33kV_OG2_Ex (O2RE19)]]-BB155)*1000&lt;=0,0,(RD[[#This Row],[33kV_OG2_Ex (O2RE19)]]-BB155)*1000)</f>
        <v>0</v>
      </c>
      <c r="BI156" s="153">
        <f>IF((RD[[#This Row],[33kV_Aux2_Im (O2RE19)]]-BC155)*1000&lt;0,"",(RD[[#This Row],[33kV_Aux2_Im (O2RE19)]]-BC155)*1000)</f>
        <v>0</v>
      </c>
      <c r="BJ156" s="153">
        <f>IF((RD[[#This Row],[33kV_Aux1_Im (O2RE9)]]-AZ155)*1000&lt;0,"",(RD[[#This Row],[33kV_Aux1_Im (O2RE9)]]-AZ155)*1000)</f>
        <v>0</v>
      </c>
      <c r="BK156" s="153">
        <f>SUM(RD[[#This Row],[33kV_OG1_O2RE9_Energy (KWh)]],RD[[#This Row],[33kV_OG2_O2RE19_Energy (KWh)]])</f>
        <v>0</v>
      </c>
      <c r="BL156" s="62" t="str">
        <f>IFERROR(RD[[#This Row],[33 kV Total Export (KWH)]]/RD[[#This Row],[Inv Total Gneration (MWh)]]-1,"")</f>
        <v/>
      </c>
      <c r="BM156" s="63">
        <f>IFERROR((RD[[#This Row],[Sunset Time (POA&lt;20 W/m2)]]-RD[[#This Row],[Sunrise Time (POA&gt;20 W/m2)]])*24,0)</f>
        <v>0</v>
      </c>
      <c r="BN156" s="64">
        <f>SUM(RD[[#This Row],[33kV_OG1_O2RE9_Energy (KWh)]],RD[[#This Row],[33kV_OG2_O2RE19_Energy (KWh)]])</f>
        <v>0</v>
      </c>
      <c r="BO156" s="64">
        <f>IFERROR(RD[[#This Row],[ Export (33 kV)]]*(1-RD[[#This Row],[33 kV Line Loss (%)]]),RD[[#This Row],[ Export (33 kV)]])</f>
        <v>0</v>
      </c>
      <c r="BP156" s="121"/>
      <c r="BQ156" s="121"/>
      <c r="BR156" s="121"/>
      <c r="BS156" t="str">
        <f>IFERROR(RD[[#This Row],[E_AC (WPR)]]/RD[[#This Row],[E_DC (WPR)]],"")</f>
        <v/>
      </c>
    </row>
    <row r="157" spans="1:71">
      <c r="A157" s="147">
        <f t="shared" si="73"/>
        <v>45991</v>
      </c>
      <c r="B157" s="150">
        <f>YEAR(RD[[#This Row],[Date]])+IF(MONTH(RD[[#This Row],[Date]])&gt;=4,1,0)</f>
        <v>2026</v>
      </c>
      <c r="C157" s="150">
        <f>YEAR(RD[[#This Row],[Date]])</f>
        <v>2025</v>
      </c>
      <c r="D157" s="151">
        <f t="shared" si="72"/>
        <v>45962</v>
      </c>
      <c r="E157" s="150">
        <f>DAY(EOMONTH(RD[[#This Row],[Date]],0))</f>
        <v>30</v>
      </c>
      <c r="F157" s="121"/>
      <c r="G157" s="121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66"/>
      <c r="AF157" s="166"/>
      <c r="AG157" s="166"/>
      <c r="AH157" s="166"/>
      <c r="AI157" s="166"/>
      <c r="AJ157" s="166"/>
      <c r="AK157" s="166"/>
      <c r="AL157" s="166"/>
      <c r="AM157" s="59"/>
      <c r="AN157" s="59"/>
      <c r="AO157" s="59"/>
      <c r="AP157" s="59"/>
      <c r="AQ157" s="59"/>
      <c r="AR157" s="59"/>
      <c r="AS157" s="59"/>
      <c r="AT157" s="59"/>
      <c r="AU157" s="60">
        <f>SUM(RD[[#This Row],[IS2Inv1M1]:[IS4Inv1M3]])</f>
        <v>0</v>
      </c>
      <c r="AV157" s="60">
        <f>SUM(RD[[#This Row],[IS5Inv1M1]:[IS5Inv2M3]])</f>
        <v>0</v>
      </c>
      <c r="AW157" s="60">
        <f>SUM(RD[[#This Row],[O2RE9]:[O2RE192]])</f>
        <v>0</v>
      </c>
      <c r="AX157" s="152"/>
      <c r="AY157" s="152"/>
      <c r="AZ157" s="152"/>
      <c r="BA157" s="152"/>
      <c r="BB157" s="152"/>
      <c r="BC157" s="152"/>
      <c r="BD157" s="153" t="str">
        <f>IF((RD[[#This Row],[33 kV_F1_Ex (O2RE9)]]-AX156)*150000&lt;=0,"",(RD[[#This Row],[33 kV_F1_Ex (O2RE9)]]-AX156)*150000)</f>
        <v/>
      </c>
      <c r="BE157" s="153">
        <f>IF((RD[[#This Row],[33kV_OG1_Ex (O2RE9)]]-AY156)*1000&lt;=0,0,(RD[[#This Row],[33kV_OG1_Ex (O2RE9)]]-AY156)*1000)</f>
        <v>0</v>
      </c>
      <c r="BF157" s="153"/>
      <c r="BG157" s="153" t="str">
        <f>IF((RD[[#This Row],[33 kV_F2_Ex (O2RE19)]]-BA156)*150000&lt;=0,"",(RD[[#This Row],[33 kV_F2_Ex (O2RE19)]]-BA156)*150000)</f>
        <v/>
      </c>
      <c r="BH157" s="153">
        <f>IF((RD[[#This Row],[33kV_OG2_Ex (O2RE19)]]-BB156)*1000&lt;=0,0,(RD[[#This Row],[33kV_OG2_Ex (O2RE19)]]-BB156)*1000)</f>
        <v>0</v>
      </c>
      <c r="BI157" s="153">
        <f>IF((RD[[#This Row],[33kV_Aux2_Im (O2RE19)]]-BC156)*1000&lt;0,"",(RD[[#This Row],[33kV_Aux2_Im (O2RE19)]]-BC156)*1000)</f>
        <v>0</v>
      </c>
      <c r="BJ157" s="153">
        <f>IF((RD[[#This Row],[33kV_Aux1_Im (O2RE9)]]-AZ156)*1000&lt;0,"",(RD[[#This Row],[33kV_Aux1_Im (O2RE9)]]-AZ156)*1000)</f>
        <v>0</v>
      </c>
      <c r="BK157" s="153">
        <f>SUM(RD[[#This Row],[33kV_OG1_O2RE9_Energy (KWh)]],RD[[#This Row],[33kV_OG2_O2RE19_Energy (KWh)]])</f>
        <v>0</v>
      </c>
      <c r="BL157" s="62" t="str">
        <f>IFERROR(RD[[#This Row],[33 kV Total Export (KWH)]]/RD[[#This Row],[Inv Total Gneration (MWh)]]-1,"")</f>
        <v/>
      </c>
      <c r="BM157" s="63">
        <f>IFERROR((RD[[#This Row],[Sunset Time (POA&lt;20 W/m2)]]-RD[[#This Row],[Sunrise Time (POA&gt;20 W/m2)]])*24,0)</f>
        <v>0</v>
      </c>
      <c r="BN157" s="64">
        <f>SUM(RD[[#This Row],[33kV_OG1_O2RE9_Energy (KWh)]],RD[[#This Row],[33kV_OG2_O2RE19_Energy (KWh)]])</f>
        <v>0</v>
      </c>
      <c r="BO157" s="64">
        <f>IFERROR(RD[[#This Row],[ Export (33 kV)]]*(1-RD[[#This Row],[33 kV Line Loss (%)]]),RD[[#This Row],[ Export (33 kV)]])</f>
        <v>0</v>
      </c>
      <c r="BP157" s="121"/>
      <c r="BQ157" s="121"/>
      <c r="BR157" s="121"/>
      <c r="BS157" t="str">
        <f>IFERROR(RD[[#This Row],[E_AC (WPR)]]/RD[[#This Row],[E_DC (WPR)]],"")</f>
        <v/>
      </c>
    </row>
    <row r="158" spans="1:71">
      <c r="A158" s="147">
        <f t="shared" si="73"/>
        <v>45992</v>
      </c>
      <c r="B158" s="150">
        <f>YEAR(RD[[#This Row],[Date]])+IF(MONTH(RD[[#This Row],[Date]])&gt;=4,1,0)</f>
        <v>2026</v>
      </c>
      <c r="C158" s="150">
        <f>YEAR(RD[[#This Row],[Date]])</f>
        <v>2025</v>
      </c>
      <c r="D158" s="65">
        <f t="shared" si="72"/>
        <v>45992</v>
      </c>
      <c r="E158" s="150">
        <f>DAY(EOMONTH(RD[[#This Row],[Date]],0))</f>
        <v>31</v>
      </c>
      <c r="F158" s="154"/>
      <c r="G158" s="154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167"/>
      <c r="AF158" s="167"/>
      <c r="AG158" s="167"/>
      <c r="AH158" s="167"/>
      <c r="AI158" s="167"/>
      <c r="AJ158" s="167"/>
      <c r="AK158" s="167"/>
      <c r="AL158" s="167"/>
      <c r="AM158" s="67"/>
      <c r="AN158" s="67"/>
      <c r="AO158" s="67"/>
      <c r="AP158" s="67"/>
      <c r="AQ158" s="67"/>
      <c r="AR158" s="67"/>
      <c r="AS158" s="67"/>
      <c r="AT158" s="67"/>
      <c r="AU158" s="60">
        <f>SUM(RD[[#This Row],[IS2Inv1M1]:[IS4Inv1M3]])</f>
        <v>0</v>
      </c>
      <c r="AV158" s="60">
        <f>SUM(RD[[#This Row],[IS5Inv1M1]:[IS5Inv2M3]])</f>
        <v>0</v>
      </c>
      <c r="AW158" s="60">
        <f>SUM(RD[[#This Row],[O2RE9]:[O2RE192]])</f>
        <v>0</v>
      </c>
      <c r="AX158" s="152"/>
      <c r="AY158" s="152"/>
      <c r="AZ158" s="152"/>
      <c r="BA158" s="152"/>
      <c r="BB158" s="152"/>
      <c r="BC158" s="152"/>
      <c r="BD158" s="153" t="str">
        <f>IF((RD[[#This Row],[33 kV_F1_Ex (O2RE9)]]-AX157)*150000&lt;=0,"",(RD[[#This Row],[33 kV_F1_Ex (O2RE9)]]-AX157)*150000)</f>
        <v/>
      </c>
      <c r="BE158" s="153">
        <f>IF((RD[[#This Row],[33kV_OG1_Ex (O2RE9)]]-AY157)*1000&lt;=0,0,(RD[[#This Row],[33kV_OG1_Ex (O2RE9)]]-AY157)*1000)</f>
        <v>0</v>
      </c>
      <c r="BF158" s="153"/>
      <c r="BG158" s="153" t="str">
        <f>IF((RD[[#This Row],[33 kV_F2_Ex (O2RE19)]]-BA157)*150000&lt;=0,"",(RD[[#This Row],[33 kV_F2_Ex (O2RE19)]]-BA157)*150000)</f>
        <v/>
      </c>
      <c r="BH158" s="153">
        <f>IF((RD[[#This Row],[33kV_OG2_Ex (O2RE19)]]-BB157)*1000&lt;=0,0,(RD[[#This Row],[33kV_OG2_Ex (O2RE19)]]-BB157)*1000)</f>
        <v>0</v>
      </c>
      <c r="BI158" s="153">
        <f>IF((RD[[#This Row],[33kV_Aux2_Im (O2RE19)]]-BC157)*1000&lt;0,"",(RD[[#This Row],[33kV_Aux2_Im (O2RE19)]]-BC157)*1000)</f>
        <v>0</v>
      </c>
      <c r="BJ158" s="153">
        <f>IF((RD[[#This Row],[33kV_Aux1_Im (O2RE9)]]-AZ157)*1000&lt;0,"",(RD[[#This Row],[33kV_Aux1_Im (O2RE9)]]-AZ157)*1000)</f>
        <v>0</v>
      </c>
      <c r="BK158" s="153">
        <f>SUM(RD[[#This Row],[33kV_OG1_O2RE9_Energy (KWh)]],RD[[#This Row],[33kV_OG2_O2RE19_Energy (KWh)]])</f>
        <v>0</v>
      </c>
      <c r="BL158" s="62" t="str">
        <f>IFERROR(RD[[#This Row],[33 kV Total Export (KWH)]]/RD[[#This Row],[Inv Total Gneration (MWh)]]-1,"")</f>
        <v/>
      </c>
      <c r="BM158" s="63">
        <f>IFERROR((RD[[#This Row],[Sunset Time (POA&lt;20 W/m2)]]-RD[[#This Row],[Sunrise Time (POA&gt;20 W/m2)]])*24,0)</f>
        <v>0</v>
      </c>
      <c r="BN158" s="64">
        <f>SUM(RD[[#This Row],[33kV_OG1_O2RE9_Energy (KWh)]],RD[[#This Row],[33kV_OG2_O2RE19_Energy (KWh)]])</f>
        <v>0</v>
      </c>
      <c r="BO158" s="64">
        <f>IFERROR(RD[[#This Row],[ Export (33 kV)]]*(1-RD[[#This Row],[33 kV Line Loss (%)]]),RD[[#This Row],[ Export (33 kV)]])</f>
        <v>0</v>
      </c>
      <c r="BP158" s="154"/>
      <c r="BQ158" s="154"/>
      <c r="BR158" s="154"/>
      <c r="BS158" t="str">
        <f>IFERROR(RD[[#This Row],[E_AC (WPR)]]/RD[[#This Row],[E_DC (WPR)]],"")</f>
        <v/>
      </c>
    </row>
    <row r="159" spans="1:71">
      <c r="A159" s="147">
        <f t="shared" si="73"/>
        <v>45993</v>
      </c>
      <c r="B159" s="150">
        <f>YEAR(RD[[#This Row],[Date]])+IF(MONTH(RD[[#This Row],[Date]])&gt;=4,1,0)</f>
        <v>2026</v>
      </c>
      <c r="C159" s="150">
        <f>YEAR(RD[[#This Row],[Date]])</f>
        <v>2025</v>
      </c>
      <c r="D159" s="65">
        <f t="shared" si="72"/>
        <v>45992</v>
      </c>
      <c r="E159" s="150">
        <f>DAY(EOMONTH(RD[[#This Row],[Date]],0))</f>
        <v>31</v>
      </c>
      <c r="F159" s="121"/>
      <c r="G159" s="121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68"/>
      <c r="AF159" s="168"/>
      <c r="AG159" s="168"/>
      <c r="AH159" s="168"/>
      <c r="AI159" s="168"/>
      <c r="AJ159" s="168"/>
      <c r="AK159" s="168"/>
      <c r="AL159" s="168"/>
      <c r="AM159" s="68"/>
      <c r="AN159" s="68"/>
      <c r="AO159" s="68"/>
      <c r="AP159" s="68"/>
      <c r="AQ159" s="68"/>
      <c r="AR159" s="68"/>
      <c r="AS159" s="68"/>
      <c r="AT159" s="68"/>
      <c r="AU159" s="69">
        <f>SUM(RD[[#This Row],[IS2Inv1M1]:[IS4Inv1M3]])</f>
        <v>0</v>
      </c>
      <c r="AV159" s="69">
        <f>SUM(RD[[#This Row],[IS5Inv1M1]:[IS5Inv2M3]])</f>
        <v>0</v>
      </c>
      <c r="AW159" s="69">
        <f>SUM(RD[[#This Row],[O2RE9]:[O2RE192]])</f>
        <v>0</v>
      </c>
      <c r="AX159" s="152"/>
      <c r="AY159" s="152"/>
      <c r="AZ159" s="152"/>
      <c r="BA159" s="152"/>
      <c r="BB159" s="152"/>
      <c r="BC159" s="152"/>
      <c r="BD159" s="153" t="str">
        <f>IF((RD[[#This Row],[33 kV_F1_Ex (O2RE9)]]-AX158)*150000&lt;=0,"",(RD[[#This Row],[33 kV_F1_Ex (O2RE9)]]-AX158)*150000)</f>
        <v/>
      </c>
      <c r="BE159" s="153">
        <f>IF((RD[[#This Row],[33kV_OG1_Ex (O2RE9)]]-AY158)*1000&lt;=0,0,(RD[[#This Row],[33kV_OG1_Ex (O2RE9)]]-AY158)*1000)</f>
        <v>0</v>
      </c>
      <c r="BF159" s="153"/>
      <c r="BG159" s="153" t="str">
        <f>IF((RD[[#This Row],[33 kV_F2_Ex (O2RE19)]]-BA158)*150000&lt;=0,"",(RD[[#This Row],[33 kV_F2_Ex (O2RE19)]]-BA158)*150000)</f>
        <v/>
      </c>
      <c r="BH159" s="153">
        <f>IF((RD[[#This Row],[33kV_OG2_Ex (O2RE19)]]-BB158)*1000&lt;=0,0,(RD[[#This Row],[33kV_OG2_Ex (O2RE19)]]-BB158)*1000)</f>
        <v>0</v>
      </c>
      <c r="BI159" s="153">
        <f>IF((RD[[#This Row],[33kV_Aux2_Im (O2RE19)]]-BC158)*1000&lt;0,"",(RD[[#This Row],[33kV_Aux2_Im (O2RE19)]]-BC158)*1000)</f>
        <v>0</v>
      </c>
      <c r="BJ159" s="153">
        <f>IF((RD[[#This Row],[33kV_Aux1_Im (O2RE9)]]-AZ158)*1000&lt;0,"",(RD[[#This Row],[33kV_Aux1_Im (O2RE9)]]-AZ158)*1000)</f>
        <v>0</v>
      </c>
      <c r="BK159" s="153">
        <f>SUM(RD[[#This Row],[33kV_OG1_O2RE9_Energy (KWh)]],RD[[#This Row],[33kV_OG2_O2RE19_Energy (KWh)]])</f>
        <v>0</v>
      </c>
      <c r="BL159" s="62" t="str">
        <f>IFERROR(RD[[#This Row],[33 kV Total Export (KWH)]]/RD[[#This Row],[Inv Total Gneration (MWh)]]-1,"")</f>
        <v/>
      </c>
      <c r="BM159" s="63">
        <f>IFERROR((RD[[#This Row],[Sunset Time (POA&lt;20 W/m2)]]-RD[[#This Row],[Sunrise Time (POA&gt;20 W/m2)]])*24,0)</f>
        <v>0</v>
      </c>
      <c r="BN159" s="64">
        <f>SUM(RD[[#This Row],[33kV_OG1_O2RE9_Energy (KWh)]],RD[[#This Row],[33kV_OG2_O2RE19_Energy (KWh)]])</f>
        <v>0</v>
      </c>
      <c r="BO159" s="64">
        <f>IFERROR(RD[[#This Row],[ Export (33 kV)]]*(1-RD[[#This Row],[33 kV Line Loss (%)]]),RD[[#This Row],[ Export (33 kV)]])</f>
        <v>0</v>
      </c>
      <c r="BP159" s="121"/>
      <c r="BQ159" s="121"/>
      <c r="BR159" s="121"/>
      <c r="BS159" t="str">
        <f>IFERROR(RD[[#This Row],[E_AC (WPR)]]/RD[[#This Row],[E_DC (WPR)]],"")</f>
        <v/>
      </c>
    </row>
    <row r="160" spans="1:71">
      <c r="A160" s="147">
        <f t="shared" si="73"/>
        <v>45994</v>
      </c>
      <c r="B160" s="150">
        <f>YEAR(RD[[#This Row],[Date]])+IF(MONTH(RD[[#This Row],[Date]])&gt;=4,1,0)</f>
        <v>2026</v>
      </c>
      <c r="C160" s="150">
        <f>YEAR(RD[[#This Row],[Date]])</f>
        <v>2025</v>
      </c>
      <c r="D160" s="65">
        <f t="shared" si="72"/>
        <v>45992</v>
      </c>
      <c r="E160" s="150">
        <f>DAY(EOMONTH(RD[[#This Row],[Date]],0))</f>
        <v>31</v>
      </c>
      <c r="F160" s="121"/>
      <c r="G160" s="121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68"/>
      <c r="AF160" s="168"/>
      <c r="AG160" s="168"/>
      <c r="AH160" s="168"/>
      <c r="AI160" s="168"/>
      <c r="AJ160" s="168"/>
      <c r="AK160" s="168"/>
      <c r="AL160" s="168"/>
      <c r="AM160" s="68"/>
      <c r="AN160" s="68"/>
      <c r="AO160" s="68"/>
      <c r="AP160" s="68"/>
      <c r="AQ160" s="68"/>
      <c r="AR160" s="68"/>
      <c r="AS160" s="68"/>
      <c r="AT160" s="68"/>
      <c r="AU160" s="69">
        <f>SUM(RD[[#This Row],[IS2Inv1M1]:[IS4Inv1M3]])</f>
        <v>0</v>
      </c>
      <c r="AV160" s="69">
        <f>SUM(RD[[#This Row],[IS5Inv1M1]:[IS5Inv2M3]])</f>
        <v>0</v>
      </c>
      <c r="AW160" s="69">
        <f>SUM(RD[[#This Row],[O2RE9]:[O2RE192]])</f>
        <v>0</v>
      </c>
      <c r="AX160" s="152"/>
      <c r="AY160" s="152"/>
      <c r="AZ160" s="152"/>
      <c r="BA160" s="152"/>
      <c r="BB160" s="152"/>
      <c r="BC160" s="152"/>
      <c r="BD160" s="153" t="str">
        <f>IF((RD[[#This Row],[33 kV_F1_Ex (O2RE9)]]-AX159)*150000&lt;=0,"",(RD[[#This Row],[33 kV_F1_Ex (O2RE9)]]-AX159)*150000)</f>
        <v/>
      </c>
      <c r="BE160" s="153">
        <f>IF((RD[[#This Row],[33kV_OG1_Ex (O2RE9)]]-AY159)*1000&lt;=0,0,(RD[[#This Row],[33kV_OG1_Ex (O2RE9)]]-AY159)*1000)</f>
        <v>0</v>
      </c>
      <c r="BF160" s="153"/>
      <c r="BG160" s="153" t="str">
        <f>IF((RD[[#This Row],[33 kV_F2_Ex (O2RE19)]]-BA159)*150000&lt;=0,"",(RD[[#This Row],[33 kV_F2_Ex (O2RE19)]]-BA159)*150000)</f>
        <v/>
      </c>
      <c r="BH160" s="153">
        <f>IF((RD[[#This Row],[33kV_OG2_Ex (O2RE19)]]-BB159)*1000&lt;=0,0,(RD[[#This Row],[33kV_OG2_Ex (O2RE19)]]-BB159)*1000)</f>
        <v>0</v>
      </c>
      <c r="BI160" s="153">
        <f>IF((RD[[#This Row],[33kV_Aux2_Im (O2RE19)]]-BC159)*1000&lt;0,"",(RD[[#This Row],[33kV_Aux2_Im (O2RE19)]]-BC159)*1000)</f>
        <v>0</v>
      </c>
      <c r="BJ160" s="153">
        <f>IF((RD[[#This Row],[33kV_Aux1_Im (O2RE9)]]-AZ159)*1000&lt;0,"",(RD[[#This Row],[33kV_Aux1_Im (O2RE9)]]-AZ159)*1000)</f>
        <v>0</v>
      </c>
      <c r="BK160" s="153">
        <f>SUM(RD[[#This Row],[33kV_OG1_O2RE9_Energy (KWh)]],RD[[#This Row],[33kV_OG2_O2RE19_Energy (KWh)]])</f>
        <v>0</v>
      </c>
      <c r="BL160" s="62" t="str">
        <f>IFERROR(RD[[#This Row],[33 kV Total Export (KWH)]]/RD[[#This Row],[Inv Total Gneration (MWh)]]-1,"")</f>
        <v/>
      </c>
      <c r="BM160" s="63">
        <f>IFERROR((RD[[#This Row],[Sunset Time (POA&lt;20 W/m2)]]-RD[[#This Row],[Sunrise Time (POA&gt;20 W/m2)]])*24,0)</f>
        <v>0</v>
      </c>
      <c r="BN160" s="64">
        <f>SUM(RD[[#This Row],[33kV_OG1_O2RE9_Energy (KWh)]],RD[[#This Row],[33kV_OG2_O2RE19_Energy (KWh)]])</f>
        <v>0</v>
      </c>
      <c r="BO160" s="64">
        <f>IFERROR(RD[[#This Row],[ Export (33 kV)]]*(1-RD[[#This Row],[33 kV Line Loss (%)]]),RD[[#This Row],[ Export (33 kV)]])</f>
        <v>0</v>
      </c>
      <c r="BP160" s="121"/>
      <c r="BQ160" s="121"/>
      <c r="BR160" s="121"/>
      <c r="BS160" t="str">
        <f>IFERROR(RD[[#This Row],[E_AC (WPR)]]/RD[[#This Row],[E_DC (WPR)]],"")</f>
        <v/>
      </c>
    </row>
    <row r="161" spans="1:71">
      <c r="A161" s="147">
        <f t="shared" si="73"/>
        <v>45995</v>
      </c>
      <c r="B161" s="150">
        <f>YEAR(RD[[#This Row],[Date]])+IF(MONTH(RD[[#This Row],[Date]])&gt;=4,1,0)</f>
        <v>2026</v>
      </c>
      <c r="C161" s="150">
        <f>YEAR(RD[[#This Row],[Date]])</f>
        <v>2025</v>
      </c>
      <c r="D161" s="65">
        <f t="shared" si="72"/>
        <v>45992</v>
      </c>
      <c r="E161" s="150">
        <f>DAY(EOMONTH(RD[[#This Row],[Date]],0))</f>
        <v>31</v>
      </c>
      <c r="F161" s="121"/>
      <c r="G161" s="121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68"/>
      <c r="AF161" s="168"/>
      <c r="AG161" s="168"/>
      <c r="AH161" s="168"/>
      <c r="AI161" s="168"/>
      <c r="AJ161" s="168"/>
      <c r="AK161" s="168"/>
      <c r="AL161" s="168"/>
      <c r="AM161" s="68"/>
      <c r="AN161" s="68"/>
      <c r="AO161" s="68"/>
      <c r="AP161" s="68"/>
      <c r="AQ161" s="68"/>
      <c r="AR161" s="68"/>
      <c r="AS161" s="68"/>
      <c r="AT161" s="68"/>
      <c r="AU161" s="69">
        <f>SUM(RD[[#This Row],[IS2Inv1M1]:[IS4Inv1M3]])</f>
        <v>0</v>
      </c>
      <c r="AV161" s="69">
        <f>SUM(RD[[#This Row],[IS5Inv1M1]:[IS5Inv2M3]])</f>
        <v>0</v>
      </c>
      <c r="AW161" s="69">
        <f>SUM(RD[[#This Row],[O2RE9]:[O2RE192]])</f>
        <v>0</v>
      </c>
      <c r="AX161" s="152"/>
      <c r="AY161" s="152"/>
      <c r="AZ161" s="152"/>
      <c r="BA161" s="152"/>
      <c r="BB161" s="152"/>
      <c r="BC161" s="152"/>
      <c r="BD161" s="153" t="str">
        <f>IF((RD[[#This Row],[33 kV_F1_Ex (O2RE9)]]-AX160)*150000&lt;=0,"",(RD[[#This Row],[33 kV_F1_Ex (O2RE9)]]-AX160)*150000)</f>
        <v/>
      </c>
      <c r="BE161" s="153">
        <f>IF((RD[[#This Row],[33kV_OG1_Ex (O2RE9)]]-AY160)*1000&lt;=0,0,(RD[[#This Row],[33kV_OG1_Ex (O2RE9)]]-AY160)*1000)</f>
        <v>0</v>
      </c>
      <c r="BF161" s="153"/>
      <c r="BG161" s="153" t="str">
        <f>IF((RD[[#This Row],[33 kV_F2_Ex (O2RE19)]]-BA160)*150000&lt;=0,"",(RD[[#This Row],[33 kV_F2_Ex (O2RE19)]]-BA160)*150000)</f>
        <v/>
      </c>
      <c r="BH161" s="153">
        <f>IF((RD[[#This Row],[33kV_OG2_Ex (O2RE19)]]-BB160)*1000&lt;=0,0,(RD[[#This Row],[33kV_OG2_Ex (O2RE19)]]-BB160)*1000)</f>
        <v>0</v>
      </c>
      <c r="BI161" s="153">
        <f>IF((RD[[#This Row],[33kV_Aux2_Im (O2RE19)]]-BC160)*1000&lt;0,"",(RD[[#This Row],[33kV_Aux2_Im (O2RE19)]]-BC160)*1000)</f>
        <v>0</v>
      </c>
      <c r="BJ161" s="153">
        <f>IF((RD[[#This Row],[33kV_Aux1_Im (O2RE9)]]-AZ160)*1000&lt;0,"",(RD[[#This Row],[33kV_Aux1_Im (O2RE9)]]-AZ160)*1000)</f>
        <v>0</v>
      </c>
      <c r="BK161" s="153">
        <f>SUM(RD[[#This Row],[33kV_OG1_O2RE9_Energy (KWh)]],RD[[#This Row],[33kV_OG2_O2RE19_Energy (KWh)]])</f>
        <v>0</v>
      </c>
      <c r="BL161" s="62" t="str">
        <f>IFERROR(RD[[#This Row],[33 kV Total Export (KWH)]]/RD[[#This Row],[Inv Total Gneration (MWh)]]-1,"")</f>
        <v/>
      </c>
      <c r="BM161" s="63">
        <f>IFERROR((RD[[#This Row],[Sunset Time (POA&lt;20 W/m2)]]-RD[[#This Row],[Sunrise Time (POA&gt;20 W/m2)]])*24,0)</f>
        <v>0</v>
      </c>
      <c r="BN161" s="64">
        <f>SUM(RD[[#This Row],[33kV_OG1_O2RE9_Energy (KWh)]],RD[[#This Row],[33kV_OG2_O2RE19_Energy (KWh)]])</f>
        <v>0</v>
      </c>
      <c r="BO161" s="64">
        <f>IFERROR(RD[[#This Row],[ Export (33 kV)]]*(1-RD[[#This Row],[33 kV Line Loss (%)]]),RD[[#This Row],[ Export (33 kV)]])</f>
        <v>0</v>
      </c>
      <c r="BP161" s="121"/>
      <c r="BQ161" s="121"/>
      <c r="BR161" s="121"/>
      <c r="BS161" t="str">
        <f>IFERROR(RD[[#This Row],[E_AC (WPR)]]/RD[[#This Row],[E_DC (WPR)]],"")</f>
        <v/>
      </c>
    </row>
    <row r="162" spans="1:71">
      <c r="A162" s="147">
        <f t="shared" si="73"/>
        <v>45996</v>
      </c>
      <c r="B162" s="150">
        <f>YEAR(RD[[#This Row],[Date]])+IF(MONTH(RD[[#This Row],[Date]])&gt;=4,1,0)</f>
        <v>2026</v>
      </c>
      <c r="C162" s="150">
        <f>YEAR(RD[[#This Row],[Date]])</f>
        <v>2025</v>
      </c>
      <c r="D162" s="65">
        <f t="shared" si="72"/>
        <v>45992</v>
      </c>
      <c r="E162" s="150">
        <f>DAY(EOMONTH(RD[[#This Row],[Date]],0))</f>
        <v>31</v>
      </c>
      <c r="F162" s="121"/>
      <c r="G162" s="121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68"/>
      <c r="AF162" s="168"/>
      <c r="AG162" s="168"/>
      <c r="AH162" s="168"/>
      <c r="AI162" s="168"/>
      <c r="AJ162" s="168"/>
      <c r="AK162" s="168"/>
      <c r="AL162" s="168"/>
      <c r="AM162" s="68"/>
      <c r="AN162" s="68"/>
      <c r="AO162" s="68"/>
      <c r="AP162" s="68"/>
      <c r="AQ162" s="68"/>
      <c r="AR162" s="68"/>
      <c r="AS162" s="68"/>
      <c r="AT162" s="68"/>
      <c r="AU162" s="69">
        <f>SUM(RD[[#This Row],[IS2Inv1M1]:[IS4Inv1M3]])</f>
        <v>0</v>
      </c>
      <c r="AV162" s="69">
        <f>SUM(RD[[#This Row],[IS5Inv1M1]:[IS5Inv2M3]])</f>
        <v>0</v>
      </c>
      <c r="AW162" s="69">
        <f>SUM(RD[[#This Row],[O2RE9]:[O2RE192]])</f>
        <v>0</v>
      </c>
      <c r="AX162" s="152"/>
      <c r="AY162" s="152"/>
      <c r="AZ162" s="152"/>
      <c r="BA162" s="152"/>
      <c r="BB162" s="152"/>
      <c r="BC162" s="152"/>
      <c r="BD162" s="153" t="str">
        <f>IF((RD[[#This Row],[33 kV_F1_Ex (O2RE9)]]-AX161)*150000&lt;=0,"",(RD[[#This Row],[33 kV_F1_Ex (O2RE9)]]-AX161)*150000)</f>
        <v/>
      </c>
      <c r="BE162" s="153">
        <f>IF((RD[[#This Row],[33kV_OG1_Ex (O2RE9)]]-AY161)*1000&lt;=0,0,(RD[[#This Row],[33kV_OG1_Ex (O2RE9)]]-AY161)*1000)</f>
        <v>0</v>
      </c>
      <c r="BF162" s="153"/>
      <c r="BG162" s="153" t="str">
        <f>IF((RD[[#This Row],[33 kV_F2_Ex (O2RE19)]]-BA161)*150000&lt;=0,"",(RD[[#This Row],[33 kV_F2_Ex (O2RE19)]]-BA161)*150000)</f>
        <v/>
      </c>
      <c r="BH162" s="153">
        <f>IF((RD[[#This Row],[33kV_OG2_Ex (O2RE19)]]-BB161)*1000&lt;=0,0,(RD[[#This Row],[33kV_OG2_Ex (O2RE19)]]-BB161)*1000)</f>
        <v>0</v>
      </c>
      <c r="BI162" s="153">
        <f>IF((RD[[#This Row],[33kV_Aux2_Im (O2RE19)]]-BC161)*1000&lt;0,"",(RD[[#This Row],[33kV_Aux2_Im (O2RE19)]]-BC161)*1000)</f>
        <v>0</v>
      </c>
      <c r="BJ162" s="153">
        <f>IF((RD[[#This Row],[33kV_Aux1_Im (O2RE9)]]-AZ161)*1000&lt;0,"",(RD[[#This Row],[33kV_Aux1_Im (O2RE9)]]-AZ161)*1000)</f>
        <v>0</v>
      </c>
      <c r="BK162" s="153">
        <f>SUM(RD[[#This Row],[33kV_OG1_O2RE9_Energy (KWh)]],RD[[#This Row],[33kV_OG2_O2RE19_Energy (KWh)]])</f>
        <v>0</v>
      </c>
      <c r="BL162" s="62" t="str">
        <f>IFERROR(RD[[#This Row],[33 kV Total Export (KWH)]]/RD[[#This Row],[Inv Total Gneration (MWh)]]-1,"")</f>
        <v/>
      </c>
      <c r="BM162" s="63">
        <f>IFERROR((RD[[#This Row],[Sunset Time (POA&lt;20 W/m2)]]-RD[[#This Row],[Sunrise Time (POA&gt;20 W/m2)]])*24,0)</f>
        <v>0</v>
      </c>
      <c r="BN162" s="64">
        <f>SUM(RD[[#This Row],[33kV_OG1_O2RE9_Energy (KWh)]],RD[[#This Row],[33kV_OG2_O2RE19_Energy (KWh)]])</f>
        <v>0</v>
      </c>
      <c r="BO162" s="64">
        <f>IFERROR(RD[[#This Row],[ Export (33 kV)]]*(1-RD[[#This Row],[33 kV Line Loss (%)]]),RD[[#This Row],[ Export (33 kV)]])</f>
        <v>0</v>
      </c>
      <c r="BP162" s="121"/>
      <c r="BQ162" s="121"/>
      <c r="BR162" s="121"/>
      <c r="BS162" t="str">
        <f>IFERROR(RD[[#This Row],[E_AC (WPR)]]/RD[[#This Row],[E_DC (WPR)]],"")</f>
        <v/>
      </c>
    </row>
    <row r="163" spans="1:71">
      <c r="A163" s="147">
        <f t="shared" si="73"/>
        <v>45997</v>
      </c>
      <c r="B163" s="150">
        <f>YEAR(RD[[#This Row],[Date]])+IF(MONTH(RD[[#This Row],[Date]])&gt;=4,1,0)</f>
        <v>2026</v>
      </c>
      <c r="C163" s="150">
        <f>YEAR(RD[[#This Row],[Date]])</f>
        <v>2025</v>
      </c>
      <c r="D163" s="65">
        <f t="shared" si="72"/>
        <v>45992</v>
      </c>
      <c r="E163" s="150">
        <f>DAY(EOMONTH(RD[[#This Row],[Date]],0))</f>
        <v>31</v>
      </c>
      <c r="F163" s="121"/>
      <c r="G163" s="121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68"/>
      <c r="AF163" s="168"/>
      <c r="AG163" s="168"/>
      <c r="AH163" s="168"/>
      <c r="AI163" s="168"/>
      <c r="AJ163" s="168"/>
      <c r="AK163" s="168"/>
      <c r="AL163" s="168"/>
      <c r="AM163" s="68"/>
      <c r="AN163" s="68"/>
      <c r="AO163" s="68"/>
      <c r="AP163" s="68"/>
      <c r="AQ163" s="68"/>
      <c r="AR163" s="68"/>
      <c r="AS163" s="68"/>
      <c r="AT163" s="68"/>
      <c r="AU163" s="69">
        <f>SUM(RD[[#This Row],[IS2Inv1M1]:[IS4Inv1M3]])</f>
        <v>0</v>
      </c>
      <c r="AV163" s="69">
        <f>SUM(RD[[#This Row],[IS5Inv1M1]:[IS5Inv2M3]])</f>
        <v>0</v>
      </c>
      <c r="AW163" s="69">
        <f>SUM(RD[[#This Row],[O2RE9]:[O2RE192]])</f>
        <v>0</v>
      </c>
      <c r="AX163" s="152"/>
      <c r="AY163" s="152"/>
      <c r="AZ163" s="152"/>
      <c r="BA163" s="152"/>
      <c r="BB163" s="152"/>
      <c r="BC163" s="152"/>
      <c r="BD163" s="153" t="str">
        <f>IF((RD[[#This Row],[33 kV_F1_Ex (O2RE9)]]-AX162)*150000&lt;=0,"",(RD[[#This Row],[33 kV_F1_Ex (O2RE9)]]-AX162)*150000)</f>
        <v/>
      </c>
      <c r="BE163" s="153">
        <f>IF((RD[[#This Row],[33kV_OG1_Ex (O2RE9)]]-AY162)*1000&lt;=0,0,(RD[[#This Row],[33kV_OG1_Ex (O2RE9)]]-AY162)*1000)</f>
        <v>0</v>
      </c>
      <c r="BF163" s="153"/>
      <c r="BG163" s="153" t="str">
        <f>IF((RD[[#This Row],[33 kV_F2_Ex (O2RE19)]]-BA162)*150000&lt;=0,"",(RD[[#This Row],[33 kV_F2_Ex (O2RE19)]]-BA162)*150000)</f>
        <v/>
      </c>
      <c r="BH163" s="153">
        <f>IF((RD[[#This Row],[33kV_OG2_Ex (O2RE19)]]-BB162)*1000&lt;=0,0,(RD[[#This Row],[33kV_OG2_Ex (O2RE19)]]-BB162)*1000)</f>
        <v>0</v>
      </c>
      <c r="BI163" s="153">
        <f>IF((RD[[#This Row],[33kV_Aux2_Im (O2RE19)]]-BC162)*1000&lt;0,"",(RD[[#This Row],[33kV_Aux2_Im (O2RE19)]]-BC162)*1000)</f>
        <v>0</v>
      </c>
      <c r="BJ163" s="153">
        <f>IF((RD[[#This Row],[33kV_Aux1_Im (O2RE9)]]-AZ162)*1000&lt;0,"",(RD[[#This Row],[33kV_Aux1_Im (O2RE9)]]-AZ162)*1000)</f>
        <v>0</v>
      </c>
      <c r="BK163" s="153">
        <f>SUM(RD[[#This Row],[33kV_OG1_O2RE9_Energy (KWh)]],RD[[#This Row],[33kV_OG2_O2RE19_Energy (KWh)]])</f>
        <v>0</v>
      </c>
      <c r="BL163" s="62" t="str">
        <f>IFERROR(RD[[#This Row],[33 kV Total Export (KWH)]]/RD[[#This Row],[Inv Total Gneration (MWh)]]-1,"")</f>
        <v/>
      </c>
      <c r="BM163" s="63">
        <f>IFERROR((RD[[#This Row],[Sunset Time (POA&lt;20 W/m2)]]-RD[[#This Row],[Sunrise Time (POA&gt;20 W/m2)]])*24,0)</f>
        <v>0</v>
      </c>
      <c r="BN163" s="64">
        <f>SUM(RD[[#This Row],[33kV_OG1_O2RE9_Energy (KWh)]],RD[[#This Row],[33kV_OG2_O2RE19_Energy (KWh)]])</f>
        <v>0</v>
      </c>
      <c r="BO163" s="64">
        <f>IFERROR(RD[[#This Row],[ Export (33 kV)]]*(1-RD[[#This Row],[33 kV Line Loss (%)]]),RD[[#This Row],[ Export (33 kV)]])</f>
        <v>0</v>
      </c>
      <c r="BP163" s="121"/>
      <c r="BQ163" s="121"/>
      <c r="BR163" s="121"/>
      <c r="BS163" t="str">
        <f>IFERROR(RD[[#This Row],[E_AC (WPR)]]/RD[[#This Row],[E_DC (WPR)]],"")</f>
        <v/>
      </c>
    </row>
    <row r="164" spans="1:71">
      <c r="A164" s="147">
        <f t="shared" si="73"/>
        <v>45998</v>
      </c>
      <c r="B164" s="150">
        <f>YEAR(RD[[#This Row],[Date]])+IF(MONTH(RD[[#This Row],[Date]])&gt;=4,1,0)</f>
        <v>2026</v>
      </c>
      <c r="C164" s="150">
        <f>YEAR(RD[[#This Row],[Date]])</f>
        <v>2025</v>
      </c>
      <c r="D164" s="65">
        <f t="shared" si="72"/>
        <v>45992</v>
      </c>
      <c r="E164" s="150">
        <f>DAY(EOMONTH(RD[[#This Row],[Date]],0))</f>
        <v>31</v>
      </c>
      <c r="F164" s="121"/>
      <c r="G164" s="121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68"/>
      <c r="AF164" s="168"/>
      <c r="AG164" s="168"/>
      <c r="AH164" s="168"/>
      <c r="AI164" s="168"/>
      <c r="AJ164" s="168"/>
      <c r="AK164" s="168"/>
      <c r="AL164" s="168"/>
      <c r="AM164" s="68"/>
      <c r="AN164" s="68"/>
      <c r="AO164" s="68"/>
      <c r="AP164" s="68"/>
      <c r="AQ164" s="68"/>
      <c r="AR164" s="68"/>
      <c r="AS164" s="68"/>
      <c r="AT164" s="68"/>
      <c r="AU164" s="69">
        <f>SUM(RD[[#This Row],[IS2Inv1M1]:[IS4Inv1M3]])</f>
        <v>0</v>
      </c>
      <c r="AV164" s="69">
        <f>SUM(RD[[#This Row],[IS5Inv1M1]:[IS5Inv2M3]])</f>
        <v>0</v>
      </c>
      <c r="AW164" s="69">
        <f>SUM(RD[[#This Row],[O2RE9]:[O2RE192]])</f>
        <v>0</v>
      </c>
      <c r="AX164" s="152"/>
      <c r="AY164" s="152"/>
      <c r="AZ164" s="152"/>
      <c r="BA164" s="152"/>
      <c r="BB164" s="152"/>
      <c r="BC164" s="152"/>
      <c r="BD164" s="153" t="str">
        <f>IF((RD[[#This Row],[33 kV_F1_Ex (O2RE9)]]-AX163)*150000&lt;=0,"",(RD[[#This Row],[33 kV_F1_Ex (O2RE9)]]-AX163)*150000)</f>
        <v/>
      </c>
      <c r="BE164" s="153">
        <f>IF((RD[[#This Row],[33kV_OG1_Ex (O2RE9)]]-AY163)*1000&lt;=0,0,(RD[[#This Row],[33kV_OG1_Ex (O2RE9)]]-AY163)*1000)</f>
        <v>0</v>
      </c>
      <c r="BF164" s="153"/>
      <c r="BG164" s="153" t="str">
        <f>IF((RD[[#This Row],[33 kV_F2_Ex (O2RE19)]]-BA163)*150000&lt;=0,"",(RD[[#This Row],[33 kV_F2_Ex (O2RE19)]]-BA163)*150000)</f>
        <v/>
      </c>
      <c r="BH164" s="153">
        <f>IF((RD[[#This Row],[33kV_OG2_Ex (O2RE19)]]-BB163)*1000&lt;=0,0,(RD[[#This Row],[33kV_OG2_Ex (O2RE19)]]-BB163)*1000)</f>
        <v>0</v>
      </c>
      <c r="BI164" s="153">
        <f>IF((RD[[#This Row],[33kV_Aux2_Im (O2RE19)]]-BC163)*1000&lt;0,"",(RD[[#This Row],[33kV_Aux2_Im (O2RE19)]]-BC163)*1000)</f>
        <v>0</v>
      </c>
      <c r="BJ164" s="153">
        <f>IF((RD[[#This Row],[33kV_Aux1_Im (O2RE9)]]-AZ163)*1000&lt;0,"",(RD[[#This Row],[33kV_Aux1_Im (O2RE9)]]-AZ163)*1000)</f>
        <v>0</v>
      </c>
      <c r="BK164" s="153">
        <f>SUM(RD[[#This Row],[33kV_OG1_O2RE9_Energy (KWh)]],RD[[#This Row],[33kV_OG2_O2RE19_Energy (KWh)]])</f>
        <v>0</v>
      </c>
      <c r="BL164" s="62" t="str">
        <f>IFERROR(RD[[#This Row],[33 kV Total Export (KWH)]]/RD[[#This Row],[Inv Total Gneration (MWh)]]-1,"")</f>
        <v/>
      </c>
      <c r="BM164" s="63">
        <f>IFERROR((RD[[#This Row],[Sunset Time (POA&lt;20 W/m2)]]-RD[[#This Row],[Sunrise Time (POA&gt;20 W/m2)]])*24,0)</f>
        <v>0</v>
      </c>
      <c r="BN164" s="64">
        <f>SUM(RD[[#This Row],[33kV_OG1_O2RE9_Energy (KWh)]],RD[[#This Row],[33kV_OG2_O2RE19_Energy (KWh)]])</f>
        <v>0</v>
      </c>
      <c r="BO164" s="64">
        <f>IFERROR(RD[[#This Row],[ Export (33 kV)]]*(1-RD[[#This Row],[33 kV Line Loss (%)]]),RD[[#This Row],[ Export (33 kV)]])</f>
        <v>0</v>
      </c>
      <c r="BP164" s="121"/>
      <c r="BQ164" s="121"/>
      <c r="BR164" s="121"/>
      <c r="BS164" t="str">
        <f>IFERROR(RD[[#This Row],[E_AC (WPR)]]/RD[[#This Row],[E_DC (WPR)]],"")</f>
        <v/>
      </c>
    </row>
    <row r="165" spans="1:71">
      <c r="A165" s="147">
        <f t="shared" si="73"/>
        <v>45999</v>
      </c>
      <c r="B165" s="150">
        <f>YEAR(RD[[#This Row],[Date]])+IF(MONTH(RD[[#This Row],[Date]])&gt;=4,1,0)</f>
        <v>2026</v>
      </c>
      <c r="C165" s="150">
        <f>YEAR(RD[[#This Row],[Date]])</f>
        <v>2025</v>
      </c>
      <c r="D165" s="65">
        <f t="shared" si="72"/>
        <v>45992</v>
      </c>
      <c r="E165" s="150">
        <f>DAY(EOMONTH(RD[[#This Row],[Date]],0))</f>
        <v>31</v>
      </c>
      <c r="F165" s="121"/>
      <c r="G165" s="121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68"/>
      <c r="AF165" s="168"/>
      <c r="AG165" s="168"/>
      <c r="AH165" s="168"/>
      <c r="AI165" s="168"/>
      <c r="AJ165" s="168"/>
      <c r="AK165" s="168"/>
      <c r="AL165" s="168"/>
      <c r="AM165" s="68"/>
      <c r="AN165" s="68"/>
      <c r="AO165" s="68"/>
      <c r="AP165" s="68"/>
      <c r="AQ165" s="68"/>
      <c r="AR165" s="68"/>
      <c r="AS165" s="68"/>
      <c r="AT165" s="68"/>
      <c r="AU165" s="69">
        <f>SUM(RD[[#This Row],[IS2Inv1M1]:[IS4Inv1M3]])</f>
        <v>0</v>
      </c>
      <c r="AV165" s="69">
        <f>SUM(RD[[#This Row],[IS5Inv1M1]:[IS5Inv2M3]])</f>
        <v>0</v>
      </c>
      <c r="AW165" s="69">
        <f>SUM(RD[[#This Row],[O2RE9]:[O2RE192]])</f>
        <v>0</v>
      </c>
      <c r="AX165" s="152"/>
      <c r="AY165" s="152"/>
      <c r="AZ165" s="152"/>
      <c r="BA165" s="152"/>
      <c r="BB165" s="152"/>
      <c r="BC165" s="152"/>
      <c r="BD165" s="153" t="str">
        <f>IF((RD[[#This Row],[33 kV_F1_Ex (O2RE9)]]-AX164)*150000&lt;=0,"",(RD[[#This Row],[33 kV_F1_Ex (O2RE9)]]-AX164)*150000)</f>
        <v/>
      </c>
      <c r="BE165" s="153">
        <f>IF((RD[[#This Row],[33kV_OG1_Ex (O2RE9)]]-AY164)*1000&lt;=0,0,(RD[[#This Row],[33kV_OG1_Ex (O2RE9)]]-AY164)*1000)</f>
        <v>0</v>
      </c>
      <c r="BF165" s="153"/>
      <c r="BG165" s="153" t="str">
        <f>IF((RD[[#This Row],[33 kV_F2_Ex (O2RE19)]]-BA164)*150000&lt;=0,"",(RD[[#This Row],[33 kV_F2_Ex (O2RE19)]]-BA164)*150000)</f>
        <v/>
      </c>
      <c r="BH165" s="153">
        <f>IF((RD[[#This Row],[33kV_OG2_Ex (O2RE19)]]-BB164)*1000&lt;=0,0,(RD[[#This Row],[33kV_OG2_Ex (O2RE19)]]-BB164)*1000)</f>
        <v>0</v>
      </c>
      <c r="BI165" s="153">
        <f>IF((RD[[#This Row],[33kV_Aux2_Im (O2RE19)]]-BC164)*1000&lt;0,"",(RD[[#This Row],[33kV_Aux2_Im (O2RE19)]]-BC164)*1000)</f>
        <v>0</v>
      </c>
      <c r="BJ165" s="153">
        <f>IF((RD[[#This Row],[33kV_Aux1_Im (O2RE9)]]-AZ164)*1000&lt;0,"",(RD[[#This Row],[33kV_Aux1_Im (O2RE9)]]-AZ164)*1000)</f>
        <v>0</v>
      </c>
      <c r="BK165" s="153">
        <f>SUM(RD[[#This Row],[33kV_OG1_O2RE9_Energy (KWh)]],RD[[#This Row],[33kV_OG2_O2RE19_Energy (KWh)]])</f>
        <v>0</v>
      </c>
      <c r="BL165" s="62" t="str">
        <f>IFERROR(RD[[#This Row],[33 kV Total Export (KWH)]]/RD[[#This Row],[Inv Total Gneration (MWh)]]-1,"")</f>
        <v/>
      </c>
      <c r="BM165" s="63">
        <f>IFERROR((RD[[#This Row],[Sunset Time (POA&lt;20 W/m2)]]-RD[[#This Row],[Sunrise Time (POA&gt;20 W/m2)]])*24,0)</f>
        <v>0</v>
      </c>
      <c r="BN165" s="64">
        <f>SUM(RD[[#This Row],[33kV_OG1_O2RE9_Energy (KWh)]],RD[[#This Row],[33kV_OG2_O2RE19_Energy (KWh)]])</f>
        <v>0</v>
      </c>
      <c r="BO165" s="64">
        <f>IFERROR(RD[[#This Row],[ Export (33 kV)]]*(1-RD[[#This Row],[33 kV Line Loss (%)]]),RD[[#This Row],[ Export (33 kV)]])</f>
        <v>0</v>
      </c>
      <c r="BP165" s="121"/>
      <c r="BQ165" s="121"/>
      <c r="BR165" s="121"/>
      <c r="BS165" t="str">
        <f>IFERROR(RD[[#This Row],[E_AC (WPR)]]/RD[[#This Row],[E_DC (WPR)]],"")</f>
        <v/>
      </c>
    </row>
    <row r="166" spans="1:71">
      <c r="A166" s="147">
        <f t="shared" si="73"/>
        <v>46000</v>
      </c>
      <c r="B166" s="150">
        <f>YEAR(RD[[#This Row],[Date]])+IF(MONTH(RD[[#This Row],[Date]])&gt;=4,1,0)</f>
        <v>2026</v>
      </c>
      <c r="C166" s="150">
        <f>YEAR(RD[[#This Row],[Date]])</f>
        <v>2025</v>
      </c>
      <c r="D166" s="65">
        <f t="shared" si="72"/>
        <v>45992</v>
      </c>
      <c r="E166" s="150">
        <f>DAY(EOMONTH(RD[[#This Row],[Date]],0))</f>
        <v>31</v>
      </c>
      <c r="F166" s="121"/>
      <c r="G166" s="121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68"/>
      <c r="AF166" s="168"/>
      <c r="AG166" s="168"/>
      <c r="AH166" s="168"/>
      <c r="AI166" s="168"/>
      <c r="AJ166" s="168"/>
      <c r="AK166" s="168"/>
      <c r="AL166" s="168"/>
      <c r="AM166" s="68"/>
      <c r="AN166" s="68"/>
      <c r="AO166" s="68"/>
      <c r="AP166" s="68"/>
      <c r="AQ166" s="68"/>
      <c r="AR166" s="68"/>
      <c r="AS166" s="68"/>
      <c r="AT166" s="68"/>
      <c r="AU166" s="69">
        <f>SUM(RD[[#This Row],[IS2Inv1M1]:[IS4Inv1M3]])</f>
        <v>0</v>
      </c>
      <c r="AV166" s="69">
        <f>SUM(RD[[#This Row],[IS5Inv1M1]:[IS5Inv2M3]])</f>
        <v>0</v>
      </c>
      <c r="AW166" s="69">
        <f>SUM(RD[[#This Row],[O2RE9]:[O2RE192]])</f>
        <v>0</v>
      </c>
      <c r="AX166" s="152"/>
      <c r="AY166" s="152"/>
      <c r="AZ166" s="152"/>
      <c r="BA166" s="152"/>
      <c r="BB166" s="152"/>
      <c r="BC166" s="152"/>
      <c r="BD166" s="153" t="str">
        <f>IF((RD[[#This Row],[33 kV_F1_Ex (O2RE9)]]-AX165)*150000&lt;=0,"",(RD[[#This Row],[33 kV_F1_Ex (O2RE9)]]-AX165)*150000)</f>
        <v/>
      </c>
      <c r="BE166" s="153">
        <f>IF((RD[[#This Row],[33kV_OG1_Ex (O2RE9)]]-AY165)*1000&lt;=0,0,(RD[[#This Row],[33kV_OG1_Ex (O2RE9)]]-AY165)*1000)</f>
        <v>0</v>
      </c>
      <c r="BF166" s="153"/>
      <c r="BG166" s="153" t="str">
        <f>IF((RD[[#This Row],[33 kV_F2_Ex (O2RE19)]]-BA165)*150000&lt;=0,"",(RD[[#This Row],[33 kV_F2_Ex (O2RE19)]]-BA165)*150000)</f>
        <v/>
      </c>
      <c r="BH166" s="153">
        <f>IF((RD[[#This Row],[33kV_OG2_Ex (O2RE19)]]-BB165)*1000&lt;=0,0,(RD[[#This Row],[33kV_OG2_Ex (O2RE19)]]-BB165)*1000)</f>
        <v>0</v>
      </c>
      <c r="BI166" s="153">
        <f>IF((RD[[#This Row],[33kV_Aux2_Im (O2RE19)]]-BC165)*1000&lt;0,"",(RD[[#This Row],[33kV_Aux2_Im (O2RE19)]]-BC165)*1000)</f>
        <v>0</v>
      </c>
      <c r="BJ166" s="153">
        <f>IF((RD[[#This Row],[33kV_Aux1_Im (O2RE9)]]-AZ165)*1000&lt;0,"",(RD[[#This Row],[33kV_Aux1_Im (O2RE9)]]-AZ165)*1000)</f>
        <v>0</v>
      </c>
      <c r="BK166" s="153">
        <f>SUM(RD[[#This Row],[33kV_OG1_O2RE9_Energy (KWh)]],RD[[#This Row],[33kV_OG2_O2RE19_Energy (KWh)]])</f>
        <v>0</v>
      </c>
      <c r="BL166" s="62" t="str">
        <f>IFERROR(RD[[#This Row],[33 kV Total Export (KWH)]]/RD[[#This Row],[Inv Total Gneration (MWh)]]-1,"")</f>
        <v/>
      </c>
      <c r="BM166" s="63">
        <f>IFERROR((RD[[#This Row],[Sunset Time (POA&lt;20 W/m2)]]-RD[[#This Row],[Sunrise Time (POA&gt;20 W/m2)]])*24,0)</f>
        <v>0</v>
      </c>
      <c r="BN166" s="64">
        <f>SUM(RD[[#This Row],[33kV_OG1_O2RE9_Energy (KWh)]],RD[[#This Row],[33kV_OG2_O2RE19_Energy (KWh)]])</f>
        <v>0</v>
      </c>
      <c r="BO166" s="64">
        <f>IFERROR(RD[[#This Row],[ Export (33 kV)]]*(1-RD[[#This Row],[33 kV Line Loss (%)]]),RD[[#This Row],[ Export (33 kV)]])</f>
        <v>0</v>
      </c>
      <c r="BP166" s="121"/>
      <c r="BQ166" s="121"/>
      <c r="BR166" s="121"/>
      <c r="BS166" t="str">
        <f>IFERROR(RD[[#This Row],[E_AC (WPR)]]/RD[[#This Row],[E_DC (WPR)]],"")</f>
        <v/>
      </c>
    </row>
    <row r="167" spans="1:71">
      <c r="A167" s="147">
        <f t="shared" si="73"/>
        <v>46001</v>
      </c>
      <c r="B167" s="150">
        <f>YEAR(RD[[#This Row],[Date]])+IF(MONTH(RD[[#This Row],[Date]])&gt;=4,1,0)</f>
        <v>2026</v>
      </c>
      <c r="C167" s="150">
        <f>YEAR(RD[[#This Row],[Date]])</f>
        <v>2025</v>
      </c>
      <c r="D167" s="65">
        <f t="shared" si="72"/>
        <v>45992</v>
      </c>
      <c r="E167" s="150">
        <f>DAY(EOMONTH(RD[[#This Row],[Date]],0))</f>
        <v>31</v>
      </c>
      <c r="F167" s="121"/>
      <c r="G167" s="121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68"/>
      <c r="AF167" s="168"/>
      <c r="AG167" s="168"/>
      <c r="AH167" s="168"/>
      <c r="AI167" s="168"/>
      <c r="AJ167" s="168"/>
      <c r="AK167" s="168"/>
      <c r="AL167" s="168"/>
      <c r="AM167" s="68"/>
      <c r="AN167" s="68"/>
      <c r="AO167" s="68"/>
      <c r="AP167" s="68"/>
      <c r="AQ167" s="68"/>
      <c r="AR167" s="68"/>
      <c r="AS167" s="68"/>
      <c r="AT167" s="68"/>
      <c r="AU167" s="69">
        <f>SUM(RD[[#This Row],[IS2Inv1M1]:[IS4Inv1M3]])</f>
        <v>0</v>
      </c>
      <c r="AV167" s="69">
        <f>SUM(RD[[#This Row],[IS5Inv1M1]:[IS5Inv2M3]])</f>
        <v>0</v>
      </c>
      <c r="AW167" s="69">
        <f>SUM(RD[[#This Row],[O2RE9]:[O2RE192]])</f>
        <v>0</v>
      </c>
      <c r="AX167" s="152"/>
      <c r="AY167" s="152"/>
      <c r="AZ167" s="152"/>
      <c r="BA167" s="152"/>
      <c r="BB167" s="152"/>
      <c r="BC167" s="152"/>
      <c r="BD167" s="153" t="str">
        <f>IF((RD[[#This Row],[33 kV_F1_Ex (O2RE9)]]-AX166)*150000&lt;=0,"",(RD[[#This Row],[33 kV_F1_Ex (O2RE9)]]-AX166)*150000)</f>
        <v/>
      </c>
      <c r="BE167" s="153">
        <f>IF((RD[[#This Row],[33kV_OG1_Ex (O2RE9)]]-AY166)*1000&lt;=0,0,(RD[[#This Row],[33kV_OG1_Ex (O2RE9)]]-AY166)*1000)</f>
        <v>0</v>
      </c>
      <c r="BF167" s="153"/>
      <c r="BG167" s="153" t="str">
        <f>IF((RD[[#This Row],[33 kV_F2_Ex (O2RE19)]]-BA166)*150000&lt;=0,"",(RD[[#This Row],[33 kV_F2_Ex (O2RE19)]]-BA166)*150000)</f>
        <v/>
      </c>
      <c r="BH167" s="153">
        <f>IF((RD[[#This Row],[33kV_OG2_Ex (O2RE19)]]-BB166)*1000&lt;=0,0,(RD[[#This Row],[33kV_OG2_Ex (O2RE19)]]-BB166)*1000)</f>
        <v>0</v>
      </c>
      <c r="BI167" s="153">
        <f>IF((RD[[#This Row],[33kV_Aux2_Im (O2RE19)]]-BC166)*1000&lt;0,"",(RD[[#This Row],[33kV_Aux2_Im (O2RE19)]]-BC166)*1000)</f>
        <v>0</v>
      </c>
      <c r="BJ167" s="153">
        <f>IF((RD[[#This Row],[33kV_Aux1_Im (O2RE9)]]-AZ166)*1000&lt;0,"",(RD[[#This Row],[33kV_Aux1_Im (O2RE9)]]-AZ166)*1000)</f>
        <v>0</v>
      </c>
      <c r="BK167" s="153">
        <f>SUM(RD[[#This Row],[33kV_OG1_O2RE9_Energy (KWh)]],RD[[#This Row],[33kV_OG2_O2RE19_Energy (KWh)]])</f>
        <v>0</v>
      </c>
      <c r="BL167" s="62" t="str">
        <f>IFERROR(RD[[#This Row],[33 kV Total Export (KWH)]]/RD[[#This Row],[Inv Total Gneration (MWh)]]-1,"")</f>
        <v/>
      </c>
      <c r="BM167" s="63">
        <f>IFERROR((RD[[#This Row],[Sunset Time (POA&lt;20 W/m2)]]-RD[[#This Row],[Sunrise Time (POA&gt;20 W/m2)]])*24,0)</f>
        <v>0</v>
      </c>
      <c r="BN167" s="64">
        <f>SUM(RD[[#This Row],[33kV_OG1_O2RE9_Energy (KWh)]],RD[[#This Row],[33kV_OG2_O2RE19_Energy (KWh)]])</f>
        <v>0</v>
      </c>
      <c r="BO167" s="64">
        <f>IFERROR(RD[[#This Row],[ Export (33 kV)]]*(1-RD[[#This Row],[33 kV Line Loss (%)]]),RD[[#This Row],[ Export (33 kV)]])</f>
        <v>0</v>
      </c>
      <c r="BP167" s="121"/>
      <c r="BQ167" s="121"/>
      <c r="BR167" s="121"/>
      <c r="BS167" t="str">
        <f>IFERROR(RD[[#This Row],[E_AC (WPR)]]/RD[[#This Row],[E_DC (WPR)]],"")</f>
        <v/>
      </c>
    </row>
    <row r="168" spans="1:71">
      <c r="A168" s="147">
        <f t="shared" si="73"/>
        <v>46002</v>
      </c>
      <c r="B168" s="150">
        <f>YEAR(RD[[#This Row],[Date]])+IF(MONTH(RD[[#This Row],[Date]])&gt;=4,1,0)</f>
        <v>2026</v>
      </c>
      <c r="C168" s="150">
        <f>YEAR(RD[[#This Row],[Date]])</f>
        <v>2025</v>
      </c>
      <c r="D168" s="65">
        <f t="shared" si="72"/>
        <v>45992</v>
      </c>
      <c r="E168" s="150">
        <f>DAY(EOMONTH(RD[[#This Row],[Date]],0))</f>
        <v>31</v>
      </c>
      <c r="F168" s="121"/>
      <c r="G168" s="121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68"/>
      <c r="AF168" s="168"/>
      <c r="AG168" s="168"/>
      <c r="AH168" s="168"/>
      <c r="AI168" s="168"/>
      <c r="AJ168" s="168"/>
      <c r="AK168" s="168"/>
      <c r="AL168" s="168"/>
      <c r="AM168" s="68"/>
      <c r="AN168" s="68"/>
      <c r="AO168" s="68"/>
      <c r="AP168" s="68"/>
      <c r="AQ168" s="68"/>
      <c r="AR168" s="68"/>
      <c r="AS168" s="68"/>
      <c r="AT168" s="68"/>
      <c r="AU168" s="69">
        <f>SUM(RD[[#This Row],[IS2Inv1M1]:[IS4Inv1M3]])</f>
        <v>0</v>
      </c>
      <c r="AV168" s="69">
        <f>SUM(RD[[#This Row],[IS5Inv1M1]:[IS5Inv2M3]])</f>
        <v>0</v>
      </c>
      <c r="AW168" s="69">
        <f>SUM(RD[[#This Row],[O2RE9]:[O2RE192]])</f>
        <v>0</v>
      </c>
      <c r="AX168" s="152"/>
      <c r="AY168" s="152"/>
      <c r="AZ168" s="152"/>
      <c r="BA168" s="152"/>
      <c r="BB168" s="152"/>
      <c r="BC168" s="152"/>
      <c r="BD168" s="153" t="str">
        <f>IF((RD[[#This Row],[33 kV_F1_Ex (O2RE9)]]-AX167)*150000&lt;=0,"",(RD[[#This Row],[33 kV_F1_Ex (O2RE9)]]-AX167)*150000)</f>
        <v/>
      </c>
      <c r="BE168" s="153">
        <f>IF((RD[[#This Row],[33kV_OG1_Ex (O2RE9)]]-AY167)*1000&lt;=0,0,(RD[[#This Row],[33kV_OG1_Ex (O2RE9)]]-AY167)*1000)</f>
        <v>0</v>
      </c>
      <c r="BF168" s="153"/>
      <c r="BG168" s="153" t="str">
        <f>IF((RD[[#This Row],[33 kV_F2_Ex (O2RE19)]]-BA167)*150000&lt;=0,"",(RD[[#This Row],[33 kV_F2_Ex (O2RE19)]]-BA167)*150000)</f>
        <v/>
      </c>
      <c r="BH168" s="153">
        <f>IF((RD[[#This Row],[33kV_OG2_Ex (O2RE19)]]-BB167)*1000&lt;=0,0,(RD[[#This Row],[33kV_OG2_Ex (O2RE19)]]-BB167)*1000)</f>
        <v>0</v>
      </c>
      <c r="BI168" s="153">
        <f>IF((RD[[#This Row],[33kV_Aux2_Im (O2RE19)]]-BC167)*1000&lt;0,"",(RD[[#This Row],[33kV_Aux2_Im (O2RE19)]]-BC167)*1000)</f>
        <v>0</v>
      </c>
      <c r="BJ168" s="153">
        <f>IF((RD[[#This Row],[33kV_Aux1_Im (O2RE9)]]-AZ167)*1000&lt;0,"",(RD[[#This Row],[33kV_Aux1_Im (O2RE9)]]-AZ167)*1000)</f>
        <v>0</v>
      </c>
      <c r="BK168" s="153">
        <f>SUM(RD[[#This Row],[33kV_OG1_O2RE9_Energy (KWh)]],RD[[#This Row],[33kV_OG2_O2RE19_Energy (KWh)]])</f>
        <v>0</v>
      </c>
      <c r="BL168" s="62" t="str">
        <f>IFERROR(RD[[#This Row],[33 kV Total Export (KWH)]]/RD[[#This Row],[Inv Total Gneration (MWh)]]-1,"")</f>
        <v/>
      </c>
      <c r="BM168" s="63">
        <f>IFERROR((RD[[#This Row],[Sunset Time (POA&lt;20 W/m2)]]-RD[[#This Row],[Sunrise Time (POA&gt;20 W/m2)]])*24,0)</f>
        <v>0</v>
      </c>
      <c r="BN168" s="64">
        <f>SUM(RD[[#This Row],[33kV_OG1_O2RE9_Energy (KWh)]],RD[[#This Row],[33kV_OG2_O2RE19_Energy (KWh)]])</f>
        <v>0</v>
      </c>
      <c r="BO168" s="64">
        <f>IFERROR(RD[[#This Row],[ Export (33 kV)]]*(1-RD[[#This Row],[33 kV Line Loss (%)]]),RD[[#This Row],[ Export (33 kV)]])</f>
        <v>0</v>
      </c>
      <c r="BP168" s="121"/>
      <c r="BQ168" s="121"/>
      <c r="BR168" s="121"/>
      <c r="BS168" t="str">
        <f>IFERROR(RD[[#This Row],[E_AC (WPR)]]/RD[[#This Row],[E_DC (WPR)]],"")</f>
        <v/>
      </c>
    </row>
    <row r="169" spans="1:71">
      <c r="A169" s="147">
        <f t="shared" si="73"/>
        <v>46003</v>
      </c>
      <c r="B169" s="150">
        <f>YEAR(RD[[#This Row],[Date]])+IF(MONTH(RD[[#This Row],[Date]])&gt;=4,1,0)</f>
        <v>2026</v>
      </c>
      <c r="C169" s="150">
        <f>YEAR(RD[[#This Row],[Date]])</f>
        <v>2025</v>
      </c>
      <c r="D169" s="65">
        <f t="shared" si="72"/>
        <v>45992</v>
      </c>
      <c r="E169" s="150">
        <f>DAY(EOMONTH(RD[[#This Row],[Date]],0))</f>
        <v>31</v>
      </c>
      <c r="F169" s="121"/>
      <c r="G169" s="121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68"/>
      <c r="AF169" s="168"/>
      <c r="AG169" s="168"/>
      <c r="AH169" s="168"/>
      <c r="AI169" s="168"/>
      <c r="AJ169" s="168"/>
      <c r="AK169" s="168"/>
      <c r="AL169" s="168"/>
      <c r="AM169" s="68"/>
      <c r="AN169" s="68"/>
      <c r="AO169" s="68"/>
      <c r="AP169" s="68"/>
      <c r="AQ169" s="68"/>
      <c r="AR169" s="68"/>
      <c r="AS169" s="68"/>
      <c r="AT169" s="68"/>
      <c r="AU169" s="69">
        <f>SUM(RD[[#This Row],[IS2Inv1M1]:[IS4Inv1M3]])</f>
        <v>0</v>
      </c>
      <c r="AV169" s="69">
        <f>SUM(RD[[#This Row],[IS5Inv1M1]:[IS5Inv2M3]])</f>
        <v>0</v>
      </c>
      <c r="AW169" s="69">
        <f>SUM(RD[[#This Row],[O2RE9]:[O2RE192]])</f>
        <v>0</v>
      </c>
      <c r="AX169" s="152"/>
      <c r="AY169" s="152"/>
      <c r="AZ169" s="152"/>
      <c r="BA169" s="152"/>
      <c r="BB169" s="152"/>
      <c r="BC169" s="152"/>
      <c r="BD169" s="153" t="str">
        <f>IF((RD[[#This Row],[33 kV_F1_Ex (O2RE9)]]-AX168)*150000&lt;=0,"",(RD[[#This Row],[33 kV_F1_Ex (O2RE9)]]-AX168)*150000)</f>
        <v/>
      </c>
      <c r="BE169" s="153">
        <f>IF((RD[[#This Row],[33kV_OG1_Ex (O2RE9)]]-AY168)*1000&lt;=0,0,(RD[[#This Row],[33kV_OG1_Ex (O2RE9)]]-AY168)*1000)</f>
        <v>0</v>
      </c>
      <c r="BF169" s="153"/>
      <c r="BG169" s="153" t="str">
        <f>IF((RD[[#This Row],[33 kV_F2_Ex (O2RE19)]]-BA168)*150000&lt;=0,"",(RD[[#This Row],[33 kV_F2_Ex (O2RE19)]]-BA168)*150000)</f>
        <v/>
      </c>
      <c r="BH169" s="153">
        <f>IF((RD[[#This Row],[33kV_OG2_Ex (O2RE19)]]-BB168)*1000&lt;=0,0,(RD[[#This Row],[33kV_OG2_Ex (O2RE19)]]-BB168)*1000)</f>
        <v>0</v>
      </c>
      <c r="BI169" s="153">
        <f>IF((RD[[#This Row],[33kV_Aux2_Im (O2RE19)]]-BC168)*1000&lt;0,"",(RD[[#This Row],[33kV_Aux2_Im (O2RE19)]]-BC168)*1000)</f>
        <v>0</v>
      </c>
      <c r="BJ169" s="153">
        <f>IF((RD[[#This Row],[33kV_Aux1_Im (O2RE9)]]-AZ168)*1000&lt;0,"",(RD[[#This Row],[33kV_Aux1_Im (O2RE9)]]-AZ168)*1000)</f>
        <v>0</v>
      </c>
      <c r="BK169" s="153">
        <f>SUM(RD[[#This Row],[33kV_OG1_O2RE9_Energy (KWh)]],RD[[#This Row],[33kV_OG2_O2RE19_Energy (KWh)]])</f>
        <v>0</v>
      </c>
      <c r="BL169" s="62" t="str">
        <f>IFERROR(RD[[#This Row],[33 kV Total Export (KWH)]]/RD[[#This Row],[Inv Total Gneration (MWh)]]-1,"")</f>
        <v/>
      </c>
      <c r="BM169" s="63">
        <f>IFERROR((RD[[#This Row],[Sunset Time (POA&lt;20 W/m2)]]-RD[[#This Row],[Sunrise Time (POA&gt;20 W/m2)]])*24,0)</f>
        <v>0</v>
      </c>
      <c r="BN169" s="64">
        <f>SUM(RD[[#This Row],[33kV_OG1_O2RE9_Energy (KWh)]],RD[[#This Row],[33kV_OG2_O2RE19_Energy (KWh)]])</f>
        <v>0</v>
      </c>
      <c r="BO169" s="64">
        <f>IFERROR(RD[[#This Row],[ Export (33 kV)]]*(1-RD[[#This Row],[33 kV Line Loss (%)]]),RD[[#This Row],[ Export (33 kV)]])</f>
        <v>0</v>
      </c>
      <c r="BP169" s="121"/>
      <c r="BQ169" s="121"/>
      <c r="BR169" s="121"/>
      <c r="BS169" t="str">
        <f>IFERROR(RD[[#This Row],[E_AC (WPR)]]/RD[[#This Row],[E_DC (WPR)]],"")</f>
        <v/>
      </c>
    </row>
    <row r="170" spans="1:71">
      <c r="A170" s="147">
        <f t="shared" si="73"/>
        <v>46004</v>
      </c>
      <c r="B170" s="150">
        <f>YEAR(RD[[#This Row],[Date]])+IF(MONTH(RD[[#This Row],[Date]])&gt;=4,1,0)</f>
        <v>2026</v>
      </c>
      <c r="C170" s="150">
        <f>YEAR(RD[[#This Row],[Date]])</f>
        <v>2025</v>
      </c>
      <c r="D170" s="65">
        <f t="shared" si="72"/>
        <v>45992</v>
      </c>
      <c r="E170" s="150">
        <f>DAY(EOMONTH(RD[[#This Row],[Date]],0))</f>
        <v>31</v>
      </c>
      <c r="F170" s="121"/>
      <c r="G170" s="121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68"/>
      <c r="AF170" s="168"/>
      <c r="AG170" s="168"/>
      <c r="AH170" s="168"/>
      <c r="AI170" s="168"/>
      <c r="AJ170" s="168"/>
      <c r="AK170" s="168"/>
      <c r="AL170" s="168"/>
      <c r="AM170" s="68"/>
      <c r="AN170" s="68"/>
      <c r="AO170" s="68"/>
      <c r="AP170" s="68"/>
      <c r="AQ170" s="68"/>
      <c r="AR170" s="68"/>
      <c r="AS170" s="68"/>
      <c r="AT170" s="68"/>
      <c r="AU170" s="69">
        <f>SUM(RD[[#This Row],[IS2Inv1M1]:[IS4Inv1M3]])</f>
        <v>0</v>
      </c>
      <c r="AV170" s="69">
        <f>SUM(RD[[#This Row],[IS5Inv1M1]:[IS5Inv2M3]])</f>
        <v>0</v>
      </c>
      <c r="AW170" s="69">
        <f>SUM(RD[[#This Row],[O2RE9]:[O2RE192]])</f>
        <v>0</v>
      </c>
      <c r="AX170" s="152"/>
      <c r="AY170" s="152"/>
      <c r="AZ170" s="152"/>
      <c r="BA170" s="152"/>
      <c r="BB170" s="152"/>
      <c r="BC170" s="152"/>
      <c r="BD170" s="153" t="str">
        <f>IF((RD[[#This Row],[33 kV_F1_Ex (O2RE9)]]-AX169)*150000&lt;=0,"",(RD[[#This Row],[33 kV_F1_Ex (O2RE9)]]-AX169)*150000)</f>
        <v/>
      </c>
      <c r="BE170" s="153">
        <f>IF((RD[[#This Row],[33kV_OG1_Ex (O2RE9)]]-AY169)*1000&lt;=0,0,(RD[[#This Row],[33kV_OG1_Ex (O2RE9)]]-AY169)*1000)</f>
        <v>0</v>
      </c>
      <c r="BF170" s="153"/>
      <c r="BG170" s="153" t="str">
        <f>IF((RD[[#This Row],[33 kV_F2_Ex (O2RE19)]]-BA169)*150000&lt;=0,"",(RD[[#This Row],[33 kV_F2_Ex (O2RE19)]]-BA169)*150000)</f>
        <v/>
      </c>
      <c r="BH170" s="153">
        <f>IF((RD[[#This Row],[33kV_OG2_Ex (O2RE19)]]-BB169)*1000&lt;=0,0,(RD[[#This Row],[33kV_OG2_Ex (O2RE19)]]-BB169)*1000)</f>
        <v>0</v>
      </c>
      <c r="BI170" s="153">
        <f>IF((RD[[#This Row],[33kV_Aux2_Im (O2RE19)]]-BC169)*1000&lt;0,"",(RD[[#This Row],[33kV_Aux2_Im (O2RE19)]]-BC169)*1000)</f>
        <v>0</v>
      </c>
      <c r="BJ170" s="153">
        <f>IF((RD[[#This Row],[33kV_Aux1_Im (O2RE9)]]-AZ169)*1000&lt;0,"",(RD[[#This Row],[33kV_Aux1_Im (O2RE9)]]-AZ169)*1000)</f>
        <v>0</v>
      </c>
      <c r="BK170" s="153">
        <f>SUM(RD[[#This Row],[33kV_OG1_O2RE9_Energy (KWh)]],RD[[#This Row],[33kV_OG2_O2RE19_Energy (KWh)]])</f>
        <v>0</v>
      </c>
      <c r="BL170" s="62" t="str">
        <f>IFERROR(RD[[#This Row],[33 kV Total Export (KWH)]]/RD[[#This Row],[Inv Total Gneration (MWh)]]-1,"")</f>
        <v/>
      </c>
      <c r="BM170" s="63">
        <f>IFERROR((RD[[#This Row],[Sunset Time (POA&lt;20 W/m2)]]-RD[[#This Row],[Sunrise Time (POA&gt;20 W/m2)]])*24,0)</f>
        <v>0</v>
      </c>
      <c r="BN170" s="64">
        <f>SUM(RD[[#This Row],[33kV_OG1_O2RE9_Energy (KWh)]],RD[[#This Row],[33kV_OG2_O2RE19_Energy (KWh)]])</f>
        <v>0</v>
      </c>
      <c r="BO170" s="64">
        <f>IFERROR(RD[[#This Row],[ Export (33 kV)]]*(1-RD[[#This Row],[33 kV Line Loss (%)]]),RD[[#This Row],[ Export (33 kV)]])</f>
        <v>0</v>
      </c>
      <c r="BP170" s="121"/>
      <c r="BQ170" s="121"/>
      <c r="BR170" s="121"/>
      <c r="BS170" t="str">
        <f>IFERROR(RD[[#This Row],[E_AC (WPR)]]/RD[[#This Row],[E_DC (WPR)]],"")</f>
        <v/>
      </c>
    </row>
    <row r="171" spans="1:71">
      <c r="A171" s="147">
        <f t="shared" si="73"/>
        <v>46005</v>
      </c>
      <c r="B171" s="150">
        <f>YEAR(RD[[#This Row],[Date]])+IF(MONTH(RD[[#This Row],[Date]])&gt;=4,1,0)</f>
        <v>2026</v>
      </c>
      <c r="C171" s="150">
        <f>YEAR(RD[[#This Row],[Date]])</f>
        <v>2025</v>
      </c>
      <c r="D171" s="65">
        <f t="shared" si="72"/>
        <v>45992</v>
      </c>
      <c r="E171" s="150">
        <f>DAY(EOMONTH(RD[[#This Row],[Date]],0))</f>
        <v>31</v>
      </c>
      <c r="F171" s="121"/>
      <c r="G171" s="121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68"/>
      <c r="AF171" s="168"/>
      <c r="AG171" s="168"/>
      <c r="AH171" s="168"/>
      <c r="AI171" s="168"/>
      <c r="AJ171" s="168"/>
      <c r="AK171" s="168"/>
      <c r="AL171" s="168"/>
      <c r="AM171" s="68"/>
      <c r="AN171" s="68"/>
      <c r="AO171" s="68"/>
      <c r="AP171" s="68"/>
      <c r="AQ171" s="68"/>
      <c r="AR171" s="68"/>
      <c r="AS171" s="68"/>
      <c r="AT171" s="68"/>
      <c r="AU171" s="69">
        <f>SUM(RD[[#This Row],[IS2Inv1M1]:[IS4Inv1M3]])</f>
        <v>0</v>
      </c>
      <c r="AV171" s="69">
        <f>SUM(RD[[#This Row],[IS5Inv1M1]:[IS5Inv2M3]])</f>
        <v>0</v>
      </c>
      <c r="AW171" s="69">
        <f>SUM(RD[[#This Row],[O2RE9]:[O2RE192]])</f>
        <v>0</v>
      </c>
      <c r="AX171" s="152"/>
      <c r="AY171" s="152"/>
      <c r="AZ171" s="152"/>
      <c r="BA171" s="152"/>
      <c r="BB171" s="152"/>
      <c r="BC171" s="152"/>
      <c r="BD171" s="153" t="str">
        <f>IF((RD[[#This Row],[33 kV_F1_Ex (O2RE9)]]-AX170)*150000&lt;=0,"",(RD[[#This Row],[33 kV_F1_Ex (O2RE9)]]-AX170)*150000)</f>
        <v/>
      </c>
      <c r="BE171" s="153">
        <f>IF((RD[[#This Row],[33kV_OG1_Ex (O2RE9)]]-AY170)*1000&lt;=0,0,(RD[[#This Row],[33kV_OG1_Ex (O2RE9)]]-AY170)*1000)</f>
        <v>0</v>
      </c>
      <c r="BF171" s="153"/>
      <c r="BG171" s="153" t="str">
        <f>IF((RD[[#This Row],[33 kV_F2_Ex (O2RE19)]]-BA170)*150000&lt;=0,"",(RD[[#This Row],[33 kV_F2_Ex (O2RE19)]]-BA170)*150000)</f>
        <v/>
      </c>
      <c r="BH171" s="153">
        <f>IF((RD[[#This Row],[33kV_OG2_Ex (O2RE19)]]-BB170)*1000&lt;=0,0,(RD[[#This Row],[33kV_OG2_Ex (O2RE19)]]-BB170)*1000)</f>
        <v>0</v>
      </c>
      <c r="BI171" s="153">
        <f>IF((RD[[#This Row],[33kV_Aux2_Im (O2RE19)]]-BC170)*1000&lt;0,"",(RD[[#This Row],[33kV_Aux2_Im (O2RE19)]]-BC170)*1000)</f>
        <v>0</v>
      </c>
      <c r="BJ171" s="153">
        <f>IF((RD[[#This Row],[33kV_Aux1_Im (O2RE9)]]-AZ170)*1000&lt;0,"",(RD[[#This Row],[33kV_Aux1_Im (O2RE9)]]-AZ170)*1000)</f>
        <v>0</v>
      </c>
      <c r="BK171" s="153">
        <f>SUM(RD[[#This Row],[33kV_OG1_O2RE9_Energy (KWh)]],RD[[#This Row],[33kV_OG2_O2RE19_Energy (KWh)]])</f>
        <v>0</v>
      </c>
      <c r="BL171" s="62" t="str">
        <f>IFERROR(RD[[#This Row],[33 kV Total Export (KWH)]]/RD[[#This Row],[Inv Total Gneration (MWh)]]-1,"")</f>
        <v/>
      </c>
      <c r="BM171" s="63">
        <f>IFERROR((RD[[#This Row],[Sunset Time (POA&lt;20 W/m2)]]-RD[[#This Row],[Sunrise Time (POA&gt;20 W/m2)]])*24,0)</f>
        <v>0</v>
      </c>
      <c r="BN171" s="64">
        <f>SUM(RD[[#This Row],[33kV_OG1_O2RE9_Energy (KWh)]],RD[[#This Row],[33kV_OG2_O2RE19_Energy (KWh)]])</f>
        <v>0</v>
      </c>
      <c r="BO171" s="64">
        <f>IFERROR(RD[[#This Row],[ Export (33 kV)]]*(1-RD[[#This Row],[33 kV Line Loss (%)]]),RD[[#This Row],[ Export (33 kV)]])</f>
        <v>0</v>
      </c>
      <c r="BP171" s="121"/>
      <c r="BQ171" s="121"/>
      <c r="BR171" s="121"/>
      <c r="BS171" t="str">
        <f>IFERROR(RD[[#This Row],[E_AC (WPR)]]/RD[[#This Row],[E_DC (WPR)]],"")</f>
        <v/>
      </c>
    </row>
    <row r="172" spans="1:71">
      <c r="A172" s="147">
        <f t="shared" si="73"/>
        <v>46006</v>
      </c>
      <c r="B172" s="150">
        <f>YEAR(RD[[#This Row],[Date]])+IF(MONTH(RD[[#This Row],[Date]])&gt;=4,1,0)</f>
        <v>2026</v>
      </c>
      <c r="C172" s="150">
        <f>YEAR(RD[[#This Row],[Date]])</f>
        <v>2025</v>
      </c>
      <c r="D172" s="65">
        <f t="shared" si="72"/>
        <v>45992</v>
      </c>
      <c r="E172" s="150">
        <f>DAY(EOMONTH(RD[[#This Row],[Date]],0))</f>
        <v>31</v>
      </c>
      <c r="F172" s="121"/>
      <c r="G172" s="121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68"/>
      <c r="AF172" s="168"/>
      <c r="AG172" s="168"/>
      <c r="AH172" s="168"/>
      <c r="AI172" s="168"/>
      <c r="AJ172" s="168"/>
      <c r="AK172" s="168"/>
      <c r="AL172" s="168"/>
      <c r="AM172" s="68"/>
      <c r="AN172" s="68"/>
      <c r="AO172" s="68"/>
      <c r="AP172" s="68"/>
      <c r="AQ172" s="68"/>
      <c r="AR172" s="68"/>
      <c r="AS172" s="68"/>
      <c r="AT172" s="68"/>
      <c r="AU172" s="69">
        <f>SUM(RD[[#This Row],[IS2Inv1M1]:[IS4Inv1M3]])</f>
        <v>0</v>
      </c>
      <c r="AV172" s="69">
        <f>SUM(RD[[#This Row],[IS5Inv1M1]:[IS5Inv2M3]])</f>
        <v>0</v>
      </c>
      <c r="AW172" s="69">
        <f>SUM(RD[[#This Row],[O2RE9]:[O2RE192]])</f>
        <v>0</v>
      </c>
      <c r="AX172" s="152"/>
      <c r="AY172" s="152"/>
      <c r="AZ172" s="152"/>
      <c r="BA172" s="152"/>
      <c r="BB172" s="152"/>
      <c r="BC172" s="152"/>
      <c r="BD172" s="153" t="str">
        <f>IF((RD[[#This Row],[33 kV_F1_Ex (O2RE9)]]-AX171)*150000&lt;=0,"",(RD[[#This Row],[33 kV_F1_Ex (O2RE9)]]-AX171)*150000)</f>
        <v/>
      </c>
      <c r="BE172" s="153">
        <f>IF((RD[[#This Row],[33kV_OG1_Ex (O2RE9)]]-AY171)*1000&lt;=0,0,(RD[[#This Row],[33kV_OG1_Ex (O2RE9)]]-AY171)*1000)</f>
        <v>0</v>
      </c>
      <c r="BF172" s="153"/>
      <c r="BG172" s="153" t="str">
        <f>IF((RD[[#This Row],[33 kV_F2_Ex (O2RE19)]]-BA171)*150000&lt;=0,"",(RD[[#This Row],[33 kV_F2_Ex (O2RE19)]]-BA171)*150000)</f>
        <v/>
      </c>
      <c r="BH172" s="153">
        <f>IF((RD[[#This Row],[33kV_OG2_Ex (O2RE19)]]-BB171)*1000&lt;=0,0,(RD[[#This Row],[33kV_OG2_Ex (O2RE19)]]-BB171)*1000)</f>
        <v>0</v>
      </c>
      <c r="BI172" s="153">
        <f>IF((RD[[#This Row],[33kV_Aux2_Im (O2RE19)]]-BC171)*1000&lt;0,"",(RD[[#This Row],[33kV_Aux2_Im (O2RE19)]]-BC171)*1000)</f>
        <v>0</v>
      </c>
      <c r="BJ172" s="153">
        <f>IF((RD[[#This Row],[33kV_Aux1_Im (O2RE9)]]-AZ171)*1000&lt;0,"",(RD[[#This Row],[33kV_Aux1_Im (O2RE9)]]-AZ171)*1000)</f>
        <v>0</v>
      </c>
      <c r="BK172" s="153">
        <f>SUM(RD[[#This Row],[33kV_OG1_O2RE9_Energy (KWh)]],RD[[#This Row],[33kV_OG2_O2RE19_Energy (KWh)]])</f>
        <v>0</v>
      </c>
      <c r="BL172" s="62" t="str">
        <f>IFERROR(RD[[#This Row],[33 kV Total Export (KWH)]]/RD[[#This Row],[Inv Total Gneration (MWh)]]-1,"")</f>
        <v/>
      </c>
      <c r="BM172" s="63">
        <f>IFERROR((RD[[#This Row],[Sunset Time (POA&lt;20 W/m2)]]-RD[[#This Row],[Sunrise Time (POA&gt;20 W/m2)]])*24,0)</f>
        <v>0</v>
      </c>
      <c r="BN172" s="64">
        <f>SUM(RD[[#This Row],[33kV_OG1_O2RE9_Energy (KWh)]],RD[[#This Row],[33kV_OG2_O2RE19_Energy (KWh)]])</f>
        <v>0</v>
      </c>
      <c r="BO172" s="64">
        <f>IFERROR(RD[[#This Row],[ Export (33 kV)]]*(1-RD[[#This Row],[33 kV Line Loss (%)]]),RD[[#This Row],[ Export (33 kV)]])</f>
        <v>0</v>
      </c>
      <c r="BP172" s="121"/>
      <c r="BQ172" s="121"/>
      <c r="BR172" s="121"/>
      <c r="BS172" t="str">
        <f>IFERROR(RD[[#This Row],[E_AC (WPR)]]/RD[[#This Row],[E_DC (WPR)]],"")</f>
        <v/>
      </c>
    </row>
    <row r="173" spans="1:71">
      <c r="A173" s="147">
        <f t="shared" si="73"/>
        <v>46007</v>
      </c>
      <c r="B173" s="150">
        <f>YEAR(RD[[#This Row],[Date]])+IF(MONTH(RD[[#This Row],[Date]])&gt;=4,1,0)</f>
        <v>2026</v>
      </c>
      <c r="C173" s="150">
        <f>YEAR(RD[[#This Row],[Date]])</f>
        <v>2025</v>
      </c>
      <c r="D173" s="65">
        <f t="shared" si="72"/>
        <v>45992</v>
      </c>
      <c r="E173" s="150">
        <f>DAY(EOMONTH(RD[[#This Row],[Date]],0))</f>
        <v>31</v>
      </c>
      <c r="F173" s="121"/>
      <c r="G173" s="121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68"/>
      <c r="AF173" s="168"/>
      <c r="AG173" s="168"/>
      <c r="AH173" s="168"/>
      <c r="AI173" s="168"/>
      <c r="AJ173" s="168"/>
      <c r="AK173" s="168"/>
      <c r="AL173" s="168"/>
      <c r="AM173" s="68"/>
      <c r="AN173" s="68"/>
      <c r="AO173" s="68"/>
      <c r="AP173" s="68"/>
      <c r="AQ173" s="68"/>
      <c r="AR173" s="68"/>
      <c r="AS173" s="68"/>
      <c r="AT173" s="68"/>
      <c r="AU173" s="69">
        <f>SUM(RD[[#This Row],[IS2Inv1M1]:[IS4Inv1M3]])</f>
        <v>0</v>
      </c>
      <c r="AV173" s="69">
        <f>SUM(RD[[#This Row],[IS5Inv1M1]:[IS5Inv2M3]])</f>
        <v>0</v>
      </c>
      <c r="AW173" s="69">
        <f>SUM(RD[[#This Row],[O2RE9]:[O2RE192]])</f>
        <v>0</v>
      </c>
      <c r="AX173" s="152"/>
      <c r="AY173" s="152"/>
      <c r="AZ173" s="152"/>
      <c r="BA173" s="152"/>
      <c r="BB173" s="152"/>
      <c r="BC173" s="152"/>
      <c r="BD173" s="153" t="str">
        <f>IF((RD[[#This Row],[33 kV_F1_Ex (O2RE9)]]-AX172)*150000&lt;=0,"",(RD[[#This Row],[33 kV_F1_Ex (O2RE9)]]-AX172)*150000)</f>
        <v/>
      </c>
      <c r="BE173" s="153">
        <f>IF((RD[[#This Row],[33kV_OG1_Ex (O2RE9)]]-AY172)*1000&lt;=0,0,(RD[[#This Row],[33kV_OG1_Ex (O2RE9)]]-AY172)*1000)</f>
        <v>0</v>
      </c>
      <c r="BF173" s="153"/>
      <c r="BG173" s="153" t="str">
        <f>IF((RD[[#This Row],[33 kV_F2_Ex (O2RE19)]]-BA172)*150000&lt;=0,"",(RD[[#This Row],[33 kV_F2_Ex (O2RE19)]]-BA172)*150000)</f>
        <v/>
      </c>
      <c r="BH173" s="153">
        <f>IF((RD[[#This Row],[33kV_OG2_Ex (O2RE19)]]-BB172)*1000&lt;=0,0,(RD[[#This Row],[33kV_OG2_Ex (O2RE19)]]-BB172)*1000)</f>
        <v>0</v>
      </c>
      <c r="BI173" s="153">
        <f>IF((RD[[#This Row],[33kV_Aux2_Im (O2RE19)]]-BC172)*1000&lt;0,"",(RD[[#This Row],[33kV_Aux2_Im (O2RE19)]]-BC172)*1000)</f>
        <v>0</v>
      </c>
      <c r="BJ173" s="153">
        <f>IF((RD[[#This Row],[33kV_Aux1_Im (O2RE9)]]-AZ172)*1000&lt;0,"",(RD[[#This Row],[33kV_Aux1_Im (O2RE9)]]-AZ172)*1000)</f>
        <v>0</v>
      </c>
      <c r="BK173" s="153">
        <f>SUM(RD[[#This Row],[33kV_OG1_O2RE9_Energy (KWh)]],RD[[#This Row],[33kV_OG2_O2RE19_Energy (KWh)]])</f>
        <v>0</v>
      </c>
      <c r="BL173" s="62" t="str">
        <f>IFERROR(RD[[#This Row],[33 kV Total Export (KWH)]]/RD[[#This Row],[Inv Total Gneration (MWh)]]-1,"")</f>
        <v/>
      </c>
      <c r="BM173" s="63">
        <f>IFERROR((RD[[#This Row],[Sunset Time (POA&lt;20 W/m2)]]-RD[[#This Row],[Sunrise Time (POA&gt;20 W/m2)]])*24,0)</f>
        <v>0</v>
      </c>
      <c r="BN173" s="64">
        <f>SUM(RD[[#This Row],[33kV_OG1_O2RE9_Energy (KWh)]],RD[[#This Row],[33kV_OG2_O2RE19_Energy (KWh)]])</f>
        <v>0</v>
      </c>
      <c r="BO173" s="64">
        <f>IFERROR(RD[[#This Row],[ Export (33 kV)]]*(1-RD[[#This Row],[33 kV Line Loss (%)]]),RD[[#This Row],[ Export (33 kV)]])</f>
        <v>0</v>
      </c>
      <c r="BP173" s="121"/>
      <c r="BQ173" s="121"/>
      <c r="BR173" s="121"/>
      <c r="BS173" t="str">
        <f>IFERROR(RD[[#This Row],[E_AC (WPR)]]/RD[[#This Row],[E_DC (WPR)]],"")</f>
        <v/>
      </c>
    </row>
    <row r="174" spans="1:71">
      <c r="A174" s="147">
        <f t="shared" si="73"/>
        <v>46008</v>
      </c>
      <c r="B174" s="150">
        <f>YEAR(RD[[#This Row],[Date]])+IF(MONTH(RD[[#This Row],[Date]])&gt;=4,1,0)</f>
        <v>2026</v>
      </c>
      <c r="C174" s="150">
        <f>YEAR(RD[[#This Row],[Date]])</f>
        <v>2025</v>
      </c>
      <c r="D174" s="65">
        <f t="shared" si="72"/>
        <v>45992</v>
      </c>
      <c r="E174" s="150">
        <f>DAY(EOMONTH(RD[[#This Row],[Date]],0))</f>
        <v>31</v>
      </c>
      <c r="F174" s="121"/>
      <c r="G174" s="121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68"/>
      <c r="AF174" s="168"/>
      <c r="AG174" s="168"/>
      <c r="AH174" s="168"/>
      <c r="AI174" s="168"/>
      <c r="AJ174" s="168"/>
      <c r="AK174" s="168"/>
      <c r="AL174" s="168"/>
      <c r="AM174" s="68"/>
      <c r="AN174" s="68"/>
      <c r="AO174" s="68"/>
      <c r="AP174" s="68"/>
      <c r="AQ174" s="68"/>
      <c r="AR174" s="68"/>
      <c r="AS174" s="68"/>
      <c r="AT174" s="68"/>
      <c r="AU174" s="69">
        <f>SUM(RD[[#This Row],[IS2Inv1M1]:[IS4Inv1M3]])</f>
        <v>0</v>
      </c>
      <c r="AV174" s="69">
        <f>SUM(RD[[#This Row],[IS5Inv1M1]:[IS5Inv2M3]])</f>
        <v>0</v>
      </c>
      <c r="AW174" s="69">
        <f>SUM(RD[[#This Row],[O2RE9]:[O2RE192]])</f>
        <v>0</v>
      </c>
      <c r="AX174" s="152"/>
      <c r="AY174" s="152"/>
      <c r="AZ174" s="152"/>
      <c r="BA174" s="152"/>
      <c r="BB174" s="152"/>
      <c r="BC174" s="152"/>
      <c r="BD174" s="153" t="str">
        <f>IF((RD[[#This Row],[33 kV_F1_Ex (O2RE9)]]-AX173)*150000&lt;=0,"",(RD[[#This Row],[33 kV_F1_Ex (O2RE9)]]-AX173)*150000)</f>
        <v/>
      </c>
      <c r="BE174" s="153">
        <f>IF((RD[[#This Row],[33kV_OG1_Ex (O2RE9)]]-AY173)*1000&lt;=0,0,(RD[[#This Row],[33kV_OG1_Ex (O2RE9)]]-AY173)*1000)</f>
        <v>0</v>
      </c>
      <c r="BF174" s="153"/>
      <c r="BG174" s="153" t="str">
        <f>IF((RD[[#This Row],[33 kV_F2_Ex (O2RE19)]]-BA173)*150000&lt;=0,"",(RD[[#This Row],[33 kV_F2_Ex (O2RE19)]]-BA173)*150000)</f>
        <v/>
      </c>
      <c r="BH174" s="153">
        <f>IF((RD[[#This Row],[33kV_OG2_Ex (O2RE19)]]-BB173)*1000&lt;=0,0,(RD[[#This Row],[33kV_OG2_Ex (O2RE19)]]-BB173)*1000)</f>
        <v>0</v>
      </c>
      <c r="BI174" s="153">
        <f>IF((RD[[#This Row],[33kV_Aux2_Im (O2RE19)]]-BC173)*1000&lt;0,"",(RD[[#This Row],[33kV_Aux2_Im (O2RE19)]]-BC173)*1000)</f>
        <v>0</v>
      </c>
      <c r="BJ174" s="153">
        <f>IF((RD[[#This Row],[33kV_Aux1_Im (O2RE9)]]-AZ173)*1000&lt;0,"",(RD[[#This Row],[33kV_Aux1_Im (O2RE9)]]-AZ173)*1000)</f>
        <v>0</v>
      </c>
      <c r="BK174" s="153">
        <f>SUM(RD[[#This Row],[33kV_OG1_O2RE9_Energy (KWh)]],RD[[#This Row],[33kV_OG2_O2RE19_Energy (KWh)]])</f>
        <v>0</v>
      </c>
      <c r="BL174" s="62" t="str">
        <f>IFERROR(RD[[#This Row],[33 kV Total Export (KWH)]]/RD[[#This Row],[Inv Total Gneration (MWh)]]-1,"")</f>
        <v/>
      </c>
      <c r="BM174" s="63">
        <f>IFERROR((RD[[#This Row],[Sunset Time (POA&lt;20 W/m2)]]-RD[[#This Row],[Sunrise Time (POA&gt;20 W/m2)]])*24,0)</f>
        <v>0</v>
      </c>
      <c r="BN174" s="64">
        <f>SUM(RD[[#This Row],[33kV_OG1_O2RE9_Energy (KWh)]],RD[[#This Row],[33kV_OG2_O2RE19_Energy (KWh)]])</f>
        <v>0</v>
      </c>
      <c r="BO174" s="64">
        <f>IFERROR(RD[[#This Row],[ Export (33 kV)]]*(1-RD[[#This Row],[33 kV Line Loss (%)]]),RD[[#This Row],[ Export (33 kV)]])</f>
        <v>0</v>
      </c>
      <c r="BP174" s="121"/>
      <c r="BQ174" s="121"/>
      <c r="BR174" s="121"/>
      <c r="BS174" t="str">
        <f>IFERROR(RD[[#This Row],[E_AC (WPR)]]/RD[[#This Row],[E_DC (WPR)]],"")</f>
        <v/>
      </c>
    </row>
    <row r="175" spans="1:71">
      <c r="A175" s="147">
        <f t="shared" si="73"/>
        <v>46009</v>
      </c>
      <c r="B175" s="150">
        <f>YEAR(RD[[#This Row],[Date]])+IF(MONTH(RD[[#This Row],[Date]])&gt;=4,1,0)</f>
        <v>2026</v>
      </c>
      <c r="C175" s="150">
        <f>YEAR(RD[[#This Row],[Date]])</f>
        <v>2025</v>
      </c>
      <c r="D175" s="65">
        <f t="shared" si="72"/>
        <v>45992</v>
      </c>
      <c r="E175" s="150">
        <f>DAY(EOMONTH(RD[[#This Row],[Date]],0))</f>
        <v>31</v>
      </c>
      <c r="F175" s="121"/>
      <c r="G175" s="121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68"/>
      <c r="AF175" s="168"/>
      <c r="AG175" s="168"/>
      <c r="AH175" s="168"/>
      <c r="AI175" s="168"/>
      <c r="AJ175" s="168"/>
      <c r="AK175" s="168"/>
      <c r="AL175" s="168"/>
      <c r="AM175" s="68"/>
      <c r="AN175" s="68"/>
      <c r="AO175" s="68"/>
      <c r="AP175" s="68"/>
      <c r="AQ175" s="68"/>
      <c r="AR175" s="68"/>
      <c r="AS175" s="68"/>
      <c r="AT175" s="68"/>
      <c r="AU175" s="69">
        <f>SUM(RD[[#This Row],[IS2Inv1M1]:[IS4Inv1M3]])</f>
        <v>0</v>
      </c>
      <c r="AV175" s="69">
        <f>SUM(RD[[#This Row],[IS5Inv1M1]:[IS5Inv2M3]])</f>
        <v>0</v>
      </c>
      <c r="AW175" s="69">
        <f>SUM(RD[[#This Row],[O2RE9]:[O2RE192]])</f>
        <v>0</v>
      </c>
      <c r="AX175" s="152"/>
      <c r="AY175" s="152"/>
      <c r="AZ175" s="152"/>
      <c r="BA175" s="152"/>
      <c r="BB175" s="152"/>
      <c r="BC175" s="152"/>
      <c r="BD175" s="153" t="str">
        <f>IF((RD[[#This Row],[33 kV_F1_Ex (O2RE9)]]-AX174)*150000&lt;=0,"",(RD[[#This Row],[33 kV_F1_Ex (O2RE9)]]-AX174)*150000)</f>
        <v/>
      </c>
      <c r="BE175" s="153">
        <f>IF((RD[[#This Row],[33kV_OG1_Ex (O2RE9)]]-AY174)*1000&lt;=0,0,(RD[[#This Row],[33kV_OG1_Ex (O2RE9)]]-AY174)*1000)</f>
        <v>0</v>
      </c>
      <c r="BF175" s="153"/>
      <c r="BG175" s="153" t="str">
        <f>IF((RD[[#This Row],[33 kV_F2_Ex (O2RE19)]]-BA174)*150000&lt;=0,"",(RD[[#This Row],[33 kV_F2_Ex (O2RE19)]]-BA174)*150000)</f>
        <v/>
      </c>
      <c r="BH175" s="153">
        <f>IF((RD[[#This Row],[33kV_OG2_Ex (O2RE19)]]-BB174)*1000&lt;=0,0,(RD[[#This Row],[33kV_OG2_Ex (O2RE19)]]-BB174)*1000)</f>
        <v>0</v>
      </c>
      <c r="BI175" s="153">
        <f>IF((RD[[#This Row],[33kV_Aux2_Im (O2RE19)]]-BC174)*1000&lt;0,"",(RD[[#This Row],[33kV_Aux2_Im (O2RE19)]]-BC174)*1000)</f>
        <v>0</v>
      </c>
      <c r="BJ175" s="153">
        <f>IF((RD[[#This Row],[33kV_Aux1_Im (O2RE9)]]-AZ174)*1000&lt;0,"",(RD[[#This Row],[33kV_Aux1_Im (O2RE9)]]-AZ174)*1000)</f>
        <v>0</v>
      </c>
      <c r="BK175" s="153">
        <f>SUM(RD[[#This Row],[33kV_OG1_O2RE9_Energy (KWh)]],RD[[#This Row],[33kV_OG2_O2RE19_Energy (KWh)]])</f>
        <v>0</v>
      </c>
      <c r="BL175" s="62" t="str">
        <f>IFERROR(RD[[#This Row],[33 kV Total Export (KWH)]]/RD[[#This Row],[Inv Total Gneration (MWh)]]-1,"")</f>
        <v/>
      </c>
      <c r="BM175" s="63">
        <f>IFERROR((RD[[#This Row],[Sunset Time (POA&lt;20 W/m2)]]-RD[[#This Row],[Sunrise Time (POA&gt;20 W/m2)]])*24,0)</f>
        <v>0</v>
      </c>
      <c r="BN175" s="64">
        <f>SUM(RD[[#This Row],[33kV_OG1_O2RE9_Energy (KWh)]],RD[[#This Row],[33kV_OG2_O2RE19_Energy (KWh)]])</f>
        <v>0</v>
      </c>
      <c r="BO175" s="64">
        <f>IFERROR(RD[[#This Row],[ Export (33 kV)]]*(1-RD[[#This Row],[33 kV Line Loss (%)]]),RD[[#This Row],[ Export (33 kV)]])</f>
        <v>0</v>
      </c>
      <c r="BP175" s="121"/>
      <c r="BQ175" s="121"/>
      <c r="BR175" s="121"/>
      <c r="BS175" t="str">
        <f>IFERROR(RD[[#This Row],[E_AC (WPR)]]/RD[[#This Row],[E_DC (WPR)]],"")</f>
        <v/>
      </c>
    </row>
    <row r="176" spans="1:71">
      <c r="A176" s="147">
        <f t="shared" si="73"/>
        <v>46010</v>
      </c>
      <c r="B176" s="150">
        <f>YEAR(RD[[#This Row],[Date]])+IF(MONTH(RD[[#This Row],[Date]])&gt;=4,1,0)</f>
        <v>2026</v>
      </c>
      <c r="C176" s="150">
        <f>YEAR(RD[[#This Row],[Date]])</f>
        <v>2025</v>
      </c>
      <c r="D176" s="65">
        <f t="shared" si="72"/>
        <v>45992</v>
      </c>
      <c r="E176" s="150">
        <f>DAY(EOMONTH(RD[[#This Row],[Date]],0))</f>
        <v>31</v>
      </c>
      <c r="F176" s="121"/>
      <c r="G176" s="121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68"/>
      <c r="AF176" s="168"/>
      <c r="AG176" s="168"/>
      <c r="AH176" s="168"/>
      <c r="AI176" s="168"/>
      <c r="AJ176" s="168"/>
      <c r="AK176" s="168"/>
      <c r="AL176" s="168"/>
      <c r="AM176" s="68"/>
      <c r="AN176" s="68"/>
      <c r="AO176" s="68"/>
      <c r="AP176" s="68"/>
      <c r="AQ176" s="68"/>
      <c r="AR176" s="68"/>
      <c r="AS176" s="68"/>
      <c r="AT176" s="68"/>
      <c r="AU176" s="69">
        <f>SUM(RD[[#This Row],[IS2Inv1M1]:[IS4Inv1M3]])</f>
        <v>0</v>
      </c>
      <c r="AV176" s="69">
        <f>SUM(RD[[#This Row],[IS5Inv1M1]:[IS5Inv2M3]])</f>
        <v>0</v>
      </c>
      <c r="AW176" s="69">
        <f>SUM(RD[[#This Row],[O2RE9]:[O2RE192]])</f>
        <v>0</v>
      </c>
      <c r="AX176" s="152"/>
      <c r="AY176" s="152"/>
      <c r="AZ176" s="152"/>
      <c r="BA176" s="152"/>
      <c r="BB176" s="152"/>
      <c r="BC176" s="152"/>
      <c r="BD176" s="153" t="str">
        <f>IF((RD[[#This Row],[33 kV_F1_Ex (O2RE9)]]-AX175)*150000&lt;=0,"",(RD[[#This Row],[33 kV_F1_Ex (O2RE9)]]-AX175)*150000)</f>
        <v/>
      </c>
      <c r="BE176" s="153">
        <f>IF((RD[[#This Row],[33kV_OG1_Ex (O2RE9)]]-AY175)*1000&lt;=0,0,(RD[[#This Row],[33kV_OG1_Ex (O2RE9)]]-AY175)*1000)</f>
        <v>0</v>
      </c>
      <c r="BF176" s="153"/>
      <c r="BG176" s="153" t="str">
        <f>IF((RD[[#This Row],[33 kV_F2_Ex (O2RE19)]]-BA175)*150000&lt;=0,"",(RD[[#This Row],[33 kV_F2_Ex (O2RE19)]]-BA175)*150000)</f>
        <v/>
      </c>
      <c r="BH176" s="153">
        <f>IF((RD[[#This Row],[33kV_OG2_Ex (O2RE19)]]-BB175)*1000&lt;=0,0,(RD[[#This Row],[33kV_OG2_Ex (O2RE19)]]-BB175)*1000)</f>
        <v>0</v>
      </c>
      <c r="BI176" s="153">
        <f>IF((RD[[#This Row],[33kV_Aux2_Im (O2RE19)]]-BC175)*1000&lt;0,"",(RD[[#This Row],[33kV_Aux2_Im (O2RE19)]]-BC175)*1000)</f>
        <v>0</v>
      </c>
      <c r="BJ176" s="153">
        <f>IF((RD[[#This Row],[33kV_Aux1_Im (O2RE9)]]-AZ175)*1000&lt;0,"",(RD[[#This Row],[33kV_Aux1_Im (O2RE9)]]-AZ175)*1000)</f>
        <v>0</v>
      </c>
      <c r="BK176" s="153">
        <f>SUM(RD[[#This Row],[33kV_OG1_O2RE9_Energy (KWh)]],RD[[#This Row],[33kV_OG2_O2RE19_Energy (KWh)]])</f>
        <v>0</v>
      </c>
      <c r="BL176" s="62" t="str">
        <f>IFERROR(RD[[#This Row],[33 kV Total Export (KWH)]]/RD[[#This Row],[Inv Total Gneration (MWh)]]-1,"")</f>
        <v/>
      </c>
      <c r="BM176" s="63">
        <f>IFERROR((RD[[#This Row],[Sunset Time (POA&lt;20 W/m2)]]-RD[[#This Row],[Sunrise Time (POA&gt;20 W/m2)]])*24,0)</f>
        <v>0</v>
      </c>
      <c r="BN176" s="64">
        <f>SUM(RD[[#This Row],[33kV_OG1_O2RE9_Energy (KWh)]],RD[[#This Row],[33kV_OG2_O2RE19_Energy (KWh)]])</f>
        <v>0</v>
      </c>
      <c r="BO176" s="64">
        <f>IFERROR(RD[[#This Row],[ Export (33 kV)]]*(1-RD[[#This Row],[33 kV Line Loss (%)]]),RD[[#This Row],[ Export (33 kV)]])</f>
        <v>0</v>
      </c>
      <c r="BP176" s="121"/>
      <c r="BQ176" s="121"/>
      <c r="BR176" s="121"/>
      <c r="BS176" t="str">
        <f>IFERROR(RD[[#This Row],[E_AC (WPR)]]/RD[[#This Row],[E_DC (WPR)]],"")</f>
        <v/>
      </c>
    </row>
    <row r="177" spans="1:71">
      <c r="A177" s="147">
        <f t="shared" si="73"/>
        <v>46011</v>
      </c>
      <c r="B177" s="150">
        <f>YEAR(RD[[#This Row],[Date]])+IF(MONTH(RD[[#This Row],[Date]])&gt;=4,1,0)</f>
        <v>2026</v>
      </c>
      <c r="C177" s="150">
        <f>YEAR(RD[[#This Row],[Date]])</f>
        <v>2025</v>
      </c>
      <c r="D177" s="65">
        <f t="shared" si="72"/>
        <v>45992</v>
      </c>
      <c r="E177" s="150">
        <f>DAY(EOMONTH(RD[[#This Row],[Date]],0))</f>
        <v>31</v>
      </c>
      <c r="F177" s="121"/>
      <c r="G177" s="121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68"/>
      <c r="AF177" s="168"/>
      <c r="AG177" s="168"/>
      <c r="AH177" s="168"/>
      <c r="AI177" s="168"/>
      <c r="AJ177" s="168"/>
      <c r="AK177" s="168"/>
      <c r="AL177" s="168"/>
      <c r="AM177" s="68"/>
      <c r="AN177" s="68"/>
      <c r="AO177" s="68"/>
      <c r="AP177" s="68"/>
      <c r="AQ177" s="68"/>
      <c r="AR177" s="68"/>
      <c r="AS177" s="68"/>
      <c r="AT177" s="68"/>
      <c r="AU177" s="69">
        <f>SUM(RD[[#This Row],[IS2Inv1M1]:[IS4Inv1M3]])</f>
        <v>0</v>
      </c>
      <c r="AV177" s="69">
        <f>SUM(RD[[#This Row],[IS5Inv1M1]:[IS5Inv2M3]])</f>
        <v>0</v>
      </c>
      <c r="AW177" s="69">
        <f>SUM(RD[[#This Row],[O2RE9]:[O2RE192]])</f>
        <v>0</v>
      </c>
      <c r="AX177" s="152"/>
      <c r="AY177" s="152"/>
      <c r="AZ177" s="152"/>
      <c r="BA177" s="152"/>
      <c r="BB177" s="152"/>
      <c r="BC177" s="152"/>
      <c r="BD177" s="153" t="str">
        <f>IF((RD[[#This Row],[33 kV_F1_Ex (O2RE9)]]-AX176)*150000&lt;=0,"",(RD[[#This Row],[33 kV_F1_Ex (O2RE9)]]-AX176)*150000)</f>
        <v/>
      </c>
      <c r="BE177" s="153">
        <f>IF((RD[[#This Row],[33kV_OG1_Ex (O2RE9)]]-AY176)*1000&lt;=0,0,(RD[[#This Row],[33kV_OG1_Ex (O2RE9)]]-AY176)*1000)</f>
        <v>0</v>
      </c>
      <c r="BF177" s="153"/>
      <c r="BG177" s="153" t="str">
        <f>IF((RD[[#This Row],[33 kV_F2_Ex (O2RE19)]]-BA176)*150000&lt;=0,"",(RD[[#This Row],[33 kV_F2_Ex (O2RE19)]]-BA176)*150000)</f>
        <v/>
      </c>
      <c r="BH177" s="153">
        <f>IF((RD[[#This Row],[33kV_OG2_Ex (O2RE19)]]-BB176)*1000&lt;=0,0,(RD[[#This Row],[33kV_OG2_Ex (O2RE19)]]-BB176)*1000)</f>
        <v>0</v>
      </c>
      <c r="BI177" s="153">
        <f>IF((RD[[#This Row],[33kV_Aux2_Im (O2RE19)]]-BC176)*1000&lt;0,"",(RD[[#This Row],[33kV_Aux2_Im (O2RE19)]]-BC176)*1000)</f>
        <v>0</v>
      </c>
      <c r="BJ177" s="153">
        <f>IF((RD[[#This Row],[33kV_Aux1_Im (O2RE9)]]-AZ176)*1000&lt;0,"",(RD[[#This Row],[33kV_Aux1_Im (O2RE9)]]-AZ176)*1000)</f>
        <v>0</v>
      </c>
      <c r="BK177" s="153">
        <f>SUM(RD[[#This Row],[33kV_OG1_O2RE9_Energy (KWh)]],RD[[#This Row],[33kV_OG2_O2RE19_Energy (KWh)]])</f>
        <v>0</v>
      </c>
      <c r="BL177" s="62" t="str">
        <f>IFERROR(RD[[#This Row],[33 kV Total Export (KWH)]]/RD[[#This Row],[Inv Total Gneration (MWh)]]-1,"")</f>
        <v/>
      </c>
      <c r="BM177" s="63">
        <f>IFERROR((RD[[#This Row],[Sunset Time (POA&lt;20 W/m2)]]-RD[[#This Row],[Sunrise Time (POA&gt;20 W/m2)]])*24,0)</f>
        <v>0</v>
      </c>
      <c r="BN177" s="64">
        <f>SUM(RD[[#This Row],[33kV_OG1_O2RE9_Energy (KWh)]],RD[[#This Row],[33kV_OG2_O2RE19_Energy (KWh)]])</f>
        <v>0</v>
      </c>
      <c r="BO177" s="64">
        <f>IFERROR(RD[[#This Row],[ Export (33 kV)]]*(1-RD[[#This Row],[33 kV Line Loss (%)]]),RD[[#This Row],[ Export (33 kV)]])</f>
        <v>0</v>
      </c>
      <c r="BP177" s="121"/>
      <c r="BQ177" s="121"/>
      <c r="BR177" s="121"/>
      <c r="BS177" t="str">
        <f>IFERROR(RD[[#This Row],[E_AC (WPR)]]/RD[[#This Row],[E_DC (WPR)]],"")</f>
        <v/>
      </c>
    </row>
    <row r="178" spans="1:71">
      <c r="A178" s="147">
        <f t="shared" si="73"/>
        <v>46012</v>
      </c>
      <c r="B178" s="150">
        <f>YEAR(RD[[#This Row],[Date]])+IF(MONTH(RD[[#This Row],[Date]])&gt;=4,1,0)</f>
        <v>2026</v>
      </c>
      <c r="C178" s="150">
        <f>YEAR(RD[[#This Row],[Date]])</f>
        <v>2025</v>
      </c>
      <c r="D178" s="65">
        <f t="shared" si="72"/>
        <v>45992</v>
      </c>
      <c r="E178" s="150">
        <f>DAY(EOMONTH(RD[[#This Row],[Date]],0))</f>
        <v>31</v>
      </c>
      <c r="F178" s="121"/>
      <c r="G178" s="121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68"/>
      <c r="AF178" s="168"/>
      <c r="AG178" s="168"/>
      <c r="AH178" s="168"/>
      <c r="AI178" s="168"/>
      <c r="AJ178" s="168"/>
      <c r="AK178" s="168"/>
      <c r="AL178" s="168"/>
      <c r="AM178" s="68"/>
      <c r="AN178" s="68"/>
      <c r="AO178" s="68"/>
      <c r="AP178" s="68"/>
      <c r="AQ178" s="68"/>
      <c r="AR178" s="68"/>
      <c r="AS178" s="68"/>
      <c r="AT178" s="68"/>
      <c r="AU178" s="69">
        <f>SUM(RD[[#This Row],[IS2Inv1M1]:[IS4Inv1M3]])</f>
        <v>0</v>
      </c>
      <c r="AV178" s="69">
        <f>SUM(RD[[#This Row],[IS5Inv1M1]:[IS5Inv2M3]])</f>
        <v>0</v>
      </c>
      <c r="AW178" s="69">
        <f>SUM(RD[[#This Row],[O2RE9]:[O2RE192]])</f>
        <v>0</v>
      </c>
      <c r="AX178" s="152"/>
      <c r="AY178" s="152"/>
      <c r="AZ178" s="152"/>
      <c r="BA178" s="152"/>
      <c r="BB178" s="152"/>
      <c r="BC178" s="152"/>
      <c r="BD178" s="153" t="str">
        <f>IF((RD[[#This Row],[33 kV_F1_Ex (O2RE9)]]-AX177)*150000&lt;=0,"",(RD[[#This Row],[33 kV_F1_Ex (O2RE9)]]-AX177)*150000)</f>
        <v/>
      </c>
      <c r="BE178" s="153">
        <f>IF((RD[[#This Row],[33kV_OG1_Ex (O2RE9)]]-AY177)*1000&lt;=0,0,(RD[[#This Row],[33kV_OG1_Ex (O2RE9)]]-AY177)*1000)</f>
        <v>0</v>
      </c>
      <c r="BF178" s="153"/>
      <c r="BG178" s="153" t="str">
        <f>IF((RD[[#This Row],[33 kV_F2_Ex (O2RE19)]]-BA177)*150000&lt;=0,"",(RD[[#This Row],[33 kV_F2_Ex (O2RE19)]]-BA177)*150000)</f>
        <v/>
      </c>
      <c r="BH178" s="153">
        <f>IF((RD[[#This Row],[33kV_OG2_Ex (O2RE19)]]-BB177)*1000&lt;=0,0,(RD[[#This Row],[33kV_OG2_Ex (O2RE19)]]-BB177)*1000)</f>
        <v>0</v>
      </c>
      <c r="BI178" s="153">
        <f>IF((RD[[#This Row],[33kV_Aux2_Im (O2RE19)]]-BC177)*1000&lt;0,"",(RD[[#This Row],[33kV_Aux2_Im (O2RE19)]]-BC177)*1000)</f>
        <v>0</v>
      </c>
      <c r="BJ178" s="153">
        <f>IF((RD[[#This Row],[33kV_Aux1_Im (O2RE9)]]-AZ177)*1000&lt;0,"",(RD[[#This Row],[33kV_Aux1_Im (O2RE9)]]-AZ177)*1000)</f>
        <v>0</v>
      </c>
      <c r="BK178" s="153">
        <f>SUM(RD[[#This Row],[33kV_OG1_O2RE9_Energy (KWh)]],RD[[#This Row],[33kV_OG2_O2RE19_Energy (KWh)]])</f>
        <v>0</v>
      </c>
      <c r="BL178" s="62" t="str">
        <f>IFERROR(RD[[#This Row],[33 kV Total Export (KWH)]]/RD[[#This Row],[Inv Total Gneration (MWh)]]-1,"")</f>
        <v/>
      </c>
      <c r="BM178" s="63">
        <f>IFERROR((RD[[#This Row],[Sunset Time (POA&lt;20 W/m2)]]-RD[[#This Row],[Sunrise Time (POA&gt;20 W/m2)]])*24,0)</f>
        <v>0</v>
      </c>
      <c r="BN178" s="64">
        <f>SUM(RD[[#This Row],[33kV_OG1_O2RE9_Energy (KWh)]],RD[[#This Row],[33kV_OG2_O2RE19_Energy (KWh)]])</f>
        <v>0</v>
      </c>
      <c r="BO178" s="64">
        <f>IFERROR(RD[[#This Row],[ Export (33 kV)]]*(1-RD[[#This Row],[33 kV Line Loss (%)]]),RD[[#This Row],[ Export (33 kV)]])</f>
        <v>0</v>
      </c>
      <c r="BP178" s="121"/>
      <c r="BQ178" s="121"/>
      <c r="BR178" s="121"/>
      <c r="BS178" t="str">
        <f>IFERROR(RD[[#This Row],[E_AC (WPR)]]/RD[[#This Row],[E_DC (WPR)]],"")</f>
        <v/>
      </c>
    </row>
    <row r="179" spans="1:71">
      <c r="A179" s="147">
        <f t="shared" si="73"/>
        <v>46013</v>
      </c>
      <c r="B179" s="150">
        <f>YEAR(RD[[#This Row],[Date]])+IF(MONTH(RD[[#This Row],[Date]])&gt;=4,1,0)</f>
        <v>2026</v>
      </c>
      <c r="C179" s="150">
        <f>YEAR(RD[[#This Row],[Date]])</f>
        <v>2025</v>
      </c>
      <c r="D179" s="65">
        <f t="shared" si="72"/>
        <v>45992</v>
      </c>
      <c r="E179" s="150">
        <f>DAY(EOMONTH(RD[[#This Row],[Date]],0))</f>
        <v>31</v>
      </c>
      <c r="F179" s="121"/>
      <c r="G179" s="121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68"/>
      <c r="AF179" s="168"/>
      <c r="AG179" s="168"/>
      <c r="AH179" s="168"/>
      <c r="AI179" s="168"/>
      <c r="AJ179" s="168"/>
      <c r="AK179" s="168"/>
      <c r="AL179" s="168"/>
      <c r="AM179" s="68"/>
      <c r="AN179" s="68"/>
      <c r="AO179" s="68"/>
      <c r="AP179" s="68"/>
      <c r="AQ179" s="68"/>
      <c r="AR179" s="68"/>
      <c r="AS179" s="68"/>
      <c r="AT179" s="68"/>
      <c r="AU179" s="69">
        <f>SUM(RD[[#This Row],[IS2Inv1M1]:[IS4Inv1M3]])</f>
        <v>0</v>
      </c>
      <c r="AV179" s="69">
        <f>SUM(RD[[#This Row],[IS5Inv1M1]:[IS5Inv2M3]])</f>
        <v>0</v>
      </c>
      <c r="AW179" s="69">
        <f>SUM(RD[[#This Row],[O2RE9]:[O2RE192]])</f>
        <v>0</v>
      </c>
      <c r="AX179" s="152"/>
      <c r="AY179" s="152"/>
      <c r="AZ179" s="152"/>
      <c r="BA179" s="152"/>
      <c r="BB179" s="152"/>
      <c r="BC179" s="152"/>
      <c r="BD179" s="153" t="str">
        <f>IF((RD[[#This Row],[33 kV_F1_Ex (O2RE9)]]-AX178)*150000&lt;=0,"",(RD[[#This Row],[33 kV_F1_Ex (O2RE9)]]-AX178)*150000)</f>
        <v/>
      </c>
      <c r="BE179" s="153">
        <f>IF((RD[[#This Row],[33kV_OG1_Ex (O2RE9)]]-AY178)*1000&lt;=0,0,(RD[[#This Row],[33kV_OG1_Ex (O2RE9)]]-AY178)*1000)</f>
        <v>0</v>
      </c>
      <c r="BF179" s="153"/>
      <c r="BG179" s="153" t="str">
        <f>IF((RD[[#This Row],[33 kV_F2_Ex (O2RE19)]]-BA178)*150000&lt;=0,"",(RD[[#This Row],[33 kV_F2_Ex (O2RE19)]]-BA178)*150000)</f>
        <v/>
      </c>
      <c r="BH179" s="153">
        <f>IF((RD[[#This Row],[33kV_OG2_Ex (O2RE19)]]-BB178)*1000&lt;=0,0,(RD[[#This Row],[33kV_OG2_Ex (O2RE19)]]-BB178)*1000)</f>
        <v>0</v>
      </c>
      <c r="BI179" s="153">
        <f>IF((RD[[#This Row],[33kV_Aux2_Im (O2RE19)]]-BC178)*1000&lt;0,"",(RD[[#This Row],[33kV_Aux2_Im (O2RE19)]]-BC178)*1000)</f>
        <v>0</v>
      </c>
      <c r="BJ179" s="153">
        <f>IF((RD[[#This Row],[33kV_Aux1_Im (O2RE9)]]-AZ178)*1000&lt;0,"",(RD[[#This Row],[33kV_Aux1_Im (O2RE9)]]-AZ178)*1000)</f>
        <v>0</v>
      </c>
      <c r="BK179" s="153">
        <f>SUM(RD[[#This Row],[33kV_OG1_O2RE9_Energy (KWh)]],RD[[#This Row],[33kV_OG2_O2RE19_Energy (KWh)]])</f>
        <v>0</v>
      </c>
      <c r="BL179" s="62" t="str">
        <f>IFERROR(RD[[#This Row],[33 kV Total Export (KWH)]]/RD[[#This Row],[Inv Total Gneration (MWh)]]-1,"")</f>
        <v/>
      </c>
      <c r="BM179" s="63">
        <f>IFERROR((RD[[#This Row],[Sunset Time (POA&lt;20 W/m2)]]-RD[[#This Row],[Sunrise Time (POA&gt;20 W/m2)]])*24,0)</f>
        <v>0</v>
      </c>
      <c r="BN179" s="64">
        <f>SUM(RD[[#This Row],[33kV_OG1_O2RE9_Energy (KWh)]],RD[[#This Row],[33kV_OG2_O2RE19_Energy (KWh)]])</f>
        <v>0</v>
      </c>
      <c r="BO179" s="64">
        <f>IFERROR(RD[[#This Row],[ Export (33 kV)]]*(1-RD[[#This Row],[33 kV Line Loss (%)]]),RD[[#This Row],[ Export (33 kV)]])</f>
        <v>0</v>
      </c>
      <c r="BP179" s="121"/>
      <c r="BQ179" s="121"/>
      <c r="BR179" s="121"/>
      <c r="BS179" t="str">
        <f>IFERROR(RD[[#This Row],[E_AC (WPR)]]/RD[[#This Row],[E_DC (WPR)]],"")</f>
        <v/>
      </c>
    </row>
    <row r="180" spans="1:71">
      <c r="A180" s="147">
        <f t="shared" si="73"/>
        <v>46014</v>
      </c>
      <c r="B180" s="150">
        <f>YEAR(RD[[#This Row],[Date]])+IF(MONTH(RD[[#This Row],[Date]])&gt;=4,1,0)</f>
        <v>2026</v>
      </c>
      <c r="C180" s="150">
        <f>YEAR(RD[[#This Row],[Date]])</f>
        <v>2025</v>
      </c>
      <c r="D180" s="65">
        <f t="shared" si="72"/>
        <v>45992</v>
      </c>
      <c r="E180" s="150">
        <f>DAY(EOMONTH(RD[[#This Row],[Date]],0))</f>
        <v>31</v>
      </c>
      <c r="F180" s="121"/>
      <c r="G180" s="121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68"/>
      <c r="AF180" s="168"/>
      <c r="AG180" s="168"/>
      <c r="AH180" s="168"/>
      <c r="AI180" s="168"/>
      <c r="AJ180" s="168"/>
      <c r="AK180" s="168"/>
      <c r="AL180" s="168"/>
      <c r="AM180" s="68"/>
      <c r="AN180" s="68"/>
      <c r="AO180" s="68"/>
      <c r="AP180" s="68"/>
      <c r="AQ180" s="68"/>
      <c r="AR180" s="68"/>
      <c r="AS180" s="68"/>
      <c r="AT180" s="68"/>
      <c r="AU180" s="69">
        <f>SUM(RD[[#This Row],[IS2Inv1M1]:[IS4Inv1M3]])</f>
        <v>0</v>
      </c>
      <c r="AV180" s="69">
        <f>SUM(RD[[#This Row],[IS5Inv1M1]:[IS5Inv2M3]])</f>
        <v>0</v>
      </c>
      <c r="AW180" s="69">
        <f>SUM(RD[[#This Row],[O2RE9]:[O2RE192]])</f>
        <v>0</v>
      </c>
      <c r="AX180" s="152"/>
      <c r="AY180" s="152"/>
      <c r="AZ180" s="152"/>
      <c r="BA180" s="152"/>
      <c r="BB180" s="152"/>
      <c r="BC180" s="152"/>
      <c r="BD180" s="153" t="str">
        <f>IF((RD[[#This Row],[33 kV_F1_Ex (O2RE9)]]-AX179)*150000&lt;=0,"",(RD[[#This Row],[33 kV_F1_Ex (O2RE9)]]-AX179)*150000)</f>
        <v/>
      </c>
      <c r="BE180" s="153">
        <f>IF((RD[[#This Row],[33kV_OG1_Ex (O2RE9)]]-AY179)*1000&lt;=0,0,(RD[[#This Row],[33kV_OG1_Ex (O2RE9)]]-AY179)*1000)</f>
        <v>0</v>
      </c>
      <c r="BF180" s="153"/>
      <c r="BG180" s="153" t="str">
        <f>IF((RD[[#This Row],[33 kV_F2_Ex (O2RE19)]]-BA179)*150000&lt;=0,"",(RD[[#This Row],[33 kV_F2_Ex (O2RE19)]]-BA179)*150000)</f>
        <v/>
      </c>
      <c r="BH180" s="153">
        <f>IF((RD[[#This Row],[33kV_OG2_Ex (O2RE19)]]-BB179)*1000&lt;=0,0,(RD[[#This Row],[33kV_OG2_Ex (O2RE19)]]-BB179)*1000)</f>
        <v>0</v>
      </c>
      <c r="BI180" s="153">
        <f>IF((RD[[#This Row],[33kV_Aux2_Im (O2RE19)]]-BC179)*1000&lt;0,"",(RD[[#This Row],[33kV_Aux2_Im (O2RE19)]]-BC179)*1000)</f>
        <v>0</v>
      </c>
      <c r="BJ180" s="153">
        <f>IF((RD[[#This Row],[33kV_Aux1_Im (O2RE9)]]-AZ179)*1000&lt;0,"",(RD[[#This Row],[33kV_Aux1_Im (O2RE9)]]-AZ179)*1000)</f>
        <v>0</v>
      </c>
      <c r="BK180" s="153">
        <f>SUM(RD[[#This Row],[33kV_OG1_O2RE9_Energy (KWh)]],RD[[#This Row],[33kV_OG2_O2RE19_Energy (KWh)]])</f>
        <v>0</v>
      </c>
      <c r="BL180" s="62" t="str">
        <f>IFERROR(RD[[#This Row],[33 kV Total Export (KWH)]]/RD[[#This Row],[Inv Total Gneration (MWh)]]-1,"")</f>
        <v/>
      </c>
      <c r="BM180" s="63">
        <f>IFERROR((RD[[#This Row],[Sunset Time (POA&lt;20 W/m2)]]-RD[[#This Row],[Sunrise Time (POA&gt;20 W/m2)]])*24,0)</f>
        <v>0</v>
      </c>
      <c r="BN180" s="64">
        <f>SUM(RD[[#This Row],[33kV_OG1_O2RE9_Energy (KWh)]],RD[[#This Row],[33kV_OG2_O2RE19_Energy (KWh)]])</f>
        <v>0</v>
      </c>
      <c r="BO180" s="64">
        <f>IFERROR(RD[[#This Row],[ Export (33 kV)]]*(1-RD[[#This Row],[33 kV Line Loss (%)]]),RD[[#This Row],[ Export (33 kV)]])</f>
        <v>0</v>
      </c>
      <c r="BP180" s="121"/>
      <c r="BQ180" s="121"/>
      <c r="BR180" s="121"/>
      <c r="BS180" t="str">
        <f>IFERROR(RD[[#This Row],[E_AC (WPR)]]/RD[[#This Row],[E_DC (WPR)]],"")</f>
        <v/>
      </c>
    </row>
    <row r="181" spans="1:71">
      <c r="A181" s="147">
        <f t="shared" si="73"/>
        <v>46015</v>
      </c>
      <c r="B181" s="150">
        <f>YEAR(RD[[#This Row],[Date]])+IF(MONTH(RD[[#This Row],[Date]])&gt;=4,1,0)</f>
        <v>2026</v>
      </c>
      <c r="C181" s="150">
        <f>YEAR(RD[[#This Row],[Date]])</f>
        <v>2025</v>
      </c>
      <c r="D181" s="65">
        <f t="shared" si="72"/>
        <v>45992</v>
      </c>
      <c r="E181" s="150">
        <f>DAY(EOMONTH(RD[[#This Row],[Date]],0))</f>
        <v>31</v>
      </c>
      <c r="F181" s="121"/>
      <c r="G181" s="121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68"/>
      <c r="AF181" s="168"/>
      <c r="AG181" s="168"/>
      <c r="AH181" s="168"/>
      <c r="AI181" s="168"/>
      <c r="AJ181" s="168"/>
      <c r="AK181" s="168"/>
      <c r="AL181" s="168"/>
      <c r="AM181" s="68"/>
      <c r="AN181" s="68"/>
      <c r="AO181" s="68"/>
      <c r="AP181" s="68"/>
      <c r="AQ181" s="68"/>
      <c r="AR181" s="68"/>
      <c r="AS181" s="68"/>
      <c r="AT181" s="68"/>
      <c r="AU181" s="69">
        <f>SUM(RD[[#This Row],[IS2Inv1M1]:[IS4Inv1M3]])</f>
        <v>0</v>
      </c>
      <c r="AV181" s="69">
        <f>SUM(RD[[#This Row],[IS5Inv1M1]:[IS5Inv2M3]])</f>
        <v>0</v>
      </c>
      <c r="AW181" s="69">
        <f>SUM(RD[[#This Row],[O2RE9]:[O2RE192]])</f>
        <v>0</v>
      </c>
      <c r="AX181" s="152"/>
      <c r="AY181" s="152"/>
      <c r="AZ181" s="152"/>
      <c r="BA181" s="152"/>
      <c r="BB181" s="152"/>
      <c r="BC181" s="152"/>
      <c r="BD181" s="153" t="str">
        <f>IF((RD[[#This Row],[33 kV_F1_Ex (O2RE9)]]-AX180)*150000&lt;=0,"",(RD[[#This Row],[33 kV_F1_Ex (O2RE9)]]-AX180)*150000)</f>
        <v/>
      </c>
      <c r="BE181" s="153">
        <f>IF((RD[[#This Row],[33kV_OG1_Ex (O2RE9)]]-AY180)*1000&lt;=0,0,(RD[[#This Row],[33kV_OG1_Ex (O2RE9)]]-AY180)*1000)</f>
        <v>0</v>
      </c>
      <c r="BF181" s="153"/>
      <c r="BG181" s="153" t="str">
        <f>IF((RD[[#This Row],[33 kV_F2_Ex (O2RE19)]]-BA180)*150000&lt;=0,"",(RD[[#This Row],[33 kV_F2_Ex (O2RE19)]]-BA180)*150000)</f>
        <v/>
      </c>
      <c r="BH181" s="153">
        <f>IF((RD[[#This Row],[33kV_OG2_Ex (O2RE19)]]-BB180)*1000&lt;=0,0,(RD[[#This Row],[33kV_OG2_Ex (O2RE19)]]-BB180)*1000)</f>
        <v>0</v>
      </c>
      <c r="BI181" s="153">
        <f>IF((RD[[#This Row],[33kV_Aux2_Im (O2RE19)]]-BC180)*1000&lt;0,"",(RD[[#This Row],[33kV_Aux2_Im (O2RE19)]]-BC180)*1000)</f>
        <v>0</v>
      </c>
      <c r="BJ181" s="153">
        <f>IF((RD[[#This Row],[33kV_Aux1_Im (O2RE9)]]-AZ180)*1000&lt;0,"",(RD[[#This Row],[33kV_Aux1_Im (O2RE9)]]-AZ180)*1000)</f>
        <v>0</v>
      </c>
      <c r="BK181" s="153">
        <f>SUM(RD[[#This Row],[33kV_OG1_O2RE9_Energy (KWh)]],RD[[#This Row],[33kV_OG2_O2RE19_Energy (KWh)]])</f>
        <v>0</v>
      </c>
      <c r="BL181" s="62" t="str">
        <f>IFERROR(RD[[#This Row],[33 kV Total Export (KWH)]]/RD[[#This Row],[Inv Total Gneration (MWh)]]-1,"")</f>
        <v/>
      </c>
      <c r="BM181" s="63">
        <f>IFERROR((RD[[#This Row],[Sunset Time (POA&lt;20 W/m2)]]-RD[[#This Row],[Sunrise Time (POA&gt;20 W/m2)]])*24,0)</f>
        <v>0</v>
      </c>
      <c r="BN181" s="64">
        <f>SUM(RD[[#This Row],[33kV_OG1_O2RE9_Energy (KWh)]],RD[[#This Row],[33kV_OG2_O2RE19_Energy (KWh)]])</f>
        <v>0</v>
      </c>
      <c r="BO181" s="64">
        <f>IFERROR(RD[[#This Row],[ Export (33 kV)]]*(1-RD[[#This Row],[33 kV Line Loss (%)]]),RD[[#This Row],[ Export (33 kV)]])</f>
        <v>0</v>
      </c>
      <c r="BP181" s="121"/>
      <c r="BQ181" s="121"/>
      <c r="BR181" s="121"/>
      <c r="BS181" t="str">
        <f>IFERROR(RD[[#This Row],[E_AC (WPR)]]/RD[[#This Row],[E_DC (WPR)]],"")</f>
        <v/>
      </c>
    </row>
    <row r="182" spans="1:71">
      <c r="A182" s="147">
        <f t="shared" si="73"/>
        <v>46016</v>
      </c>
      <c r="B182" s="150">
        <f>YEAR(RD[[#This Row],[Date]])+IF(MONTH(RD[[#This Row],[Date]])&gt;=4,1,0)</f>
        <v>2026</v>
      </c>
      <c r="C182" s="150">
        <f>YEAR(RD[[#This Row],[Date]])</f>
        <v>2025</v>
      </c>
      <c r="D182" s="65">
        <f t="shared" si="72"/>
        <v>45992</v>
      </c>
      <c r="E182" s="150">
        <f>DAY(EOMONTH(RD[[#This Row],[Date]],0))</f>
        <v>31</v>
      </c>
      <c r="F182" s="121"/>
      <c r="G182" s="121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68"/>
      <c r="AF182" s="168"/>
      <c r="AG182" s="168"/>
      <c r="AH182" s="168"/>
      <c r="AI182" s="168"/>
      <c r="AJ182" s="168"/>
      <c r="AK182" s="168"/>
      <c r="AL182" s="168"/>
      <c r="AM182" s="68"/>
      <c r="AN182" s="68"/>
      <c r="AO182" s="68"/>
      <c r="AP182" s="68"/>
      <c r="AQ182" s="68"/>
      <c r="AR182" s="68"/>
      <c r="AS182" s="68"/>
      <c r="AT182" s="68"/>
      <c r="AU182" s="69">
        <f>SUM(RD[[#This Row],[IS2Inv1M1]:[IS4Inv1M3]])</f>
        <v>0</v>
      </c>
      <c r="AV182" s="69">
        <f>SUM(RD[[#This Row],[IS5Inv1M1]:[IS5Inv2M3]])</f>
        <v>0</v>
      </c>
      <c r="AW182" s="69">
        <f>SUM(RD[[#This Row],[O2RE9]:[O2RE192]])</f>
        <v>0</v>
      </c>
      <c r="AX182" s="152"/>
      <c r="AY182" s="152"/>
      <c r="AZ182" s="152"/>
      <c r="BA182" s="152"/>
      <c r="BB182" s="152"/>
      <c r="BC182" s="152"/>
      <c r="BD182" s="153" t="str">
        <f>IF((RD[[#This Row],[33 kV_F1_Ex (O2RE9)]]-AX181)*150000&lt;=0,"",(RD[[#This Row],[33 kV_F1_Ex (O2RE9)]]-AX181)*150000)</f>
        <v/>
      </c>
      <c r="BE182" s="153">
        <f>IF((RD[[#This Row],[33kV_OG1_Ex (O2RE9)]]-AY181)*1000&lt;=0,0,(RD[[#This Row],[33kV_OG1_Ex (O2RE9)]]-AY181)*1000)</f>
        <v>0</v>
      </c>
      <c r="BF182" s="153"/>
      <c r="BG182" s="153" t="str">
        <f>IF((RD[[#This Row],[33 kV_F2_Ex (O2RE19)]]-BA181)*150000&lt;=0,"",(RD[[#This Row],[33 kV_F2_Ex (O2RE19)]]-BA181)*150000)</f>
        <v/>
      </c>
      <c r="BH182" s="153">
        <f>IF((RD[[#This Row],[33kV_OG2_Ex (O2RE19)]]-BB181)*1000&lt;=0,0,(RD[[#This Row],[33kV_OG2_Ex (O2RE19)]]-BB181)*1000)</f>
        <v>0</v>
      </c>
      <c r="BI182" s="153">
        <f>IF((RD[[#This Row],[33kV_Aux2_Im (O2RE19)]]-BC181)*1000&lt;0,"",(RD[[#This Row],[33kV_Aux2_Im (O2RE19)]]-BC181)*1000)</f>
        <v>0</v>
      </c>
      <c r="BJ182" s="153">
        <f>IF((RD[[#This Row],[33kV_Aux1_Im (O2RE9)]]-AZ181)*1000&lt;0,"",(RD[[#This Row],[33kV_Aux1_Im (O2RE9)]]-AZ181)*1000)</f>
        <v>0</v>
      </c>
      <c r="BK182" s="153">
        <f>SUM(RD[[#This Row],[33kV_OG1_O2RE9_Energy (KWh)]],RD[[#This Row],[33kV_OG2_O2RE19_Energy (KWh)]])</f>
        <v>0</v>
      </c>
      <c r="BL182" s="62" t="str">
        <f>IFERROR(RD[[#This Row],[33 kV Total Export (KWH)]]/RD[[#This Row],[Inv Total Gneration (MWh)]]-1,"")</f>
        <v/>
      </c>
      <c r="BM182" s="63">
        <f>IFERROR((RD[[#This Row],[Sunset Time (POA&lt;20 W/m2)]]-RD[[#This Row],[Sunrise Time (POA&gt;20 W/m2)]])*24,0)</f>
        <v>0</v>
      </c>
      <c r="BN182" s="64">
        <f>SUM(RD[[#This Row],[33kV_OG1_O2RE9_Energy (KWh)]],RD[[#This Row],[33kV_OG2_O2RE19_Energy (KWh)]])</f>
        <v>0</v>
      </c>
      <c r="BO182" s="64">
        <f>IFERROR(RD[[#This Row],[ Export (33 kV)]]*(1-RD[[#This Row],[33 kV Line Loss (%)]]),RD[[#This Row],[ Export (33 kV)]])</f>
        <v>0</v>
      </c>
      <c r="BP182" s="121"/>
      <c r="BQ182" s="121"/>
      <c r="BR182" s="121"/>
      <c r="BS182" t="str">
        <f>IFERROR(RD[[#This Row],[E_AC (WPR)]]/RD[[#This Row],[E_DC (WPR)]],"")</f>
        <v/>
      </c>
    </row>
    <row r="183" spans="1:71">
      <c r="A183" s="147">
        <f t="shared" si="73"/>
        <v>46017</v>
      </c>
      <c r="B183" s="150">
        <f>YEAR(RD[[#This Row],[Date]])+IF(MONTH(RD[[#This Row],[Date]])&gt;=4,1,0)</f>
        <v>2026</v>
      </c>
      <c r="C183" s="150">
        <f>YEAR(RD[[#This Row],[Date]])</f>
        <v>2025</v>
      </c>
      <c r="D183" s="65">
        <f t="shared" si="72"/>
        <v>45992</v>
      </c>
      <c r="E183" s="150">
        <f>DAY(EOMONTH(RD[[#This Row],[Date]],0))</f>
        <v>31</v>
      </c>
      <c r="F183" s="121"/>
      <c r="G183" s="121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68"/>
      <c r="AF183" s="168"/>
      <c r="AG183" s="168"/>
      <c r="AH183" s="168"/>
      <c r="AI183" s="168"/>
      <c r="AJ183" s="168"/>
      <c r="AK183" s="168"/>
      <c r="AL183" s="168"/>
      <c r="AM183" s="68"/>
      <c r="AN183" s="68"/>
      <c r="AO183" s="68"/>
      <c r="AP183" s="68"/>
      <c r="AQ183" s="68"/>
      <c r="AR183" s="68"/>
      <c r="AS183" s="68"/>
      <c r="AT183" s="68"/>
      <c r="AU183" s="69">
        <f>SUM(RD[[#This Row],[IS2Inv1M1]:[IS4Inv1M3]])</f>
        <v>0</v>
      </c>
      <c r="AV183" s="69">
        <f>SUM(RD[[#This Row],[IS5Inv1M1]:[IS5Inv2M3]])</f>
        <v>0</v>
      </c>
      <c r="AW183" s="69">
        <f>SUM(RD[[#This Row],[O2RE9]:[O2RE192]])</f>
        <v>0</v>
      </c>
      <c r="AX183" s="152"/>
      <c r="AY183" s="152"/>
      <c r="AZ183" s="152"/>
      <c r="BA183" s="152"/>
      <c r="BB183" s="152"/>
      <c r="BC183" s="152"/>
      <c r="BD183" s="153" t="str">
        <f>IF((RD[[#This Row],[33 kV_F1_Ex (O2RE9)]]-AX182)*150000&lt;=0,"",(RD[[#This Row],[33 kV_F1_Ex (O2RE9)]]-AX182)*150000)</f>
        <v/>
      </c>
      <c r="BE183" s="153">
        <f>IF((RD[[#This Row],[33kV_OG1_Ex (O2RE9)]]-AY182)*1000&lt;=0,0,(RD[[#This Row],[33kV_OG1_Ex (O2RE9)]]-AY182)*1000)</f>
        <v>0</v>
      </c>
      <c r="BF183" s="153"/>
      <c r="BG183" s="153" t="str">
        <f>IF((RD[[#This Row],[33 kV_F2_Ex (O2RE19)]]-BA182)*150000&lt;=0,"",(RD[[#This Row],[33 kV_F2_Ex (O2RE19)]]-BA182)*150000)</f>
        <v/>
      </c>
      <c r="BH183" s="153">
        <f>IF((RD[[#This Row],[33kV_OG2_Ex (O2RE19)]]-BB182)*1000&lt;=0,0,(RD[[#This Row],[33kV_OG2_Ex (O2RE19)]]-BB182)*1000)</f>
        <v>0</v>
      </c>
      <c r="BI183" s="153">
        <f>IF((RD[[#This Row],[33kV_Aux2_Im (O2RE19)]]-BC182)*1000&lt;0,"",(RD[[#This Row],[33kV_Aux2_Im (O2RE19)]]-BC182)*1000)</f>
        <v>0</v>
      </c>
      <c r="BJ183" s="153">
        <f>IF((RD[[#This Row],[33kV_Aux1_Im (O2RE9)]]-AZ182)*1000&lt;0,"",(RD[[#This Row],[33kV_Aux1_Im (O2RE9)]]-AZ182)*1000)</f>
        <v>0</v>
      </c>
      <c r="BK183" s="153">
        <f>SUM(RD[[#This Row],[33kV_OG1_O2RE9_Energy (KWh)]],RD[[#This Row],[33kV_OG2_O2RE19_Energy (KWh)]])</f>
        <v>0</v>
      </c>
      <c r="BL183" s="62" t="str">
        <f>IFERROR(RD[[#This Row],[33 kV Total Export (KWH)]]/RD[[#This Row],[Inv Total Gneration (MWh)]]-1,"")</f>
        <v/>
      </c>
      <c r="BM183" s="63">
        <f>IFERROR((RD[[#This Row],[Sunset Time (POA&lt;20 W/m2)]]-RD[[#This Row],[Sunrise Time (POA&gt;20 W/m2)]])*24,0)</f>
        <v>0</v>
      </c>
      <c r="BN183" s="64">
        <f>SUM(RD[[#This Row],[33kV_OG1_O2RE9_Energy (KWh)]],RD[[#This Row],[33kV_OG2_O2RE19_Energy (KWh)]])</f>
        <v>0</v>
      </c>
      <c r="BO183" s="64">
        <f>IFERROR(RD[[#This Row],[ Export (33 kV)]]*(1-RD[[#This Row],[33 kV Line Loss (%)]]),RD[[#This Row],[ Export (33 kV)]])</f>
        <v>0</v>
      </c>
      <c r="BP183" s="121"/>
      <c r="BQ183" s="121"/>
      <c r="BR183" s="121"/>
      <c r="BS183" t="str">
        <f>IFERROR(RD[[#This Row],[E_AC (WPR)]]/RD[[#This Row],[E_DC (WPR)]],"")</f>
        <v/>
      </c>
    </row>
    <row r="184" spans="1:71">
      <c r="A184" s="147">
        <f t="shared" si="73"/>
        <v>46018</v>
      </c>
      <c r="B184" s="150">
        <f>YEAR(RD[[#This Row],[Date]])+IF(MONTH(RD[[#This Row],[Date]])&gt;=4,1,0)</f>
        <v>2026</v>
      </c>
      <c r="C184" s="150">
        <f>YEAR(RD[[#This Row],[Date]])</f>
        <v>2025</v>
      </c>
      <c r="D184" s="65">
        <f t="shared" si="72"/>
        <v>45992</v>
      </c>
      <c r="E184" s="150">
        <f>DAY(EOMONTH(RD[[#This Row],[Date]],0))</f>
        <v>31</v>
      </c>
      <c r="F184" s="121"/>
      <c r="G184" s="121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68"/>
      <c r="AF184" s="168"/>
      <c r="AG184" s="168"/>
      <c r="AH184" s="168"/>
      <c r="AI184" s="168"/>
      <c r="AJ184" s="168"/>
      <c r="AK184" s="168"/>
      <c r="AL184" s="168"/>
      <c r="AM184" s="68"/>
      <c r="AN184" s="68"/>
      <c r="AO184" s="68"/>
      <c r="AP184" s="68"/>
      <c r="AQ184" s="68"/>
      <c r="AR184" s="68"/>
      <c r="AS184" s="68"/>
      <c r="AT184" s="68"/>
      <c r="AU184" s="69">
        <f>SUM(RD[[#This Row],[IS2Inv1M1]:[IS4Inv1M3]])</f>
        <v>0</v>
      </c>
      <c r="AV184" s="69">
        <f>SUM(RD[[#This Row],[IS5Inv1M1]:[IS5Inv2M3]])</f>
        <v>0</v>
      </c>
      <c r="AW184" s="69">
        <f>SUM(RD[[#This Row],[O2RE9]:[O2RE192]])</f>
        <v>0</v>
      </c>
      <c r="AX184" s="152"/>
      <c r="AY184" s="152"/>
      <c r="AZ184" s="152"/>
      <c r="BA184" s="152"/>
      <c r="BB184" s="152"/>
      <c r="BC184" s="152"/>
      <c r="BD184" s="153" t="str">
        <f>IF((RD[[#This Row],[33 kV_F1_Ex (O2RE9)]]-AX183)*150000&lt;=0,"",(RD[[#This Row],[33 kV_F1_Ex (O2RE9)]]-AX183)*150000)</f>
        <v/>
      </c>
      <c r="BE184" s="153">
        <f>IF((RD[[#This Row],[33kV_OG1_Ex (O2RE9)]]-AY183)*1000&lt;=0,0,(RD[[#This Row],[33kV_OG1_Ex (O2RE9)]]-AY183)*1000)</f>
        <v>0</v>
      </c>
      <c r="BF184" s="153"/>
      <c r="BG184" s="153" t="str">
        <f>IF((RD[[#This Row],[33 kV_F2_Ex (O2RE19)]]-BA183)*150000&lt;=0,"",(RD[[#This Row],[33 kV_F2_Ex (O2RE19)]]-BA183)*150000)</f>
        <v/>
      </c>
      <c r="BH184" s="153">
        <f>IF((RD[[#This Row],[33kV_OG2_Ex (O2RE19)]]-BB183)*1000&lt;=0,0,(RD[[#This Row],[33kV_OG2_Ex (O2RE19)]]-BB183)*1000)</f>
        <v>0</v>
      </c>
      <c r="BI184" s="153">
        <f>IF((RD[[#This Row],[33kV_Aux2_Im (O2RE19)]]-BC183)*1000&lt;0,"",(RD[[#This Row],[33kV_Aux2_Im (O2RE19)]]-BC183)*1000)</f>
        <v>0</v>
      </c>
      <c r="BJ184" s="153">
        <f>IF((RD[[#This Row],[33kV_Aux1_Im (O2RE9)]]-AZ183)*1000&lt;0,"",(RD[[#This Row],[33kV_Aux1_Im (O2RE9)]]-AZ183)*1000)</f>
        <v>0</v>
      </c>
      <c r="BK184" s="153">
        <f>SUM(RD[[#This Row],[33kV_OG1_O2RE9_Energy (KWh)]],RD[[#This Row],[33kV_OG2_O2RE19_Energy (KWh)]])</f>
        <v>0</v>
      </c>
      <c r="BL184" s="62" t="str">
        <f>IFERROR(RD[[#This Row],[33 kV Total Export (KWH)]]/RD[[#This Row],[Inv Total Gneration (MWh)]]-1,"")</f>
        <v/>
      </c>
      <c r="BM184" s="63">
        <f>IFERROR((RD[[#This Row],[Sunset Time (POA&lt;20 W/m2)]]-RD[[#This Row],[Sunrise Time (POA&gt;20 W/m2)]])*24,0)</f>
        <v>0</v>
      </c>
      <c r="BN184" s="64">
        <f>SUM(RD[[#This Row],[33kV_OG1_O2RE9_Energy (KWh)]],RD[[#This Row],[33kV_OG2_O2RE19_Energy (KWh)]])</f>
        <v>0</v>
      </c>
      <c r="BO184" s="64">
        <f>IFERROR(RD[[#This Row],[ Export (33 kV)]]*(1-RD[[#This Row],[33 kV Line Loss (%)]]),RD[[#This Row],[ Export (33 kV)]])</f>
        <v>0</v>
      </c>
      <c r="BP184" s="121"/>
      <c r="BQ184" s="121"/>
      <c r="BR184" s="121"/>
      <c r="BS184" t="str">
        <f>IFERROR(RD[[#This Row],[E_AC (WPR)]]/RD[[#This Row],[E_DC (WPR)]],"")</f>
        <v/>
      </c>
    </row>
    <row r="185" spans="1:71">
      <c r="A185" s="147">
        <f t="shared" si="73"/>
        <v>46019</v>
      </c>
      <c r="B185" s="150">
        <f>YEAR(RD[[#This Row],[Date]])+IF(MONTH(RD[[#This Row],[Date]])&gt;=4,1,0)</f>
        <v>2026</v>
      </c>
      <c r="C185" s="150">
        <f>YEAR(RD[[#This Row],[Date]])</f>
        <v>2025</v>
      </c>
      <c r="D185" s="65">
        <f t="shared" si="72"/>
        <v>45992</v>
      </c>
      <c r="E185" s="150">
        <f>DAY(EOMONTH(RD[[#This Row],[Date]],0))</f>
        <v>31</v>
      </c>
      <c r="F185" s="121"/>
      <c r="G185" s="121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68"/>
      <c r="AF185" s="168"/>
      <c r="AG185" s="168"/>
      <c r="AH185" s="168"/>
      <c r="AI185" s="168"/>
      <c r="AJ185" s="168"/>
      <c r="AK185" s="168"/>
      <c r="AL185" s="168"/>
      <c r="AM185" s="68"/>
      <c r="AN185" s="68"/>
      <c r="AO185" s="68"/>
      <c r="AP185" s="68"/>
      <c r="AQ185" s="68"/>
      <c r="AR185" s="68"/>
      <c r="AS185" s="68"/>
      <c r="AT185" s="68"/>
      <c r="AU185" s="69">
        <f>SUM(RD[[#This Row],[IS2Inv1M1]:[IS4Inv1M3]])</f>
        <v>0</v>
      </c>
      <c r="AV185" s="69">
        <f>SUM(RD[[#This Row],[IS5Inv1M1]:[IS5Inv2M3]])</f>
        <v>0</v>
      </c>
      <c r="AW185" s="69">
        <f>SUM(RD[[#This Row],[O2RE9]:[O2RE192]])</f>
        <v>0</v>
      </c>
      <c r="AX185" s="152"/>
      <c r="AY185" s="152"/>
      <c r="AZ185" s="152"/>
      <c r="BA185" s="152"/>
      <c r="BB185" s="152"/>
      <c r="BC185" s="152"/>
      <c r="BD185" s="153" t="str">
        <f>IF((RD[[#This Row],[33 kV_F1_Ex (O2RE9)]]-AX184)*150000&lt;=0,"",(RD[[#This Row],[33 kV_F1_Ex (O2RE9)]]-AX184)*150000)</f>
        <v/>
      </c>
      <c r="BE185" s="153">
        <f>IF((RD[[#This Row],[33kV_OG1_Ex (O2RE9)]]-AY184)*1000&lt;=0,0,(RD[[#This Row],[33kV_OG1_Ex (O2RE9)]]-AY184)*1000)</f>
        <v>0</v>
      </c>
      <c r="BF185" s="153"/>
      <c r="BG185" s="153" t="str">
        <f>IF((RD[[#This Row],[33 kV_F2_Ex (O2RE19)]]-BA184)*150000&lt;=0,"",(RD[[#This Row],[33 kV_F2_Ex (O2RE19)]]-BA184)*150000)</f>
        <v/>
      </c>
      <c r="BH185" s="153">
        <f>IF((RD[[#This Row],[33kV_OG2_Ex (O2RE19)]]-BB184)*1000&lt;=0,0,(RD[[#This Row],[33kV_OG2_Ex (O2RE19)]]-BB184)*1000)</f>
        <v>0</v>
      </c>
      <c r="BI185" s="153">
        <f>IF((RD[[#This Row],[33kV_Aux2_Im (O2RE19)]]-BC184)*1000&lt;0,"",(RD[[#This Row],[33kV_Aux2_Im (O2RE19)]]-BC184)*1000)</f>
        <v>0</v>
      </c>
      <c r="BJ185" s="153">
        <f>IF((RD[[#This Row],[33kV_Aux1_Im (O2RE9)]]-AZ184)*1000&lt;0,"",(RD[[#This Row],[33kV_Aux1_Im (O2RE9)]]-AZ184)*1000)</f>
        <v>0</v>
      </c>
      <c r="BK185" s="153">
        <f>SUM(RD[[#This Row],[33kV_OG1_O2RE9_Energy (KWh)]],RD[[#This Row],[33kV_OG2_O2RE19_Energy (KWh)]])</f>
        <v>0</v>
      </c>
      <c r="BL185" s="62" t="str">
        <f>IFERROR(RD[[#This Row],[33 kV Total Export (KWH)]]/RD[[#This Row],[Inv Total Gneration (MWh)]]-1,"")</f>
        <v/>
      </c>
      <c r="BM185" s="63">
        <f>IFERROR((RD[[#This Row],[Sunset Time (POA&lt;20 W/m2)]]-RD[[#This Row],[Sunrise Time (POA&gt;20 W/m2)]])*24,0)</f>
        <v>0</v>
      </c>
      <c r="BN185" s="64">
        <f>SUM(RD[[#This Row],[33kV_OG1_O2RE9_Energy (KWh)]],RD[[#This Row],[33kV_OG2_O2RE19_Energy (KWh)]])</f>
        <v>0</v>
      </c>
      <c r="BO185" s="64">
        <f>IFERROR(RD[[#This Row],[ Export (33 kV)]]*(1-RD[[#This Row],[33 kV Line Loss (%)]]),RD[[#This Row],[ Export (33 kV)]])</f>
        <v>0</v>
      </c>
      <c r="BP185" s="121"/>
      <c r="BQ185" s="121"/>
      <c r="BR185" s="121"/>
      <c r="BS185" t="str">
        <f>IFERROR(RD[[#This Row],[E_AC (WPR)]]/RD[[#This Row],[E_DC (WPR)]],"")</f>
        <v/>
      </c>
    </row>
    <row r="186" spans="1:71">
      <c r="A186" s="147">
        <f t="shared" si="73"/>
        <v>46020</v>
      </c>
      <c r="B186" s="150">
        <f>YEAR(RD[[#This Row],[Date]])+IF(MONTH(RD[[#This Row],[Date]])&gt;=4,1,0)</f>
        <v>2026</v>
      </c>
      <c r="C186" s="150">
        <f>YEAR(RD[[#This Row],[Date]])</f>
        <v>2025</v>
      </c>
      <c r="D186" s="65">
        <f t="shared" si="72"/>
        <v>45992</v>
      </c>
      <c r="E186" s="150">
        <f>DAY(EOMONTH(RD[[#This Row],[Date]],0))</f>
        <v>31</v>
      </c>
      <c r="F186" s="121"/>
      <c r="G186" s="121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68"/>
      <c r="AF186" s="168"/>
      <c r="AG186" s="168"/>
      <c r="AH186" s="168"/>
      <c r="AI186" s="168"/>
      <c r="AJ186" s="168"/>
      <c r="AK186" s="168"/>
      <c r="AL186" s="168"/>
      <c r="AM186" s="68"/>
      <c r="AN186" s="68"/>
      <c r="AO186" s="68"/>
      <c r="AP186" s="68"/>
      <c r="AQ186" s="68"/>
      <c r="AR186" s="68"/>
      <c r="AS186" s="68"/>
      <c r="AT186" s="68"/>
      <c r="AU186" s="69">
        <f>SUM(RD[[#This Row],[IS2Inv1M1]:[IS4Inv1M3]])</f>
        <v>0</v>
      </c>
      <c r="AV186" s="69">
        <f>SUM(RD[[#This Row],[IS5Inv1M1]:[IS5Inv2M3]])</f>
        <v>0</v>
      </c>
      <c r="AW186" s="69">
        <f>SUM(RD[[#This Row],[O2RE9]:[O2RE192]])</f>
        <v>0</v>
      </c>
      <c r="AX186" s="152"/>
      <c r="AY186" s="152"/>
      <c r="AZ186" s="152"/>
      <c r="BA186" s="152"/>
      <c r="BB186" s="152"/>
      <c r="BC186" s="152"/>
      <c r="BD186" s="153" t="str">
        <f>IF((RD[[#This Row],[33 kV_F1_Ex (O2RE9)]]-AX185)*150000&lt;=0,"",(RD[[#This Row],[33 kV_F1_Ex (O2RE9)]]-AX185)*150000)</f>
        <v/>
      </c>
      <c r="BE186" s="153">
        <f>IF((RD[[#This Row],[33kV_OG1_Ex (O2RE9)]]-AY185)*1000&lt;=0,0,(RD[[#This Row],[33kV_OG1_Ex (O2RE9)]]-AY185)*1000)</f>
        <v>0</v>
      </c>
      <c r="BF186" s="153"/>
      <c r="BG186" s="153" t="str">
        <f>IF((RD[[#This Row],[33 kV_F2_Ex (O2RE19)]]-BA185)*150000&lt;=0,"",(RD[[#This Row],[33 kV_F2_Ex (O2RE19)]]-BA185)*150000)</f>
        <v/>
      </c>
      <c r="BH186" s="153">
        <f>IF((RD[[#This Row],[33kV_OG2_Ex (O2RE19)]]-BB185)*1000&lt;=0,0,(RD[[#This Row],[33kV_OG2_Ex (O2RE19)]]-BB185)*1000)</f>
        <v>0</v>
      </c>
      <c r="BI186" s="153">
        <f>IF((RD[[#This Row],[33kV_Aux2_Im (O2RE19)]]-BC185)*1000&lt;0,"",(RD[[#This Row],[33kV_Aux2_Im (O2RE19)]]-BC185)*1000)</f>
        <v>0</v>
      </c>
      <c r="BJ186" s="153">
        <f>IF((RD[[#This Row],[33kV_Aux1_Im (O2RE9)]]-AZ185)*1000&lt;0,"",(RD[[#This Row],[33kV_Aux1_Im (O2RE9)]]-AZ185)*1000)</f>
        <v>0</v>
      </c>
      <c r="BK186" s="153">
        <f>SUM(RD[[#This Row],[33kV_OG1_O2RE9_Energy (KWh)]],RD[[#This Row],[33kV_OG2_O2RE19_Energy (KWh)]])</f>
        <v>0</v>
      </c>
      <c r="BL186" s="62" t="str">
        <f>IFERROR(RD[[#This Row],[33 kV Total Export (KWH)]]/RD[[#This Row],[Inv Total Gneration (MWh)]]-1,"")</f>
        <v/>
      </c>
      <c r="BM186" s="63">
        <f>IFERROR((RD[[#This Row],[Sunset Time (POA&lt;20 W/m2)]]-RD[[#This Row],[Sunrise Time (POA&gt;20 W/m2)]])*24,0)</f>
        <v>0</v>
      </c>
      <c r="BN186" s="64">
        <f>SUM(RD[[#This Row],[33kV_OG1_O2RE9_Energy (KWh)]],RD[[#This Row],[33kV_OG2_O2RE19_Energy (KWh)]])</f>
        <v>0</v>
      </c>
      <c r="BO186" s="64">
        <f>IFERROR(RD[[#This Row],[ Export (33 kV)]]*(1-RD[[#This Row],[33 kV Line Loss (%)]]),RD[[#This Row],[ Export (33 kV)]])</f>
        <v>0</v>
      </c>
      <c r="BP186" s="121"/>
      <c r="BQ186" s="121"/>
      <c r="BR186" s="121"/>
      <c r="BS186" t="str">
        <f>IFERROR(RD[[#This Row],[E_AC (WPR)]]/RD[[#This Row],[E_DC (WPR)]],"")</f>
        <v/>
      </c>
    </row>
    <row r="187" spans="1:71">
      <c r="A187" s="147">
        <f t="shared" si="73"/>
        <v>46021</v>
      </c>
      <c r="B187" s="150">
        <f>YEAR(RD[[#This Row],[Date]])+IF(MONTH(RD[[#This Row],[Date]])&gt;=4,1,0)</f>
        <v>2026</v>
      </c>
      <c r="C187" s="150">
        <f>YEAR(RD[[#This Row],[Date]])</f>
        <v>2025</v>
      </c>
      <c r="D187" s="65">
        <f t="shared" si="72"/>
        <v>45992</v>
      </c>
      <c r="E187" s="150">
        <f>DAY(EOMONTH(RD[[#This Row],[Date]],0))</f>
        <v>31</v>
      </c>
      <c r="F187" s="121"/>
      <c r="G187" s="121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68"/>
      <c r="AF187" s="168"/>
      <c r="AG187" s="168"/>
      <c r="AH187" s="168"/>
      <c r="AI187" s="168"/>
      <c r="AJ187" s="168"/>
      <c r="AK187" s="168"/>
      <c r="AL187" s="168"/>
      <c r="AM187" s="68"/>
      <c r="AN187" s="68"/>
      <c r="AO187" s="68"/>
      <c r="AP187" s="68"/>
      <c r="AQ187" s="68"/>
      <c r="AR187" s="68"/>
      <c r="AS187" s="68"/>
      <c r="AT187" s="68"/>
      <c r="AU187" s="69">
        <f>SUM(RD[[#This Row],[IS2Inv1M1]:[IS4Inv1M3]])</f>
        <v>0</v>
      </c>
      <c r="AV187" s="69">
        <f>SUM(RD[[#This Row],[IS5Inv1M1]:[IS5Inv2M3]])</f>
        <v>0</v>
      </c>
      <c r="AW187" s="69">
        <f>SUM(RD[[#This Row],[O2RE9]:[O2RE192]])</f>
        <v>0</v>
      </c>
      <c r="AX187" s="152"/>
      <c r="AY187" s="152"/>
      <c r="AZ187" s="152"/>
      <c r="BA187" s="152"/>
      <c r="BB187" s="152"/>
      <c r="BC187" s="152"/>
      <c r="BD187" s="153" t="str">
        <f>IF((RD[[#This Row],[33 kV_F1_Ex (O2RE9)]]-AX186)*150000&lt;=0,"",(RD[[#This Row],[33 kV_F1_Ex (O2RE9)]]-AX186)*150000)</f>
        <v/>
      </c>
      <c r="BE187" s="153">
        <f>IF((RD[[#This Row],[33kV_OG1_Ex (O2RE9)]]-AY186)*1000&lt;=0,0,(RD[[#This Row],[33kV_OG1_Ex (O2RE9)]]-AY186)*1000)</f>
        <v>0</v>
      </c>
      <c r="BF187" s="153"/>
      <c r="BG187" s="153" t="str">
        <f>IF((RD[[#This Row],[33 kV_F2_Ex (O2RE19)]]-BA186)*150000&lt;=0,"",(RD[[#This Row],[33 kV_F2_Ex (O2RE19)]]-BA186)*150000)</f>
        <v/>
      </c>
      <c r="BH187" s="153">
        <f>IF((RD[[#This Row],[33kV_OG2_Ex (O2RE19)]]-BB186)*1000&lt;=0,0,(RD[[#This Row],[33kV_OG2_Ex (O2RE19)]]-BB186)*1000)</f>
        <v>0</v>
      </c>
      <c r="BI187" s="153">
        <f>IF((RD[[#This Row],[33kV_Aux2_Im (O2RE19)]]-BC186)*1000&lt;0,"",(RD[[#This Row],[33kV_Aux2_Im (O2RE19)]]-BC186)*1000)</f>
        <v>0</v>
      </c>
      <c r="BJ187" s="153">
        <f>IF((RD[[#This Row],[33kV_Aux1_Im (O2RE9)]]-AZ186)*1000&lt;0,"",(RD[[#This Row],[33kV_Aux1_Im (O2RE9)]]-AZ186)*1000)</f>
        <v>0</v>
      </c>
      <c r="BK187" s="153">
        <f>SUM(RD[[#This Row],[33kV_OG1_O2RE9_Energy (KWh)]],RD[[#This Row],[33kV_OG2_O2RE19_Energy (KWh)]])</f>
        <v>0</v>
      </c>
      <c r="BL187" s="62" t="str">
        <f>IFERROR(RD[[#This Row],[33 kV Total Export (KWH)]]/RD[[#This Row],[Inv Total Gneration (MWh)]]-1,"")</f>
        <v/>
      </c>
      <c r="BM187" s="63">
        <f>IFERROR((RD[[#This Row],[Sunset Time (POA&lt;20 W/m2)]]-RD[[#This Row],[Sunrise Time (POA&gt;20 W/m2)]])*24,0)</f>
        <v>0</v>
      </c>
      <c r="BN187" s="64">
        <f>SUM(RD[[#This Row],[33kV_OG1_O2RE9_Energy (KWh)]],RD[[#This Row],[33kV_OG2_O2RE19_Energy (KWh)]])</f>
        <v>0</v>
      </c>
      <c r="BO187" s="64">
        <f>IFERROR(RD[[#This Row],[ Export (33 kV)]]*(1-RD[[#This Row],[33 kV Line Loss (%)]]),RD[[#This Row],[ Export (33 kV)]])</f>
        <v>0</v>
      </c>
      <c r="BP187" s="121"/>
      <c r="BQ187" s="121"/>
      <c r="BR187" s="121"/>
      <c r="BS187" t="str">
        <f>IFERROR(RD[[#This Row],[E_AC (WPR)]]/RD[[#This Row],[E_DC (WPR)]],"")</f>
        <v/>
      </c>
    </row>
    <row r="188" spans="1:71">
      <c r="A188" s="147">
        <f t="shared" si="73"/>
        <v>46022</v>
      </c>
      <c r="B188" s="150">
        <f>YEAR(RD[[#This Row],[Date]])+IF(MONTH(RD[[#This Row],[Date]])&gt;=4,1,0)</f>
        <v>2026</v>
      </c>
      <c r="C188" s="150">
        <f>YEAR(RD[[#This Row],[Date]])</f>
        <v>2025</v>
      </c>
      <c r="D188" s="65">
        <f t="shared" si="72"/>
        <v>45992</v>
      </c>
      <c r="E188" s="150">
        <f>DAY(EOMONTH(RD[[#This Row],[Date]],0))</f>
        <v>31</v>
      </c>
      <c r="F188" s="121"/>
      <c r="G188" s="121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68"/>
      <c r="AF188" s="168"/>
      <c r="AG188" s="168"/>
      <c r="AH188" s="168"/>
      <c r="AI188" s="168"/>
      <c r="AJ188" s="168"/>
      <c r="AK188" s="168"/>
      <c r="AL188" s="168"/>
      <c r="AM188" s="68"/>
      <c r="AN188" s="68"/>
      <c r="AO188" s="68"/>
      <c r="AP188" s="68"/>
      <c r="AQ188" s="68"/>
      <c r="AR188" s="68"/>
      <c r="AS188" s="68"/>
      <c r="AT188" s="68"/>
      <c r="AU188" s="69">
        <f>SUM(RD[[#This Row],[IS2Inv1M1]:[IS4Inv1M3]])</f>
        <v>0</v>
      </c>
      <c r="AV188" s="69">
        <f>SUM(RD[[#This Row],[IS5Inv1M1]:[IS5Inv2M3]])</f>
        <v>0</v>
      </c>
      <c r="AW188" s="69">
        <f>SUM(RD[[#This Row],[O2RE9]:[O2RE192]])</f>
        <v>0</v>
      </c>
      <c r="AX188" s="152"/>
      <c r="AY188" s="152"/>
      <c r="AZ188" s="152"/>
      <c r="BA188" s="152"/>
      <c r="BB188" s="152"/>
      <c r="BC188" s="152"/>
      <c r="BD188" s="153" t="str">
        <f>IF((RD[[#This Row],[33 kV_F1_Ex (O2RE9)]]-AX187)*150000&lt;=0,"",(RD[[#This Row],[33 kV_F1_Ex (O2RE9)]]-AX187)*150000)</f>
        <v/>
      </c>
      <c r="BE188" s="153">
        <f>IF((RD[[#This Row],[33kV_OG1_Ex (O2RE9)]]-AY187)*1000&lt;=0,0,(RD[[#This Row],[33kV_OG1_Ex (O2RE9)]]-AY187)*1000)</f>
        <v>0</v>
      </c>
      <c r="BF188" s="153"/>
      <c r="BG188" s="153" t="str">
        <f>IF((RD[[#This Row],[33 kV_F2_Ex (O2RE19)]]-BA187)*150000&lt;=0,"",(RD[[#This Row],[33 kV_F2_Ex (O2RE19)]]-BA187)*150000)</f>
        <v/>
      </c>
      <c r="BH188" s="153">
        <f>IF((RD[[#This Row],[33kV_OG2_Ex (O2RE19)]]-BB187)*1000&lt;=0,0,(RD[[#This Row],[33kV_OG2_Ex (O2RE19)]]-BB187)*1000)</f>
        <v>0</v>
      </c>
      <c r="BI188" s="153">
        <f>IF((RD[[#This Row],[33kV_Aux2_Im (O2RE19)]]-BC187)*1000&lt;0,"",(RD[[#This Row],[33kV_Aux2_Im (O2RE19)]]-BC187)*1000)</f>
        <v>0</v>
      </c>
      <c r="BJ188" s="153">
        <f>IF((RD[[#This Row],[33kV_Aux1_Im (O2RE9)]]-AZ187)*1000&lt;0,"",(RD[[#This Row],[33kV_Aux1_Im (O2RE9)]]-AZ187)*1000)</f>
        <v>0</v>
      </c>
      <c r="BK188" s="153">
        <f>SUM(RD[[#This Row],[33kV_OG1_O2RE9_Energy (KWh)]],RD[[#This Row],[33kV_OG2_O2RE19_Energy (KWh)]])</f>
        <v>0</v>
      </c>
      <c r="BL188" s="62" t="str">
        <f>IFERROR(RD[[#This Row],[33 kV Total Export (KWH)]]/RD[[#This Row],[Inv Total Gneration (MWh)]]-1,"")</f>
        <v/>
      </c>
      <c r="BM188" s="63">
        <f>IFERROR((RD[[#This Row],[Sunset Time (POA&lt;20 W/m2)]]-RD[[#This Row],[Sunrise Time (POA&gt;20 W/m2)]])*24,0)</f>
        <v>0</v>
      </c>
      <c r="BN188" s="64">
        <f>SUM(RD[[#This Row],[33kV_OG1_O2RE9_Energy (KWh)]],RD[[#This Row],[33kV_OG2_O2RE19_Energy (KWh)]])</f>
        <v>0</v>
      </c>
      <c r="BO188" s="64">
        <f>IFERROR(RD[[#This Row],[ Export (33 kV)]]*(1-RD[[#This Row],[33 kV Line Loss (%)]]),RD[[#This Row],[ Export (33 kV)]])</f>
        <v>0</v>
      </c>
      <c r="BP188" s="121"/>
      <c r="BQ188" s="121"/>
      <c r="BR188" s="121"/>
      <c r="BS188" t="str">
        <f>IFERROR(RD[[#This Row],[E_AC (WPR)]]/RD[[#This Row],[E_DC (WPR)]],"")</f>
        <v/>
      </c>
    </row>
    <row r="189" spans="1:71">
      <c r="A189" s="147">
        <f t="shared" si="73"/>
        <v>46023</v>
      </c>
      <c r="B189" s="150">
        <f>YEAR(RD[[#This Row],[Date]])+IF(MONTH(RD[[#This Row],[Date]])&gt;=4,1,0)</f>
        <v>2026</v>
      </c>
      <c r="C189" s="150">
        <f>YEAR(RD[[#This Row],[Date]])</f>
        <v>2026</v>
      </c>
      <c r="D189" s="65">
        <f t="shared" si="72"/>
        <v>46023</v>
      </c>
      <c r="E189" s="150">
        <f>DAY(EOMONTH(RD[[#This Row],[Date]],0))</f>
        <v>31</v>
      </c>
      <c r="F189" s="121"/>
      <c r="G189" s="121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68"/>
      <c r="AF189" s="168"/>
      <c r="AG189" s="168"/>
      <c r="AH189" s="168"/>
      <c r="AI189" s="168"/>
      <c r="AJ189" s="168"/>
      <c r="AK189" s="168"/>
      <c r="AL189" s="168"/>
      <c r="AM189" s="68"/>
      <c r="AN189" s="68"/>
      <c r="AO189" s="68"/>
      <c r="AP189" s="68"/>
      <c r="AQ189" s="68"/>
      <c r="AR189" s="68"/>
      <c r="AS189" s="68"/>
      <c r="AT189" s="68"/>
      <c r="AU189" s="69">
        <f>SUM(RD[[#This Row],[IS2Inv1M1]:[IS4Inv1M3]])</f>
        <v>0</v>
      </c>
      <c r="AV189" s="69">
        <f>SUM(RD[[#This Row],[IS5Inv1M1]:[IS5Inv2M3]])</f>
        <v>0</v>
      </c>
      <c r="AW189" s="69">
        <f>SUM(RD[[#This Row],[O2RE9]:[O2RE192]])</f>
        <v>0</v>
      </c>
      <c r="AX189" s="152"/>
      <c r="AY189" s="152"/>
      <c r="AZ189" s="152"/>
      <c r="BA189" s="152"/>
      <c r="BB189" s="152"/>
      <c r="BC189" s="152"/>
      <c r="BD189" s="153" t="str">
        <f>IF((RD[[#This Row],[33 kV_F1_Ex (O2RE9)]]-AX188)*150000&lt;=0,"",(RD[[#This Row],[33 kV_F1_Ex (O2RE9)]]-AX188)*150000)</f>
        <v/>
      </c>
      <c r="BE189" s="153">
        <f>IF((RD[[#This Row],[33kV_OG1_Ex (O2RE9)]]-AY188)*1000&lt;=0,0,(RD[[#This Row],[33kV_OG1_Ex (O2RE9)]]-AY188)*1000)</f>
        <v>0</v>
      </c>
      <c r="BF189" s="153"/>
      <c r="BG189" s="153" t="str">
        <f>IF((RD[[#This Row],[33 kV_F2_Ex (O2RE19)]]-BA188)*150000&lt;=0,"",(RD[[#This Row],[33 kV_F2_Ex (O2RE19)]]-BA188)*150000)</f>
        <v/>
      </c>
      <c r="BH189" s="153">
        <f>IF((RD[[#This Row],[33kV_OG2_Ex (O2RE19)]]-BB188)*1000&lt;=0,0,(RD[[#This Row],[33kV_OG2_Ex (O2RE19)]]-BB188)*1000)</f>
        <v>0</v>
      </c>
      <c r="BI189" s="153">
        <f>IF((RD[[#This Row],[33kV_Aux2_Im (O2RE19)]]-BC188)*1000&lt;0,"",(RD[[#This Row],[33kV_Aux2_Im (O2RE19)]]-BC188)*1000)</f>
        <v>0</v>
      </c>
      <c r="BJ189" s="153">
        <f>IF((RD[[#This Row],[33kV_Aux1_Im (O2RE9)]]-AZ188)*1000&lt;0,"",(RD[[#This Row],[33kV_Aux1_Im (O2RE9)]]-AZ188)*1000)</f>
        <v>0</v>
      </c>
      <c r="BK189" s="153">
        <f>SUM(RD[[#This Row],[33kV_OG1_O2RE9_Energy (KWh)]],RD[[#This Row],[33kV_OG2_O2RE19_Energy (KWh)]])</f>
        <v>0</v>
      </c>
      <c r="BL189" s="62" t="str">
        <f>IFERROR(RD[[#This Row],[33 kV Total Export (KWH)]]/RD[[#This Row],[Inv Total Gneration (MWh)]]-1,"")</f>
        <v/>
      </c>
      <c r="BM189" s="63">
        <f>IFERROR((RD[[#This Row],[Sunset Time (POA&lt;20 W/m2)]]-RD[[#This Row],[Sunrise Time (POA&gt;20 W/m2)]])*24,0)</f>
        <v>0</v>
      </c>
      <c r="BN189" s="64">
        <f>SUM(RD[[#This Row],[33kV_OG1_O2RE9_Energy (KWh)]],RD[[#This Row],[33kV_OG2_O2RE19_Energy (KWh)]])</f>
        <v>0</v>
      </c>
      <c r="BO189" s="64">
        <f>IFERROR(RD[[#This Row],[ Export (33 kV)]]*(1-RD[[#This Row],[33 kV Line Loss (%)]]),RD[[#This Row],[ Export (33 kV)]])</f>
        <v>0</v>
      </c>
      <c r="BP189" s="121"/>
      <c r="BQ189" s="121"/>
      <c r="BR189" s="121"/>
      <c r="BS189" t="str">
        <f>IFERROR(RD[[#This Row],[E_AC (WPR)]]/RD[[#This Row],[E_DC (WPR)]],"")</f>
        <v/>
      </c>
    </row>
    <row r="190" spans="1:71">
      <c r="A190" s="147">
        <f t="shared" si="73"/>
        <v>46024</v>
      </c>
      <c r="B190" s="150">
        <f>YEAR(RD[[#This Row],[Date]])+IF(MONTH(RD[[#This Row],[Date]])&gt;=4,1,0)</f>
        <v>2026</v>
      </c>
      <c r="C190" s="150">
        <f>YEAR(RD[[#This Row],[Date]])</f>
        <v>2026</v>
      </c>
      <c r="D190" s="65">
        <f t="shared" si="72"/>
        <v>46023</v>
      </c>
      <c r="E190" s="150">
        <f>DAY(EOMONTH(RD[[#This Row],[Date]],0))</f>
        <v>31</v>
      </c>
      <c r="F190" s="121"/>
      <c r="G190" s="121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68"/>
      <c r="AF190" s="168"/>
      <c r="AG190" s="168"/>
      <c r="AH190" s="168"/>
      <c r="AI190" s="168"/>
      <c r="AJ190" s="168"/>
      <c r="AK190" s="168"/>
      <c r="AL190" s="168"/>
      <c r="AM190" s="68"/>
      <c r="AN190" s="68"/>
      <c r="AO190" s="68"/>
      <c r="AP190" s="68"/>
      <c r="AQ190" s="68"/>
      <c r="AR190" s="68"/>
      <c r="AS190" s="68"/>
      <c r="AT190" s="68"/>
      <c r="AU190" s="69">
        <f>SUM(RD[[#This Row],[IS2Inv1M1]:[IS4Inv1M3]])</f>
        <v>0</v>
      </c>
      <c r="AV190" s="69">
        <f>SUM(RD[[#This Row],[IS5Inv1M1]:[IS5Inv2M3]])</f>
        <v>0</v>
      </c>
      <c r="AW190" s="69">
        <f>SUM(RD[[#This Row],[O2RE9]:[O2RE192]])</f>
        <v>0</v>
      </c>
      <c r="AX190" s="152"/>
      <c r="AY190" s="152"/>
      <c r="AZ190" s="152"/>
      <c r="BA190" s="152"/>
      <c r="BB190" s="152"/>
      <c r="BC190" s="152"/>
      <c r="BD190" s="153" t="str">
        <f>IF((RD[[#This Row],[33 kV_F1_Ex (O2RE9)]]-AX189)*150000&lt;=0,"",(RD[[#This Row],[33 kV_F1_Ex (O2RE9)]]-AX189)*150000)</f>
        <v/>
      </c>
      <c r="BE190" s="153">
        <f>IF((RD[[#This Row],[33kV_OG1_Ex (O2RE9)]]-AY189)*1000&lt;=0,0,(RD[[#This Row],[33kV_OG1_Ex (O2RE9)]]-AY189)*1000)</f>
        <v>0</v>
      </c>
      <c r="BF190" s="153"/>
      <c r="BG190" s="153" t="str">
        <f>IF((RD[[#This Row],[33 kV_F2_Ex (O2RE19)]]-BA189)*150000&lt;=0,"",(RD[[#This Row],[33 kV_F2_Ex (O2RE19)]]-BA189)*150000)</f>
        <v/>
      </c>
      <c r="BH190" s="153">
        <f>IF((RD[[#This Row],[33kV_OG2_Ex (O2RE19)]]-BB189)*1000&lt;=0,0,(RD[[#This Row],[33kV_OG2_Ex (O2RE19)]]-BB189)*1000)</f>
        <v>0</v>
      </c>
      <c r="BI190" s="153">
        <f>IF((RD[[#This Row],[33kV_Aux2_Im (O2RE19)]]-BC189)*1000&lt;0,"",(RD[[#This Row],[33kV_Aux2_Im (O2RE19)]]-BC189)*1000)</f>
        <v>0</v>
      </c>
      <c r="BJ190" s="153">
        <f>IF((RD[[#This Row],[33kV_Aux1_Im (O2RE9)]]-AZ189)*1000&lt;0,"",(RD[[#This Row],[33kV_Aux1_Im (O2RE9)]]-AZ189)*1000)</f>
        <v>0</v>
      </c>
      <c r="BK190" s="153">
        <f>SUM(RD[[#This Row],[33kV_OG1_O2RE9_Energy (KWh)]],RD[[#This Row],[33kV_OG2_O2RE19_Energy (KWh)]])</f>
        <v>0</v>
      </c>
      <c r="BL190" s="62" t="str">
        <f>IFERROR(RD[[#This Row],[33 kV Total Export (KWH)]]/RD[[#This Row],[Inv Total Gneration (MWh)]]-1,"")</f>
        <v/>
      </c>
      <c r="BM190" s="63">
        <f>IFERROR((RD[[#This Row],[Sunset Time (POA&lt;20 W/m2)]]-RD[[#This Row],[Sunrise Time (POA&gt;20 W/m2)]])*24,0)</f>
        <v>0</v>
      </c>
      <c r="BN190" s="64">
        <f>SUM(RD[[#This Row],[33kV_OG1_O2RE9_Energy (KWh)]],RD[[#This Row],[33kV_OG2_O2RE19_Energy (KWh)]])</f>
        <v>0</v>
      </c>
      <c r="BO190" s="64">
        <f>IFERROR(RD[[#This Row],[ Export (33 kV)]]*(1-RD[[#This Row],[33 kV Line Loss (%)]]),RD[[#This Row],[ Export (33 kV)]])</f>
        <v>0</v>
      </c>
      <c r="BP190" s="121"/>
      <c r="BQ190" s="121"/>
      <c r="BR190" s="121"/>
      <c r="BS190" t="str">
        <f>IFERROR(RD[[#This Row],[E_AC (WPR)]]/RD[[#This Row],[E_DC (WPR)]],"")</f>
        <v/>
      </c>
    </row>
    <row r="191" spans="1:71">
      <c r="A191" s="147">
        <f t="shared" si="73"/>
        <v>46025</v>
      </c>
      <c r="B191" s="150">
        <f>YEAR(RD[[#This Row],[Date]])+IF(MONTH(RD[[#This Row],[Date]])&gt;=4,1,0)</f>
        <v>2026</v>
      </c>
      <c r="C191" s="150">
        <f>YEAR(RD[[#This Row],[Date]])</f>
        <v>2026</v>
      </c>
      <c r="D191" s="65">
        <f t="shared" si="72"/>
        <v>46023</v>
      </c>
      <c r="E191" s="150">
        <f>DAY(EOMONTH(RD[[#This Row],[Date]],0))</f>
        <v>31</v>
      </c>
      <c r="F191" s="121"/>
      <c r="G191" s="121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68"/>
      <c r="AF191" s="168"/>
      <c r="AG191" s="168"/>
      <c r="AH191" s="168"/>
      <c r="AI191" s="168"/>
      <c r="AJ191" s="168"/>
      <c r="AK191" s="168"/>
      <c r="AL191" s="168"/>
      <c r="AM191" s="68"/>
      <c r="AN191" s="68"/>
      <c r="AO191" s="68"/>
      <c r="AP191" s="68"/>
      <c r="AQ191" s="68"/>
      <c r="AR191" s="68"/>
      <c r="AS191" s="68"/>
      <c r="AT191" s="68"/>
      <c r="AU191" s="69">
        <f>SUM(RD[[#This Row],[IS2Inv1M1]:[IS4Inv1M3]])</f>
        <v>0</v>
      </c>
      <c r="AV191" s="69">
        <f>SUM(RD[[#This Row],[IS5Inv1M1]:[IS5Inv2M3]])</f>
        <v>0</v>
      </c>
      <c r="AW191" s="69">
        <f>SUM(RD[[#This Row],[O2RE9]:[O2RE192]])</f>
        <v>0</v>
      </c>
      <c r="AX191" s="152"/>
      <c r="AY191" s="152"/>
      <c r="AZ191" s="152"/>
      <c r="BA191" s="152"/>
      <c r="BB191" s="152"/>
      <c r="BC191" s="152"/>
      <c r="BD191" s="153" t="str">
        <f>IF((RD[[#This Row],[33 kV_F1_Ex (O2RE9)]]-AX190)*150000&lt;=0,"",(RD[[#This Row],[33 kV_F1_Ex (O2RE9)]]-AX190)*150000)</f>
        <v/>
      </c>
      <c r="BE191" s="153">
        <f>IF((RD[[#This Row],[33kV_OG1_Ex (O2RE9)]]-AY190)*1000&lt;=0,0,(RD[[#This Row],[33kV_OG1_Ex (O2RE9)]]-AY190)*1000)</f>
        <v>0</v>
      </c>
      <c r="BF191" s="153"/>
      <c r="BG191" s="153" t="str">
        <f>IF((RD[[#This Row],[33 kV_F2_Ex (O2RE19)]]-BA190)*150000&lt;=0,"",(RD[[#This Row],[33 kV_F2_Ex (O2RE19)]]-BA190)*150000)</f>
        <v/>
      </c>
      <c r="BH191" s="153">
        <f>IF((RD[[#This Row],[33kV_OG2_Ex (O2RE19)]]-BB190)*1000&lt;=0,0,(RD[[#This Row],[33kV_OG2_Ex (O2RE19)]]-BB190)*1000)</f>
        <v>0</v>
      </c>
      <c r="BI191" s="153">
        <f>IF((RD[[#This Row],[33kV_Aux2_Im (O2RE19)]]-BC190)*1000&lt;0,"",(RD[[#This Row],[33kV_Aux2_Im (O2RE19)]]-BC190)*1000)</f>
        <v>0</v>
      </c>
      <c r="BJ191" s="153">
        <f>IF((RD[[#This Row],[33kV_Aux1_Im (O2RE9)]]-AZ190)*1000&lt;0,"",(RD[[#This Row],[33kV_Aux1_Im (O2RE9)]]-AZ190)*1000)</f>
        <v>0</v>
      </c>
      <c r="BK191" s="153">
        <f>SUM(RD[[#This Row],[33kV_OG1_O2RE9_Energy (KWh)]],RD[[#This Row],[33kV_OG2_O2RE19_Energy (KWh)]])</f>
        <v>0</v>
      </c>
      <c r="BL191" s="62" t="str">
        <f>IFERROR(RD[[#This Row],[33 kV Total Export (KWH)]]/RD[[#This Row],[Inv Total Gneration (MWh)]]-1,"")</f>
        <v/>
      </c>
      <c r="BM191" s="63">
        <f>IFERROR((RD[[#This Row],[Sunset Time (POA&lt;20 W/m2)]]-RD[[#This Row],[Sunrise Time (POA&gt;20 W/m2)]])*24,0)</f>
        <v>0</v>
      </c>
      <c r="BN191" s="64">
        <f>SUM(RD[[#This Row],[33kV_OG1_O2RE9_Energy (KWh)]],RD[[#This Row],[33kV_OG2_O2RE19_Energy (KWh)]])</f>
        <v>0</v>
      </c>
      <c r="BO191" s="64">
        <f>IFERROR(RD[[#This Row],[ Export (33 kV)]]*(1-RD[[#This Row],[33 kV Line Loss (%)]]),RD[[#This Row],[ Export (33 kV)]])</f>
        <v>0</v>
      </c>
      <c r="BP191" s="121"/>
      <c r="BQ191" s="121"/>
      <c r="BR191" s="121"/>
      <c r="BS191" t="str">
        <f>IFERROR(RD[[#This Row],[E_AC (WPR)]]/RD[[#This Row],[E_DC (WPR)]],"")</f>
        <v/>
      </c>
    </row>
    <row r="192" spans="1:71">
      <c r="A192" s="147">
        <f t="shared" si="73"/>
        <v>46026</v>
      </c>
      <c r="B192" s="150">
        <f>YEAR(RD[[#This Row],[Date]])+IF(MONTH(RD[[#This Row],[Date]])&gt;=4,1,0)</f>
        <v>2026</v>
      </c>
      <c r="C192" s="150">
        <f>YEAR(RD[[#This Row],[Date]])</f>
        <v>2026</v>
      </c>
      <c r="D192" s="65">
        <f t="shared" si="72"/>
        <v>46023</v>
      </c>
      <c r="E192" s="150">
        <f>DAY(EOMONTH(RD[[#This Row],[Date]],0))</f>
        <v>31</v>
      </c>
      <c r="F192" s="121"/>
      <c r="G192" s="121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68"/>
      <c r="AF192" s="168"/>
      <c r="AG192" s="168"/>
      <c r="AH192" s="168"/>
      <c r="AI192" s="168"/>
      <c r="AJ192" s="168"/>
      <c r="AK192" s="168"/>
      <c r="AL192" s="168"/>
      <c r="AM192" s="68"/>
      <c r="AN192" s="68"/>
      <c r="AO192" s="68"/>
      <c r="AP192" s="68"/>
      <c r="AQ192" s="68"/>
      <c r="AR192" s="68"/>
      <c r="AS192" s="68"/>
      <c r="AT192" s="68"/>
      <c r="AU192" s="69">
        <f>SUM(RD[[#This Row],[IS2Inv1M1]:[IS4Inv1M3]])</f>
        <v>0</v>
      </c>
      <c r="AV192" s="69">
        <f>SUM(RD[[#This Row],[IS5Inv1M1]:[IS5Inv2M3]])</f>
        <v>0</v>
      </c>
      <c r="AW192" s="69">
        <f>SUM(RD[[#This Row],[O2RE9]:[O2RE192]])</f>
        <v>0</v>
      </c>
      <c r="AX192" s="152"/>
      <c r="AY192" s="152"/>
      <c r="AZ192" s="152"/>
      <c r="BA192" s="152"/>
      <c r="BB192" s="152"/>
      <c r="BC192" s="152"/>
      <c r="BD192" s="153" t="str">
        <f>IF((RD[[#This Row],[33 kV_F1_Ex (O2RE9)]]-AX191)*150000&lt;=0,"",(RD[[#This Row],[33 kV_F1_Ex (O2RE9)]]-AX191)*150000)</f>
        <v/>
      </c>
      <c r="BE192" s="153">
        <f>IF((RD[[#This Row],[33kV_OG1_Ex (O2RE9)]]-AY191)*1000&lt;=0,0,(RD[[#This Row],[33kV_OG1_Ex (O2RE9)]]-AY191)*1000)</f>
        <v>0</v>
      </c>
      <c r="BF192" s="153"/>
      <c r="BG192" s="153" t="str">
        <f>IF((RD[[#This Row],[33 kV_F2_Ex (O2RE19)]]-BA191)*150000&lt;=0,"",(RD[[#This Row],[33 kV_F2_Ex (O2RE19)]]-BA191)*150000)</f>
        <v/>
      </c>
      <c r="BH192" s="153">
        <f>IF((RD[[#This Row],[33kV_OG2_Ex (O2RE19)]]-BB191)*1000&lt;=0,0,(RD[[#This Row],[33kV_OG2_Ex (O2RE19)]]-BB191)*1000)</f>
        <v>0</v>
      </c>
      <c r="BI192" s="153">
        <f>IF((RD[[#This Row],[33kV_Aux2_Im (O2RE19)]]-BC191)*1000&lt;0,"",(RD[[#This Row],[33kV_Aux2_Im (O2RE19)]]-BC191)*1000)</f>
        <v>0</v>
      </c>
      <c r="BJ192" s="153">
        <f>IF((RD[[#This Row],[33kV_Aux1_Im (O2RE9)]]-AZ191)*1000&lt;0,"",(RD[[#This Row],[33kV_Aux1_Im (O2RE9)]]-AZ191)*1000)</f>
        <v>0</v>
      </c>
      <c r="BK192" s="153">
        <f>SUM(RD[[#This Row],[33kV_OG1_O2RE9_Energy (KWh)]],RD[[#This Row],[33kV_OG2_O2RE19_Energy (KWh)]])</f>
        <v>0</v>
      </c>
      <c r="BL192" s="62" t="str">
        <f>IFERROR(RD[[#This Row],[33 kV Total Export (KWH)]]/RD[[#This Row],[Inv Total Gneration (MWh)]]-1,"")</f>
        <v/>
      </c>
      <c r="BM192" s="63">
        <f>IFERROR((RD[[#This Row],[Sunset Time (POA&lt;20 W/m2)]]-RD[[#This Row],[Sunrise Time (POA&gt;20 W/m2)]])*24,0)</f>
        <v>0</v>
      </c>
      <c r="BN192" s="64">
        <f>SUM(RD[[#This Row],[33kV_OG1_O2RE9_Energy (KWh)]],RD[[#This Row],[33kV_OG2_O2RE19_Energy (KWh)]])</f>
        <v>0</v>
      </c>
      <c r="BO192" s="64">
        <f>IFERROR(RD[[#This Row],[ Export (33 kV)]]*(1-RD[[#This Row],[33 kV Line Loss (%)]]),RD[[#This Row],[ Export (33 kV)]])</f>
        <v>0</v>
      </c>
      <c r="BP192" s="121"/>
      <c r="BQ192" s="121"/>
      <c r="BR192" s="121"/>
      <c r="BS192" t="str">
        <f>IFERROR(RD[[#This Row],[E_AC (WPR)]]/RD[[#This Row],[E_DC (WPR)]],"")</f>
        <v/>
      </c>
    </row>
    <row r="193" spans="1:71">
      <c r="A193" s="147">
        <f t="shared" si="73"/>
        <v>46027</v>
      </c>
      <c r="B193" s="150">
        <f>YEAR(RD[[#This Row],[Date]])+IF(MONTH(RD[[#This Row],[Date]])&gt;=4,1,0)</f>
        <v>2026</v>
      </c>
      <c r="C193" s="150">
        <f>YEAR(RD[[#This Row],[Date]])</f>
        <v>2026</v>
      </c>
      <c r="D193" s="65">
        <f t="shared" si="72"/>
        <v>46023</v>
      </c>
      <c r="E193" s="150">
        <f>DAY(EOMONTH(RD[[#This Row],[Date]],0))</f>
        <v>31</v>
      </c>
      <c r="F193" s="171"/>
      <c r="G193" s="171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68"/>
      <c r="AF193" s="168"/>
      <c r="AG193" s="168"/>
      <c r="AH193" s="168"/>
      <c r="AI193" s="168"/>
      <c r="AJ193" s="168"/>
      <c r="AK193" s="168"/>
      <c r="AL193" s="168"/>
      <c r="AM193" s="68"/>
      <c r="AN193" s="68"/>
      <c r="AO193" s="68"/>
      <c r="AP193" s="68"/>
      <c r="AQ193" s="68"/>
      <c r="AR193" s="68"/>
      <c r="AS193" s="68"/>
      <c r="AT193" s="68"/>
      <c r="AU193" s="69">
        <f>SUM(RD[[#This Row],[IS2Inv1M1]:[IS4Inv1M3]])</f>
        <v>0</v>
      </c>
      <c r="AV193" s="69">
        <f>SUM(RD[[#This Row],[IS5Inv1M1]:[IS5Inv2M3]])</f>
        <v>0</v>
      </c>
      <c r="AW193" s="69">
        <f>SUM(RD[[#This Row],[O2RE9]:[O2RE192]])</f>
        <v>0</v>
      </c>
      <c r="AX193" s="152"/>
      <c r="AY193" s="152"/>
      <c r="AZ193" s="152"/>
      <c r="BA193" s="152"/>
      <c r="BB193" s="152"/>
      <c r="BC193" s="152"/>
      <c r="BD193" s="153" t="str">
        <f>IF((RD[[#This Row],[33 kV_F1_Ex (O2RE9)]]-AX192)*150000&lt;=0,"",(RD[[#This Row],[33 kV_F1_Ex (O2RE9)]]-AX192)*150000)</f>
        <v/>
      </c>
      <c r="BE193" s="153">
        <f>IF((RD[[#This Row],[33kV_OG1_Ex (O2RE9)]]-AY192)*1000&lt;=0,0,(RD[[#This Row],[33kV_OG1_Ex (O2RE9)]]-AY192)*1000)</f>
        <v>0</v>
      </c>
      <c r="BF193" s="153"/>
      <c r="BG193" s="153" t="str">
        <f>IF((RD[[#This Row],[33 kV_F2_Ex (O2RE19)]]-BA192)*150000&lt;=0,"",(RD[[#This Row],[33 kV_F2_Ex (O2RE19)]]-BA192)*150000)</f>
        <v/>
      </c>
      <c r="BH193" s="153">
        <f>IF((RD[[#This Row],[33kV_OG2_Ex (O2RE19)]]-BB192)*1000&lt;=0,0,(RD[[#This Row],[33kV_OG2_Ex (O2RE19)]]-BB192)*1000)</f>
        <v>0</v>
      </c>
      <c r="BI193" s="153">
        <f>IF((RD[[#This Row],[33kV_Aux2_Im (O2RE19)]]-BC192)*1000&lt;0,"",(RD[[#This Row],[33kV_Aux2_Im (O2RE19)]]-BC192)*1000)</f>
        <v>0</v>
      </c>
      <c r="BJ193" s="153">
        <f>IF((RD[[#This Row],[33kV_Aux1_Im (O2RE9)]]-AZ192)*1000&lt;0,"",(RD[[#This Row],[33kV_Aux1_Im (O2RE9)]]-AZ192)*1000)</f>
        <v>0</v>
      </c>
      <c r="BK193" s="153">
        <f>SUM(RD[[#This Row],[33kV_OG1_O2RE9_Energy (KWh)]],RD[[#This Row],[33kV_OG2_O2RE19_Energy (KWh)]])</f>
        <v>0</v>
      </c>
      <c r="BL193" s="62" t="str">
        <f>IFERROR(RD[[#This Row],[33 kV Total Export (KWH)]]/RD[[#This Row],[Inv Total Gneration (MWh)]]-1,"")</f>
        <v/>
      </c>
      <c r="BM193" s="63">
        <f>IFERROR((RD[[#This Row],[Sunset Time (POA&lt;20 W/m2)]]-RD[[#This Row],[Sunrise Time (POA&gt;20 W/m2)]])*24,0)</f>
        <v>0</v>
      </c>
      <c r="BN193" s="64">
        <f>SUM(RD[[#This Row],[33kV_OG1_O2RE9_Energy (KWh)]],RD[[#This Row],[33kV_OG2_O2RE19_Energy (KWh)]])</f>
        <v>0</v>
      </c>
      <c r="BO193" s="64">
        <f>IFERROR(RD[[#This Row],[ Export (33 kV)]]*(1-RD[[#This Row],[33 kV Line Loss (%)]]),RD[[#This Row],[ Export (33 kV)]])</f>
        <v>0</v>
      </c>
      <c r="BP193" s="121"/>
      <c r="BQ193" s="121"/>
      <c r="BR193" s="121"/>
      <c r="BS193" t="str">
        <f>IFERROR(RD[[#This Row],[E_AC (WPR)]]/RD[[#This Row],[E_DC (WPR)]],"")</f>
        <v/>
      </c>
    </row>
    <row r="194" spans="1:71">
      <c r="A194" s="147">
        <f t="shared" si="73"/>
        <v>46028</v>
      </c>
      <c r="B194" s="150">
        <f>YEAR(RD[[#This Row],[Date]])+IF(MONTH(RD[[#This Row],[Date]])&gt;=4,1,0)</f>
        <v>2026</v>
      </c>
      <c r="C194" s="150">
        <f>YEAR(RD[[#This Row],[Date]])</f>
        <v>2026</v>
      </c>
      <c r="D194" s="65">
        <f t="shared" si="72"/>
        <v>46023</v>
      </c>
      <c r="E194" s="150">
        <f>DAY(EOMONTH(RD[[#This Row],[Date]],0))</f>
        <v>31</v>
      </c>
      <c r="F194" s="171"/>
      <c r="G194" s="171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68"/>
      <c r="AF194" s="168"/>
      <c r="AG194" s="168"/>
      <c r="AH194" s="168"/>
      <c r="AI194" s="168"/>
      <c r="AJ194" s="168"/>
      <c r="AK194" s="168"/>
      <c r="AL194" s="168"/>
      <c r="AM194" s="68"/>
      <c r="AN194" s="68"/>
      <c r="AO194" s="68"/>
      <c r="AP194" s="68"/>
      <c r="AQ194" s="68"/>
      <c r="AR194" s="68"/>
      <c r="AS194" s="68"/>
      <c r="AT194" s="68"/>
      <c r="AU194" s="69">
        <f>SUM(RD[[#This Row],[IS2Inv1M1]:[IS4Inv1M3]])</f>
        <v>0</v>
      </c>
      <c r="AV194" s="69">
        <f>SUM(RD[[#This Row],[IS5Inv1M1]:[IS5Inv2M3]])</f>
        <v>0</v>
      </c>
      <c r="AW194" s="69">
        <f>SUM(RD[[#This Row],[O2RE9]:[O2RE192]])</f>
        <v>0</v>
      </c>
      <c r="AX194" s="152"/>
      <c r="AY194" s="152"/>
      <c r="AZ194" s="152"/>
      <c r="BA194" s="152"/>
      <c r="BB194" s="152"/>
      <c r="BC194" s="152"/>
      <c r="BD194" s="153" t="str">
        <f>IF((RD[[#This Row],[33 kV_F1_Ex (O2RE9)]]-AX193)*150000&lt;=0,"",(RD[[#This Row],[33 kV_F1_Ex (O2RE9)]]-AX193)*150000)</f>
        <v/>
      </c>
      <c r="BE194" s="153">
        <f>IF((RD[[#This Row],[33kV_OG1_Ex (O2RE9)]]-AY193)*1000&lt;=0,0,(RD[[#This Row],[33kV_OG1_Ex (O2RE9)]]-AY193)*1000)</f>
        <v>0</v>
      </c>
      <c r="BF194" s="153"/>
      <c r="BG194" s="153" t="str">
        <f>IF((RD[[#This Row],[33 kV_F2_Ex (O2RE19)]]-BA193)*150000&lt;=0,"",(RD[[#This Row],[33 kV_F2_Ex (O2RE19)]]-BA193)*150000)</f>
        <v/>
      </c>
      <c r="BH194" s="153">
        <f>IF((RD[[#This Row],[33kV_OG2_Ex (O2RE19)]]-BB193)*1000&lt;=0,0,(RD[[#This Row],[33kV_OG2_Ex (O2RE19)]]-BB193)*1000)</f>
        <v>0</v>
      </c>
      <c r="BI194" s="153">
        <f>IF((RD[[#This Row],[33kV_Aux2_Im (O2RE19)]]-BC193)*1000&lt;0,"",(RD[[#This Row],[33kV_Aux2_Im (O2RE19)]]-BC193)*1000)</f>
        <v>0</v>
      </c>
      <c r="BJ194" s="153">
        <f>IF((RD[[#This Row],[33kV_Aux1_Im (O2RE9)]]-AZ193)*1000&lt;0,"",(RD[[#This Row],[33kV_Aux1_Im (O2RE9)]]-AZ193)*1000)</f>
        <v>0</v>
      </c>
      <c r="BK194" s="153">
        <f>SUM(RD[[#This Row],[33kV_OG1_O2RE9_Energy (KWh)]],RD[[#This Row],[33kV_OG2_O2RE19_Energy (KWh)]])</f>
        <v>0</v>
      </c>
      <c r="BL194" s="62" t="str">
        <f>IFERROR(RD[[#This Row],[33 kV Total Export (KWH)]]/RD[[#This Row],[Inv Total Gneration (MWh)]]-1,"")</f>
        <v/>
      </c>
      <c r="BM194" s="63">
        <f>IFERROR((RD[[#This Row],[Sunset Time (POA&lt;20 W/m2)]]-RD[[#This Row],[Sunrise Time (POA&gt;20 W/m2)]])*24,0)</f>
        <v>0</v>
      </c>
      <c r="BN194" s="64">
        <f>SUM(RD[[#This Row],[33kV_OG1_O2RE9_Energy (KWh)]],RD[[#This Row],[33kV_OG2_O2RE19_Energy (KWh)]])</f>
        <v>0</v>
      </c>
      <c r="BO194" s="64">
        <f>IFERROR(RD[[#This Row],[ Export (33 kV)]]*(1-RD[[#This Row],[33 kV Line Loss (%)]]),RD[[#This Row],[ Export (33 kV)]])</f>
        <v>0</v>
      </c>
      <c r="BP194" s="121"/>
      <c r="BQ194" s="121"/>
      <c r="BR194" s="121"/>
      <c r="BS194" t="str">
        <f>IFERROR(RD[[#This Row],[E_AC (WPR)]]/RD[[#This Row],[E_DC (WPR)]],"")</f>
        <v/>
      </c>
    </row>
    <row r="195" spans="1:71">
      <c r="A195" s="147">
        <f t="shared" si="73"/>
        <v>46029</v>
      </c>
      <c r="B195" s="150">
        <f>YEAR(RD[[#This Row],[Date]])+IF(MONTH(RD[[#This Row],[Date]])&gt;=4,1,0)</f>
        <v>2026</v>
      </c>
      <c r="C195" s="150">
        <f>YEAR(RD[[#This Row],[Date]])</f>
        <v>2026</v>
      </c>
      <c r="D195" s="65">
        <f t="shared" si="72"/>
        <v>46023</v>
      </c>
      <c r="E195" s="150">
        <f>DAY(EOMONTH(RD[[#This Row],[Date]],0))</f>
        <v>31</v>
      </c>
      <c r="F195" s="171"/>
      <c r="G195" s="171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68"/>
      <c r="AF195" s="168"/>
      <c r="AG195" s="168"/>
      <c r="AH195" s="168"/>
      <c r="AI195" s="168"/>
      <c r="AJ195" s="168"/>
      <c r="AK195" s="168"/>
      <c r="AL195" s="168"/>
      <c r="AM195" s="68"/>
      <c r="AN195" s="68"/>
      <c r="AO195" s="68"/>
      <c r="AP195" s="68"/>
      <c r="AQ195" s="68"/>
      <c r="AR195" s="68"/>
      <c r="AS195" s="68"/>
      <c r="AT195" s="68"/>
      <c r="AU195" s="69">
        <f>SUM(RD[[#This Row],[IS2Inv1M1]:[IS4Inv1M3]])</f>
        <v>0</v>
      </c>
      <c r="AV195" s="69">
        <f>SUM(RD[[#This Row],[IS5Inv1M1]:[IS5Inv2M3]])</f>
        <v>0</v>
      </c>
      <c r="AW195" s="69">
        <f>SUM(RD[[#This Row],[O2RE9]:[O2RE192]])</f>
        <v>0</v>
      </c>
      <c r="AX195" s="152"/>
      <c r="AY195" s="152"/>
      <c r="AZ195" s="152"/>
      <c r="BA195" s="152"/>
      <c r="BB195" s="152"/>
      <c r="BC195" s="152"/>
      <c r="BD195" s="153" t="str">
        <f>IF((RD[[#This Row],[33 kV_F1_Ex (O2RE9)]]-AX194)*150000&lt;=0,"",(RD[[#This Row],[33 kV_F1_Ex (O2RE9)]]-AX194)*150000)</f>
        <v/>
      </c>
      <c r="BE195" s="153">
        <f>IF((RD[[#This Row],[33kV_OG1_Ex (O2RE9)]]-AY194)*1000&lt;=0,0,(RD[[#This Row],[33kV_OG1_Ex (O2RE9)]]-AY194)*1000)</f>
        <v>0</v>
      </c>
      <c r="BF195" s="153"/>
      <c r="BG195" s="153" t="str">
        <f>IF((RD[[#This Row],[33 kV_F2_Ex (O2RE19)]]-BA194)*150000&lt;=0,"",(RD[[#This Row],[33 kV_F2_Ex (O2RE19)]]-BA194)*150000)</f>
        <v/>
      </c>
      <c r="BH195" s="153">
        <f>IF((RD[[#This Row],[33kV_OG2_Ex (O2RE19)]]-BB194)*1000&lt;=0,0,(RD[[#This Row],[33kV_OG2_Ex (O2RE19)]]-BB194)*1000)</f>
        <v>0</v>
      </c>
      <c r="BI195" s="153">
        <f>IF((RD[[#This Row],[33kV_Aux2_Im (O2RE19)]]-BC194)*1000&lt;0,"",(RD[[#This Row],[33kV_Aux2_Im (O2RE19)]]-BC194)*1000)</f>
        <v>0</v>
      </c>
      <c r="BJ195" s="153">
        <f>IF((RD[[#This Row],[33kV_Aux1_Im (O2RE9)]]-AZ194)*1000&lt;0,"",(RD[[#This Row],[33kV_Aux1_Im (O2RE9)]]-AZ194)*1000)</f>
        <v>0</v>
      </c>
      <c r="BK195" s="153">
        <f>SUM(RD[[#This Row],[33kV_OG1_O2RE9_Energy (KWh)]],RD[[#This Row],[33kV_OG2_O2RE19_Energy (KWh)]])</f>
        <v>0</v>
      </c>
      <c r="BL195" s="62" t="str">
        <f>IFERROR(RD[[#This Row],[33 kV Total Export (KWH)]]/RD[[#This Row],[Inv Total Gneration (MWh)]]-1,"")</f>
        <v/>
      </c>
      <c r="BM195" s="63">
        <f>IFERROR((RD[[#This Row],[Sunset Time (POA&lt;20 W/m2)]]-RD[[#This Row],[Sunrise Time (POA&gt;20 W/m2)]])*24,0)</f>
        <v>0</v>
      </c>
      <c r="BN195" s="64">
        <f>SUM(RD[[#This Row],[33kV_OG1_O2RE9_Energy (KWh)]],RD[[#This Row],[33kV_OG2_O2RE19_Energy (KWh)]])</f>
        <v>0</v>
      </c>
      <c r="BO195" s="64">
        <f>IFERROR(RD[[#This Row],[ Export (33 kV)]]*(1-RD[[#This Row],[33 kV Line Loss (%)]]),RD[[#This Row],[ Export (33 kV)]])</f>
        <v>0</v>
      </c>
      <c r="BP195" s="121"/>
      <c r="BQ195" s="121"/>
      <c r="BR195" s="121"/>
      <c r="BS195" t="str">
        <f>IFERROR(RD[[#This Row],[E_AC (WPR)]]/RD[[#This Row],[E_DC (WPR)]],"")</f>
        <v/>
      </c>
    </row>
    <row r="196" spans="1:71">
      <c r="A196" s="147">
        <f t="shared" si="73"/>
        <v>46030</v>
      </c>
      <c r="B196" s="150">
        <f>YEAR(RD[[#This Row],[Date]])+IF(MONTH(RD[[#This Row],[Date]])&gt;=4,1,0)</f>
        <v>2026</v>
      </c>
      <c r="C196" s="150">
        <f>YEAR(RD[[#This Row],[Date]])</f>
        <v>2026</v>
      </c>
      <c r="D196" s="65">
        <f t="shared" si="72"/>
        <v>46023</v>
      </c>
      <c r="E196" s="150">
        <f>DAY(EOMONTH(RD[[#This Row],[Date]],0))</f>
        <v>31</v>
      </c>
      <c r="F196" s="171"/>
      <c r="G196" s="171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68"/>
      <c r="AF196" s="168"/>
      <c r="AG196" s="168"/>
      <c r="AH196" s="168"/>
      <c r="AI196" s="168"/>
      <c r="AJ196" s="168"/>
      <c r="AK196" s="168"/>
      <c r="AL196" s="168"/>
      <c r="AM196" s="68"/>
      <c r="AN196" s="68"/>
      <c r="AO196" s="68"/>
      <c r="AP196" s="68"/>
      <c r="AQ196" s="68"/>
      <c r="AR196" s="68"/>
      <c r="AS196" s="68"/>
      <c r="AT196" s="68"/>
      <c r="AU196" s="69">
        <f>SUM(RD[[#This Row],[IS2Inv1M1]:[IS4Inv1M3]])</f>
        <v>0</v>
      </c>
      <c r="AV196" s="69">
        <f>SUM(RD[[#This Row],[IS5Inv1M1]:[IS5Inv2M3]])</f>
        <v>0</v>
      </c>
      <c r="AW196" s="69">
        <f>SUM(RD[[#This Row],[O2RE9]:[O2RE192]])</f>
        <v>0</v>
      </c>
      <c r="AX196" s="152"/>
      <c r="AY196" s="152"/>
      <c r="AZ196" s="152"/>
      <c r="BA196" s="152"/>
      <c r="BB196" s="152"/>
      <c r="BC196" s="152"/>
      <c r="BD196" s="153" t="str">
        <f>IF((RD[[#This Row],[33 kV_F1_Ex (O2RE9)]]-AX195)*150000&lt;=0,"",(RD[[#This Row],[33 kV_F1_Ex (O2RE9)]]-AX195)*150000)</f>
        <v/>
      </c>
      <c r="BE196" s="153">
        <f>IF((RD[[#This Row],[33kV_OG1_Ex (O2RE9)]]-AY195)*1000&lt;=0,0,(RD[[#This Row],[33kV_OG1_Ex (O2RE9)]]-AY195)*1000)</f>
        <v>0</v>
      </c>
      <c r="BF196" s="153"/>
      <c r="BG196" s="153" t="str">
        <f>IF((RD[[#This Row],[33 kV_F2_Ex (O2RE19)]]-BA195)*150000&lt;=0,"",(RD[[#This Row],[33 kV_F2_Ex (O2RE19)]]-BA195)*150000)</f>
        <v/>
      </c>
      <c r="BH196" s="153">
        <f>IF((RD[[#This Row],[33kV_OG2_Ex (O2RE19)]]-BB195)*1000&lt;=0,0,(RD[[#This Row],[33kV_OG2_Ex (O2RE19)]]-BB195)*1000)</f>
        <v>0</v>
      </c>
      <c r="BI196" s="153">
        <f>IF((RD[[#This Row],[33kV_Aux2_Im (O2RE19)]]-BC195)*1000&lt;0,"",(RD[[#This Row],[33kV_Aux2_Im (O2RE19)]]-BC195)*1000)</f>
        <v>0</v>
      </c>
      <c r="BJ196" s="153">
        <f>IF((RD[[#This Row],[33kV_Aux1_Im (O2RE9)]]-AZ195)*1000&lt;0,"",(RD[[#This Row],[33kV_Aux1_Im (O2RE9)]]-AZ195)*1000)</f>
        <v>0</v>
      </c>
      <c r="BK196" s="153">
        <f>SUM(RD[[#This Row],[33kV_OG1_O2RE9_Energy (KWh)]],RD[[#This Row],[33kV_OG2_O2RE19_Energy (KWh)]])</f>
        <v>0</v>
      </c>
      <c r="BL196" s="62" t="str">
        <f>IFERROR(RD[[#This Row],[33 kV Total Export (KWH)]]/RD[[#This Row],[Inv Total Gneration (MWh)]]-1,"")</f>
        <v/>
      </c>
      <c r="BM196" s="63">
        <f>IFERROR((RD[[#This Row],[Sunset Time (POA&lt;20 W/m2)]]-RD[[#This Row],[Sunrise Time (POA&gt;20 W/m2)]])*24,0)</f>
        <v>0</v>
      </c>
      <c r="BN196" s="64">
        <f>SUM(RD[[#This Row],[33kV_OG1_O2RE9_Energy (KWh)]],RD[[#This Row],[33kV_OG2_O2RE19_Energy (KWh)]])</f>
        <v>0</v>
      </c>
      <c r="BO196" s="64">
        <f>IFERROR(RD[[#This Row],[ Export (33 kV)]]*(1-RD[[#This Row],[33 kV Line Loss (%)]]),RD[[#This Row],[ Export (33 kV)]])</f>
        <v>0</v>
      </c>
      <c r="BP196" s="121"/>
      <c r="BQ196" s="121"/>
      <c r="BR196" s="121"/>
      <c r="BS196" t="str">
        <f>IFERROR(RD[[#This Row],[E_AC (WPR)]]/RD[[#This Row],[E_DC (WPR)]],"")</f>
        <v/>
      </c>
    </row>
    <row r="197" spans="1:71">
      <c r="A197" s="147">
        <f t="shared" si="73"/>
        <v>46031</v>
      </c>
      <c r="B197" s="150">
        <f>YEAR(RD[[#This Row],[Date]])+IF(MONTH(RD[[#This Row],[Date]])&gt;=4,1,0)</f>
        <v>2026</v>
      </c>
      <c r="C197" s="150">
        <f>YEAR(RD[[#This Row],[Date]])</f>
        <v>2026</v>
      </c>
      <c r="D197" s="65">
        <f t="shared" si="72"/>
        <v>46023</v>
      </c>
      <c r="E197" s="150">
        <f>DAY(EOMONTH(RD[[#This Row],[Date]],0))</f>
        <v>31</v>
      </c>
      <c r="F197" s="171"/>
      <c r="G197" s="171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68"/>
      <c r="AF197" s="168"/>
      <c r="AG197" s="168"/>
      <c r="AH197" s="168"/>
      <c r="AI197" s="168"/>
      <c r="AJ197" s="168"/>
      <c r="AK197" s="168"/>
      <c r="AL197" s="168"/>
      <c r="AM197" s="68"/>
      <c r="AN197" s="68"/>
      <c r="AO197" s="68"/>
      <c r="AP197" s="68"/>
      <c r="AQ197" s="68"/>
      <c r="AR197" s="68"/>
      <c r="AS197" s="68"/>
      <c r="AT197" s="68"/>
      <c r="AU197" s="69">
        <f>SUM(RD[[#This Row],[IS2Inv1M1]:[IS4Inv1M3]])</f>
        <v>0</v>
      </c>
      <c r="AV197" s="69">
        <f>SUM(RD[[#This Row],[IS5Inv1M1]:[IS5Inv2M3]])</f>
        <v>0</v>
      </c>
      <c r="AW197" s="69">
        <f>SUM(RD[[#This Row],[O2RE9]:[O2RE192]])</f>
        <v>0</v>
      </c>
      <c r="AX197" s="152"/>
      <c r="AY197" s="152"/>
      <c r="AZ197" s="152"/>
      <c r="BA197" s="152"/>
      <c r="BB197" s="152"/>
      <c r="BC197" s="152"/>
      <c r="BD197" s="153" t="str">
        <f>IF((RD[[#This Row],[33 kV_F1_Ex (O2RE9)]]-AX196)*150000&lt;=0,"",(RD[[#This Row],[33 kV_F1_Ex (O2RE9)]]-AX196)*150000)</f>
        <v/>
      </c>
      <c r="BE197" s="153">
        <f>IF((RD[[#This Row],[33kV_OG1_Ex (O2RE9)]]-AY196)*1000&lt;=0,0,(RD[[#This Row],[33kV_OG1_Ex (O2RE9)]]-AY196)*1000)</f>
        <v>0</v>
      </c>
      <c r="BF197" s="153"/>
      <c r="BG197" s="153" t="str">
        <f>IF((RD[[#This Row],[33 kV_F2_Ex (O2RE19)]]-BA196)*150000&lt;=0,"",(RD[[#This Row],[33 kV_F2_Ex (O2RE19)]]-BA196)*150000)</f>
        <v/>
      </c>
      <c r="BH197" s="153">
        <f>IF((RD[[#This Row],[33kV_OG2_Ex (O2RE19)]]-BB196)*1000&lt;=0,0,(RD[[#This Row],[33kV_OG2_Ex (O2RE19)]]-BB196)*1000)</f>
        <v>0</v>
      </c>
      <c r="BI197" s="153">
        <f>IF((RD[[#This Row],[33kV_Aux2_Im (O2RE19)]]-BC196)*1000&lt;0,"",(RD[[#This Row],[33kV_Aux2_Im (O2RE19)]]-BC196)*1000)</f>
        <v>0</v>
      </c>
      <c r="BJ197" s="153">
        <f>IF((RD[[#This Row],[33kV_Aux1_Im (O2RE9)]]-AZ196)*1000&lt;0,"",(RD[[#This Row],[33kV_Aux1_Im (O2RE9)]]-AZ196)*1000)</f>
        <v>0</v>
      </c>
      <c r="BK197" s="153">
        <f>SUM(RD[[#This Row],[33kV_OG1_O2RE9_Energy (KWh)]],RD[[#This Row],[33kV_OG2_O2RE19_Energy (KWh)]])</f>
        <v>0</v>
      </c>
      <c r="BL197" s="62" t="str">
        <f>IFERROR(RD[[#This Row],[33 kV Total Export (KWH)]]/RD[[#This Row],[Inv Total Gneration (MWh)]]-1,"")</f>
        <v/>
      </c>
      <c r="BM197" s="63">
        <f>IFERROR((RD[[#This Row],[Sunset Time (POA&lt;20 W/m2)]]-RD[[#This Row],[Sunrise Time (POA&gt;20 W/m2)]])*24,0)</f>
        <v>0</v>
      </c>
      <c r="BN197" s="64">
        <f>SUM(RD[[#This Row],[33kV_OG1_O2RE9_Energy (KWh)]],RD[[#This Row],[33kV_OG2_O2RE19_Energy (KWh)]])</f>
        <v>0</v>
      </c>
      <c r="BO197" s="64">
        <f>IFERROR(RD[[#This Row],[ Export (33 kV)]]*(1-RD[[#This Row],[33 kV Line Loss (%)]]),RD[[#This Row],[ Export (33 kV)]])</f>
        <v>0</v>
      </c>
      <c r="BP197" s="121"/>
      <c r="BQ197" s="121"/>
      <c r="BR197" s="121"/>
      <c r="BS197" t="str">
        <f>IFERROR(RD[[#This Row],[E_AC (WPR)]]/RD[[#This Row],[E_DC (WPR)]],"")</f>
        <v/>
      </c>
    </row>
    <row r="198" spans="1:71">
      <c r="A198" s="147">
        <f t="shared" si="73"/>
        <v>46032</v>
      </c>
      <c r="B198" s="150">
        <f>YEAR(RD[[#This Row],[Date]])+IF(MONTH(RD[[#This Row],[Date]])&gt;=4,1,0)</f>
        <v>2026</v>
      </c>
      <c r="C198" s="150">
        <f>YEAR(RD[[#This Row],[Date]])</f>
        <v>2026</v>
      </c>
      <c r="D198" s="65">
        <f t="shared" si="72"/>
        <v>46023</v>
      </c>
      <c r="E198" s="150">
        <f>DAY(EOMONTH(RD[[#This Row],[Date]],0))</f>
        <v>31</v>
      </c>
      <c r="F198" s="171"/>
      <c r="G198" s="171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68"/>
      <c r="AF198" s="168"/>
      <c r="AG198" s="168"/>
      <c r="AH198" s="168"/>
      <c r="AI198" s="168"/>
      <c r="AJ198" s="168"/>
      <c r="AK198" s="168"/>
      <c r="AL198" s="168"/>
      <c r="AM198" s="68"/>
      <c r="AN198" s="68"/>
      <c r="AO198" s="68"/>
      <c r="AP198" s="68"/>
      <c r="AQ198" s="68"/>
      <c r="AR198" s="68"/>
      <c r="AS198" s="68"/>
      <c r="AT198" s="68"/>
      <c r="AU198" s="69">
        <f>SUM(RD[[#This Row],[IS2Inv1M1]:[IS4Inv1M3]])</f>
        <v>0</v>
      </c>
      <c r="AV198" s="69">
        <f>SUM(RD[[#This Row],[IS5Inv1M1]:[IS5Inv2M3]])</f>
        <v>0</v>
      </c>
      <c r="AW198" s="69">
        <f>SUM(RD[[#This Row],[O2RE9]:[O2RE192]])</f>
        <v>0</v>
      </c>
      <c r="AX198" s="152"/>
      <c r="AY198" s="152"/>
      <c r="AZ198" s="152"/>
      <c r="BA198" s="152"/>
      <c r="BB198" s="152"/>
      <c r="BC198" s="152"/>
      <c r="BD198" s="153" t="str">
        <f>IF((RD[[#This Row],[33 kV_F1_Ex (O2RE9)]]-AX197)*150000&lt;=0,"",(RD[[#This Row],[33 kV_F1_Ex (O2RE9)]]-AX197)*150000)</f>
        <v/>
      </c>
      <c r="BE198" s="153">
        <f>IF((RD[[#This Row],[33kV_OG1_Ex (O2RE9)]]-AY197)*1000&lt;=0,0,(RD[[#This Row],[33kV_OG1_Ex (O2RE9)]]-AY197)*1000)</f>
        <v>0</v>
      </c>
      <c r="BF198" s="153"/>
      <c r="BG198" s="153" t="str">
        <f>IF((RD[[#This Row],[33 kV_F2_Ex (O2RE19)]]-BA197)*150000&lt;=0,"",(RD[[#This Row],[33 kV_F2_Ex (O2RE19)]]-BA197)*150000)</f>
        <v/>
      </c>
      <c r="BH198" s="153">
        <f>IF((RD[[#This Row],[33kV_OG2_Ex (O2RE19)]]-BB197)*1000&lt;=0,0,(RD[[#This Row],[33kV_OG2_Ex (O2RE19)]]-BB197)*1000)</f>
        <v>0</v>
      </c>
      <c r="BI198" s="153">
        <f>IF((RD[[#This Row],[33kV_Aux2_Im (O2RE19)]]-BC197)*1000&lt;0,"",(RD[[#This Row],[33kV_Aux2_Im (O2RE19)]]-BC197)*1000)</f>
        <v>0</v>
      </c>
      <c r="BJ198" s="153">
        <f>IF((RD[[#This Row],[33kV_Aux1_Im (O2RE9)]]-AZ197)*1000&lt;0,"",(RD[[#This Row],[33kV_Aux1_Im (O2RE9)]]-AZ197)*1000)</f>
        <v>0</v>
      </c>
      <c r="BK198" s="153">
        <f>SUM(RD[[#This Row],[33kV_OG1_O2RE9_Energy (KWh)]],RD[[#This Row],[33kV_OG2_O2RE19_Energy (KWh)]])</f>
        <v>0</v>
      </c>
      <c r="BL198" s="62" t="str">
        <f>IFERROR(RD[[#This Row],[33 kV Total Export (KWH)]]/RD[[#This Row],[Inv Total Gneration (MWh)]]-1,"")</f>
        <v/>
      </c>
      <c r="BM198" s="63">
        <f>IFERROR((RD[[#This Row],[Sunset Time (POA&lt;20 W/m2)]]-RD[[#This Row],[Sunrise Time (POA&gt;20 W/m2)]])*24,0)</f>
        <v>0</v>
      </c>
      <c r="BN198" s="64">
        <f>SUM(RD[[#This Row],[33kV_OG1_O2RE9_Energy (KWh)]],RD[[#This Row],[33kV_OG2_O2RE19_Energy (KWh)]])</f>
        <v>0</v>
      </c>
      <c r="BO198" s="64">
        <f>IFERROR(RD[[#This Row],[ Export (33 kV)]]*(1-RD[[#This Row],[33 kV Line Loss (%)]]),RD[[#This Row],[ Export (33 kV)]])</f>
        <v>0</v>
      </c>
      <c r="BP198" s="121"/>
      <c r="BQ198" s="121"/>
      <c r="BR198" s="121"/>
      <c r="BS198" t="str">
        <f>IFERROR(RD[[#This Row],[E_AC (WPR)]]/RD[[#This Row],[E_DC (WPR)]],"")</f>
        <v/>
      </c>
    </row>
    <row r="199" spans="1:71">
      <c r="A199" s="147">
        <f t="shared" si="73"/>
        <v>46033</v>
      </c>
      <c r="B199" s="150">
        <f>YEAR(RD[[#This Row],[Date]])+IF(MONTH(RD[[#This Row],[Date]])&gt;=4,1,0)</f>
        <v>2026</v>
      </c>
      <c r="C199" s="150">
        <f>YEAR(RD[[#This Row],[Date]])</f>
        <v>2026</v>
      </c>
      <c r="D199" s="65">
        <f t="shared" si="72"/>
        <v>46023</v>
      </c>
      <c r="E199" s="150">
        <f>DAY(EOMONTH(RD[[#This Row],[Date]],0))</f>
        <v>31</v>
      </c>
      <c r="F199" s="171"/>
      <c r="G199" s="171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68"/>
      <c r="AF199" s="168"/>
      <c r="AG199" s="168"/>
      <c r="AH199" s="168"/>
      <c r="AI199" s="168"/>
      <c r="AJ199" s="168"/>
      <c r="AK199" s="168"/>
      <c r="AL199" s="168"/>
      <c r="AM199" s="68"/>
      <c r="AN199" s="68"/>
      <c r="AO199" s="68"/>
      <c r="AP199" s="68"/>
      <c r="AQ199" s="68"/>
      <c r="AR199" s="68"/>
      <c r="AS199" s="68"/>
      <c r="AT199" s="68"/>
      <c r="AU199" s="69">
        <f>SUM(RD[[#This Row],[IS2Inv1M1]:[IS4Inv1M3]])</f>
        <v>0</v>
      </c>
      <c r="AV199" s="69">
        <f>SUM(RD[[#This Row],[IS5Inv1M1]:[IS5Inv2M3]])</f>
        <v>0</v>
      </c>
      <c r="AW199" s="69">
        <f>SUM(RD[[#This Row],[O2RE9]:[O2RE192]])</f>
        <v>0</v>
      </c>
      <c r="AX199" s="152"/>
      <c r="AY199" s="152"/>
      <c r="AZ199" s="152"/>
      <c r="BA199" s="152"/>
      <c r="BB199" s="152"/>
      <c r="BC199" s="152"/>
      <c r="BD199" s="153" t="str">
        <f>IF((RD[[#This Row],[33 kV_F1_Ex (O2RE9)]]-AX198)*150000&lt;=0,"",(RD[[#This Row],[33 kV_F1_Ex (O2RE9)]]-AX198)*150000)</f>
        <v/>
      </c>
      <c r="BE199" s="153">
        <f>IF((RD[[#This Row],[33kV_OG1_Ex (O2RE9)]]-AY198)*1000&lt;=0,0,(RD[[#This Row],[33kV_OG1_Ex (O2RE9)]]-AY198)*1000)</f>
        <v>0</v>
      </c>
      <c r="BF199" s="153"/>
      <c r="BG199" s="153" t="str">
        <f>IF((RD[[#This Row],[33 kV_F2_Ex (O2RE19)]]-BA198)*150000&lt;=0,"",(RD[[#This Row],[33 kV_F2_Ex (O2RE19)]]-BA198)*150000)</f>
        <v/>
      </c>
      <c r="BH199" s="153">
        <f>IF((RD[[#This Row],[33kV_OG2_Ex (O2RE19)]]-BB198)*1000&lt;=0,0,(RD[[#This Row],[33kV_OG2_Ex (O2RE19)]]-BB198)*1000)</f>
        <v>0</v>
      </c>
      <c r="BI199" s="153">
        <f>IF((RD[[#This Row],[33kV_Aux2_Im (O2RE19)]]-BC198)*1000&lt;0,"",(RD[[#This Row],[33kV_Aux2_Im (O2RE19)]]-BC198)*1000)</f>
        <v>0</v>
      </c>
      <c r="BJ199" s="153">
        <f>IF((RD[[#This Row],[33kV_Aux1_Im (O2RE9)]]-AZ198)*1000&lt;0,"",(RD[[#This Row],[33kV_Aux1_Im (O2RE9)]]-AZ198)*1000)</f>
        <v>0</v>
      </c>
      <c r="BK199" s="153">
        <f>SUM(RD[[#This Row],[33kV_OG1_O2RE9_Energy (KWh)]],RD[[#This Row],[33kV_OG2_O2RE19_Energy (KWh)]])</f>
        <v>0</v>
      </c>
      <c r="BL199" s="62" t="str">
        <f>IFERROR(RD[[#This Row],[33 kV Total Export (KWH)]]/RD[[#This Row],[Inv Total Gneration (MWh)]]-1,"")</f>
        <v/>
      </c>
      <c r="BM199" s="63">
        <f>IFERROR((RD[[#This Row],[Sunset Time (POA&lt;20 W/m2)]]-RD[[#This Row],[Sunrise Time (POA&gt;20 W/m2)]])*24,0)</f>
        <v>0</v>
      </c>
      <c r="BN199" s="64">
        <f>SUM(RD[[#This Row],[33kV_OG1_O2RE9_Energy (KWh)]],RD[[#This Row],[33kV_OG2_O2RE19_Energy (KWh)]])</f>
        <v>0</v>
      </c>
      <c r="BO199" s="64">
        <f>IFERROR(RD[[#This Row],[ Export (33 kV)]]*(1-RD[[#This Row],[33 kV Line Loss (%)]]),RD[[#This Row],[ Export (33 kV)]])</f>
        <v>0</v>
      </c>
      <c r="BP199" s="121"/>
      <c r="BQ199" s="121"/>
      <c r="BR199" s="121"/>
      <c r="BS199" t="str">
        <f>IFERROR(RD[[#This Row],[E_AC (WPR)]]/RD[[#This Row],[E_DC (WPR)]],"")</f>
        <v/>
      </c>
    </row>
    <row r="200" spans="1:71">
      <c r="A200" s="147">
        <f t="shared" si="73"/>
        <v>46034</v>
      </c>
      <c r="B200" s="150">
        <f>YEAR(RD[[#This Row],[Date]])+IF(MONTH(RD[[#This Row],[Date]])&gt;=4,1,0)</f>
        <v>2026</v>
      </c>
      <c r="C200" s="150">
        <f>YEAR(RD[[#This Row],[Date]])</f>
        <v>2026</v>
      </c>
      <c r="D200" s="65">
        <f t="shared" si="72"/>
        <v>46023</v>
      </c>
      <c r="E200" s="150">
        <f>DAY(EOMONTH(RD[[#This Row],[Date]],0))</f>
        <v>31</v>
      </c>
      <c r="F200" s="171"/>
      <c r="G200" s="171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68"/>
      <c r="AF200" s="168"/>
      <c r="AG200" s="168"/>
      <c r="AH200" s="168"/>
      <c r="AI200" s="168"/>
      <c r="AJ200" s="168"/>
      <c r="AK200" s="168"/>
      <c r="AL200" s="168"/>
      <c r="AM200" s="68"/>
      <c r="AN200" s="68"/>
      <c r="AO200" s="68"/>
      <c r="AP200" s="68"/>
      <c r="AQ200" s="68"/>
      <c r="AR200" s="68"/>
      <c r="AS200" s="68"/>
      <c r="AT200" s="68"/>
      <c r="AU200" s="69">
        <f>SUM(RD[[#This Row],[IS2Inv1M1]:[IS4Inv1M3]])</f>
        <v>0</v>
      </c>
      <c r="AV200" s="69">
        <f>SUM(RD[[#This Row],[IS5Inv1M1]:[IS5Inv2M3]])</f>
        <v>0</v>
      </c>
      <c r="AW200" s="69">
        <f>SUM(RD[[#This Row],[O2RE9]:[O2RE192]])</f>
        <v>0</v>
      </c>
      <c r="AX200" s="152"/>
      <c r="AY200" s="152"/>
      <c r="AZ200" s="152"/>
      <c r="BA200" s="152"/>
      <c r="BB200" s="152"/>
      <c r="BC200" s="152"/>
      <c r="BD200" s="153" t="str">
        <f>IF((RD[[#This Row],[33 kV_F1_Ex (O2RE9)]]-AX199)*150000&lt;=0,"",(RD[[#This Row],[33 kV_F1_Ex (O2RE9)]]-AX199)*150000)</f>
        <v/>
      </c>
      <c r="BE200" s="153">
        <f>IF((RD[[#This Row],[33kV_OG1_Ex (O2RE9)]]-AY199)*1000&lt;=0,0,(RD[[#This Row],[33kV_OG1_Ex (O2RE9)]]-AY199)*1000)</f>
        <v>0</v>
      </c>
      <c r="BF200" s="153"/>
      <c r="BG200" s="153" t="str">
        <f>IF((RD[[#This Row],[33 kV_F2_Ex (O2RE19)]]-BA199)*150000&lt;=0,"",(RD[[#This Row],[33 kV_F2_Ex (O2RE19)]]-BA199)*150000)</f>
        <v/>
      </c>
      <c r="BH200" s="153">
        <f>IF((RD[[#This Row],[33kV_OG2_Ex (O2RE19)]]-BB199)*1000&lt;=0,0,(RD[[#This Row],[33kV_OG2_Ex (O2RE19)]]-BB199)*1000)</f>
        <v>0</v>
      </c>
      <c r="BI200" s="153">
        <f>IF((RD[[#This Row],[33kV_Aux2_Im (O2RE19)]]-BC199)*1000&lt;0,"",(RD[[#This Row],[33kV_Aux2_Im (O2RE19)]]-BC199)*1000)</f>
        <v>0</v>
      </c>
      <c r="BJ200" s="153">
        <f>IF((RD[[#This Row],[33kV_Aux1_Im (O2RE9)]]-AZ199)*1000&lt;0,"",(RD[[#This Row],[33kV_Aux1_Im (O2RE9)]]-AZ199)*1000)</f>
        <v>0</v>
      </c>
      <c r="BK200" s="153">
        <f>SUM(RD[[#This Row],[33kV_OG1_O2RE9_Energy (KWh)]],RD[[#This Row],[33kV_OG2_O2RE19_Energy (KWh)]])</f>
        <v>0</v>
      </c>
      <c r="BL200" s="62" t="str">
        <f>IFERROR(RD[[#This Row],[33 kV Total Export (KWH)]]/RD[[#This Row],[Inv Total Gneration (MWh)]]-1,"")</f>
        <v/>
      </c>
      <c r="BM200" s="63">
        <f>IFERROR((RD[[#This Row],[Sunset Time (POA&lt;20 W/m2)]]-RD[[#This Row],[Sunrise Time (POA&gt;20 W/m2)]])*24,0)</f>
        <v>0</v>
      </c>
      <c r="BN200" s="64">
        <f>SUM(RD[[#This Row],[33kV_OG1_O2RE9_Energy (KWh)]],RD[[#This Row],[33kV_OG2_O2RE19_Energy (KWh)]])</f>
        <v>0</v>
      </c>
      <c r="BO200" s="64">
        <f>IFERROR(RD[[#This Row],[ Export (33 kV)]]*(1-RD[[#This Row],[33 kV Line Loss (%)]]),RD[[#This Row],[ Export (33 kV)]])</f>
        <v>0</v>
      </c>
      <c r="BP200" s="121"/>
      <c r="BQ200" s="121"/>
      <c r="BR200" s="121"/>
      <c r="BS200" t="str">
        <f>IFERROR(RD[[#This Row],[E_AC (WPR)]]/RD[[#This Row],[E_DC (WPR)]],"")</f>
        <v/>
      </c>
    </row>
    <row r="201" spans="1:71">
      <c r="A201" s="147">
        <f t="shared" si="73"/>
        <v>46035</v>
      </c>
      <c r="B201" s="150">
        <f>YEAR(RD[[#This Row],[Date]])+IF(MONTH(RD[[#This Row],[Date]])&gt;=4,1,0)</f>
        <v>2026</v>
      </c>
      <c r="C201" s="150">
        <f>YEAR(RD[[#This Row],[Date]])</f>
        <v>2026</v>
      </c>
      <c r="D201" s="65">
        <f t="shared" si="72"/>
        <v>46023</v>
      </c>
      <c r="E201" s="150">
        <f>DAY(EOMONTH(RD[[#This Row],[Date]],0))</f>
        <v>31</v>
      </c>
      <c r="F201" s="171"/>
      <c r="G201" s="171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68"/>
      <c r="AF201" s="168"/>
      <c r="AG201" s="168"/>
      <c r="AH201" s="168"/>
      <c r="AI201" s="168"/>
      <c r="AJ201" s="168"/>
      <c r="AK201" s="168"/>
      <c r="AL201" s="168"/>
      <c r="AM201" s="68"/>
      <c r="AN201" s="68"/>
      <c r="AO201" s="68"/>
      <c r="AP201" s="68"/>
      <c r="AQ201" s="68"/>
      <c r="AR201" s="68"/>
      <c r="AS201" s="68"/>
      <c r="AT201" s="68"/>
      <c r="AU201" s="69">
        <f>SUM(RD[[#This Row],[IS2Inv1M1]:[IS4Inv1M3]])</f>
        <v>0</v>
      </c>
      <c r="AV201" s="69">
        <f>SUM(RD[[#This Row],[IS5Inv1M1]:[IS5Inv2M3]])</f>
        <v>0</v>
      </c>
      <c r="AW201" s="69">
        <f>SUM(RD[[#This Row],[O2RE9]:[O2RE192]])</f>
        <v>0</v>
      </c>
      <c r="AX201" s="152"/>
      <c r="AY201" s="152"/>
      <c r="AZ201" s="152"/>
      <c r="BA201" s="152"/>
      <c r="BB201" s="152"/>
      <c r="BC201" s="152"/>
      <c r="BD201" s="153"/>
      <c r="BE201" s="153">
        <f>IF((RD[[#This Row],[33kV_OG1_Ex (O2RE9)]]-AY200)*1000&lt;=0,0,(RD[[#This Row],[33kV_OG1_Ex (O2RE9)]]-AY200)*1000)</f>
        <v>0</v>
      </c>
      <c r="BF201" s="153"/>
      <c r="BG201" s="153" t="str">
        <f>IF((RD[[#This Row],[33 kV_F2_Ex (O2RE19)]]-BA200)*150000&lt;=0,"",(RD[[#This Row],[33 kV_F2_Ex (O2RE19)]]-BA200)*150000)</f>
        <v/>
      </c>
      <c r="BH201" s="153">
        <f>IF((RD[[#This Row],[33kV_OG2_Ex (O2RE19)]]-BB200)*1000&lt;=0,0,(RD[[#This Row],[33kV_OG2_Ex (O2RE19)]]-BB200)*1000)</f>
        <v>0</v>
      </c>
      <c r="BI201" s="153">
        <f>IF((RD[[#This Row],[33kV_Aux2_Im (O2RE19)]]-BC200)*1000&lt;0,"",(RD[[#This Row],[33kV_Aux2_Im (O2RE19)]]-BC200)*1000)</f>
        <v>0</v>
      </c>
      <c r="BJ201" s="153">
        <f>IF((RD[[#This Row],[33kV_Aux1_Im (O2RE9)]]-AZ200)*1000&lt;0,"",(RD[[#This Row],[33kV_Aux1_Im (O2RE9)]]-AZ200)*1000)</f>
        <v>0</v>
      </c>
      <c r="BK201" s="153">
        <f>SUM(RD[[#This Row],[33kV_OG1_O2RE9_Energy (KWh)]],RD[[#This Row],[33kV_OG2_O2RE19_Energy (KWh)]])</f>
        <v>0</v>
      </c>
      <c r="BL201" s="62" t="str">
        <f>IFERROR(RD[[#This Row],[33 kV Total Export (KWH)]]/RD[[#This Row],[Inv Total Gneration (MWh)]]-1,"")</f>
        <v/>
      </c>
      <c r="BM201" s="63">
        <f>IFERROR((RD[[#This Row],[Sunset Time (POA&lt;20 W/m2)]]-RD[[#This Row],[Sunrise Time (POA&gt;20 W/m2)]])*24,0)</f>
        <v>0</v>
      </c>
      <c r="BN201" s="64">
        <f>SUM(RD[[#This Row],[33kV_OG1_O2RE9_Energy (KWh)]],RD[[#This Row],[33kV_OG2_O2RE19_Energy (KWh)]])</f>
        <v>0</v>
      </c>
      <c r="BO201" s="64">
        <f>IFERROR(RD[[#This Row],[ Export (33 kV)]]*(1-RD[[#This Row],[33 kV Line Loss (%)]]),RD[[#This Row],[ Export (33 kV)]])</f>
        <v>0</v>
      </c>
      <c r="BP201" s="121"/>
      <c r="BQ201" s="121"/>
      <c r="BR201" s="121"/>
      <c r="BS201" t="str">
        <f>IFERROR(RD[[#This Row],[E_AC (WPR)]]/RD[[#This Row],[E_DC (WPR)]],"")</f>
        <v/>
      </c>
    </row>
    <row r="202" spans="1:71">
      <c r="A202" s="147">
        <f t="shared" si="73"/>
        <v>46036</v>
      </c>
      <c r="B202" s="150">
        <f>YEAR(RD[[#This Row],[Date]])+IF(MONTH(RD[[#This Row],[Date]])&gt;=4,1,0)</f>
        <v>2026</v>
      </c>
      <c r="C202" s="150">
        <f>YEAR(RD[[#This Row],[Date]])</f>
        <v>2026</v>
      </c>
      <c r="D202" s="65">
        <f t="shared" si="72"/>
        <v>46023</v>
      </c>
      <c r="E202" s="150">
        <f>DAY(EOMONTH(RD[[#This Row],[Date]],0))</f>
        <v>31</v>
      </c>
      <c r="F202" s="171"/>
      <c r="G202" s="171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68"/>
      <c r="AF202" s="168"/>
      <c r="AG202" s="168"/>
      <c r="AH202" s="168"/>
      <c r="AI202" s="168"/>
      <c r="AJ202" s="168"/>
      <c r="AK202" s="168"/>
      <c r="AL202" s="168"/>
      <c r="AM202" s="68"/>
      <c r="AN202" s="68"/>
      <c r="AO202" s="68"/>
      <c r="AP202" s="68"/>
      <c r="AQ202" s="68"/>
      <c r="AR202" s="68"/>
      <c r="AS202" s="68"/>
      <c r="AT202" s="68"/>
      <c r="AU202" s="69">
        <f>SUM(RD[[#This Row],[IS2Inv1M1]:[IS4Inv1M3]])</f>
        <v>0</v>
      </c>
      <c r="AV202" s="69">
        <f>SUM(RD[[#This Row],[IS5Inv1M1]:[IS5Inv2M3]])</f>
        <v>0</v>
      </c>
      <c r="AW202" s="69">
        <f>SUM(RD[[#This Row],[O2RE9]:[O2RE192]])</f>
        <v>0</v>
      </c>
      <c r="AX202" s="152"/>
      <c r="AY202" s="152"/>
      <c r="AZ202" s="152"/>
      <c r="BA202" s="152"/>
      <c r="BB202" s="152"/>
      <c r="BC202" s="152"/>
      <c r="BD202" s="153" t="str">
        <f>IF((RD[[#This Row],[33 kV_F1_Ex (O2RE9)]]-AX201)*225000&lt;=0,"",(RD[[#This Row],[33 kV_F1_Ex (O2RE9)]]-AX201)*225000)</f>
        <v/>
      </c>
      <c r="BE202" s="153">
        <f>IF((RD[[#This Row],[33kV_OG1_Ex (O2RE9)]]-AY201)*1000&lt;=0,0,(RD[[#This Row],[33kV_OG1_Ex (O2RE9)]]-AY201)*1000)</f>
        <v>0</v>
      </c>
      <c r="BF202" s="153"/>
      <c r="BG202" s="153" t="str">
        <f>IF((RD[[#This Row],[33 kV_F2_Ex (O2RE19)]]-BA201)*150000&lt;=0,"",(RD[[#This Row],[33 kV_F2_Ex (O2RE19)]]-BA201)*150000)</f>
        <v/>
      </c>
      <c r="BH202" s="153">
        <f>IF((RD[[#This Row],[33kV_OG2_Ex (O2RE19)]]-BB201)*1000&lt;=0,0,(RD[[#This Row],[33kV_OG2_Ex (O2RE19)]]-BB201)*1000)</f>
        <v>0</v>
      </c>
      <c r="BI202" s="153">
        <f>IF((RD[[#This Row],[33kV_Aux2_Im (O2RE19)]]-BC201)*1000&lt;0,"",(RD[[#This Row],[33kV_Aux2_Im (O2RE19)]]-BC201)*1000)</f>
        <v>0</v>
      </c>
      <c r="BJ202" s="153">
        <f>IF((RD[[#This Row],[33kV_Aux1_Im (O2RE9)]]-AZ201)*1000&lt;0,"",(RD[[#This Row],[33kV_Aux1_Im (O2RE9)]]-AZ201)*1000)</f>
        <v>0</v>
      </c>
      <c r="BK202" s="153">
        <f>SUM(RD[[#This Row],[33kV_OG1_O2RE9_Energy (KWh)]],RD[[#This Row],[33kV_OG2_O2RE19_Energy (KWh)]])</f>
        <v>0</v>
      </c>
      <c r="BL202" s="62" t="str">
        <f>IFERROR(RD[[#This Row],[33 kV Total Export (KWH)]]/RD[[#This Row],[Inv Total Gneration (MWh)]]-1,"")</f>
        <v/>
      </c>
      <c r="BM202" s="63">
        <f>IFERROR((RD[[#This Row],[Sunset Time (POA&lt;20 W/m2)]]-RD[[#This Row],[Sunrise Time (POA&gt;20 W/m2)]])*24,0)</f>
        <v>0</v>
      </c>
      <c r="BN202" s="64">
        <f>SUM(RD[[#This Row],[33kV_OG1_O2RE9_Energy (KWh)]],RD[[#This Row],[33kV_OG2_O2RE19_Energy (KWh)]])</f>
        <v>0</v>
      </c>
      <c r="BO202" s="64">
        <f>IFERROR(RD[[#This Row],[ Export (33 kV)]]*(1-RD[[#This Row],[33 kV Line Loss (%)]]),RD[[#This Row],[ Export (33 kV)]])</f>
        <v>0</v>
      </c>
      <c r="BP202" s="189"/>
      <c r="BQ202" s="189"/>
      <c r="BR202" s="189"/>
      <c r="BS202" t="str">
        <f>IFERROR(RD[[#This Row],[E_AC (WPR)]]/RD[[#This Row],[E_DC (WPR)]],"")</f>
        <v/>
      </c>
    </row>
    <row r="203" spans="1:71">
      <c r="A203" s="147">
        <f t="shared" si="73"/>
        <v>46037</v>
      </c>
      <c r="B203" s="150">
        <f>YEAR(RD[[#This Row],[Date]])+IF(MONTH(RD[[#This Row],[Date]])&gt;=4,1,0)</f>
        <v>2026</v>
      </c>
      <c r="C203" s="150">
        <f>YEAR(RD[[#This Row],[Date]])</f>
        <v>2026</v>
      </c>
      <c r="D203" s="65">
        <f t="shared" si="72"/>
        <v>46023</v>
      </c>
      <c r="E203" s="150">
        <f>DAY(EOMONTH(RD[[#This Row],[Date]],0))</f>
        <v>31</v>
      </c>
      <c r="F203" s="171"/>
      <c r="G203" s="171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68"/>
      <c r="AF203" s="168"/>
      <c r="AG203" s="168"/>
      <c r="AH203" s="168"/>
      <c r="AI203" s="168"/>
      <c r="AJ203" s="168"/>
      <c r="AK203" s="168"/>
      <c r="AL203" s="168"/>
      <c r="AM203" s="71"/>
      <c r="AN203" s="68"/>
      <c r="AO203" s="68"/>
      <c r="AP203" s="68"/>
      <c r="AQ203" s="68"/>
      <c r="AR203" s="68"/>
      <c r="AS203" s="68"/>
      <c r="AT203" s="68"/>
      <c r="AU203" s="69">
        <f>SUM(RD[[#This Row],[IS2Inv1M1]:[IS4Inv1M3]])</f>
        <v>0</v>
      </c>
      <c r="AV203" s="69">
        <f>SUM(RD[[#This Row],[IS5Inv1M1]:[IS5Inv2M3]])</f>
        <v>0</v>
      </c>
      <c r="AW203" s="69">
        <f>SUM(RD[[#This Row],[O2RE9]:[O2RE192]])</f>
        <v>0</v>
      </c>
      <c r="AX203" s="152"/>
      <c r="AY203" s="152"/>
      <c r="AZ203" s="152"/>
      <c r="BA203" s="152"/>
      <c r="BB203" s="152"/>
      <c r="BC203" s="152"/>
      <c r="BD203" s="153" t="str">
        <f>IF((RD[[#This Row],[33 kV_F1_Ex (O2RE9)]]-AX202)*225000&lt;=0,"",(RD[[#This Row],[33 kV_F1_Ex (O2RE9)]]-AX202)*225000)</f>
        <v/>
      </c>
      <c r="BE203" s="153">
        <f>IF((RD[[#This Row],[33kV_OG1_Ex (O2RE9)]]-AY202)*1000&lt;=0,0,(RD[[#This Row],[33kV_OG1_Ex (O2RE9)]]-AY202)*1000)</f>
        <v>0</v>
      </c>
      <c r="BF203" s="153"/>
      <c r="BG203" s="153" t="str">
        <f>IF((RD[[#This Row],[33 kV_F2_Ex (O2RE19)]]-BA202)*150000&lt;=0,"",(RD[[#This Row],[33 kV_F2_Ex (O2RE19)]]-BA202)*150000)</f>
        <v/>
      </c>
      <c r="BH203" s="153">
        <f>IF((RD[[#This Row],[33kV_OG2_Ex (O2RE19)]]-BB202)*1000&lt;=0,0,(RD[[#This Row],[33kV_OG2_Ex (O2RE19)]]-BB202)*1000)</f>
        <v>0</v>
      </c>
      <c r="BI203" s="153">
        <f>IF((RD[[#This Row],[33kV_Aux2_Im (O2RE19)]]-BC202)*1000&lt;0,"",(RD[[#This Row],[33kV_Aux2_Im (O2RE19)]]-BC202)*1000)</f>
        <v>0</v>
      </c>
      <c r="BJ203" s="153">
        <f>IF((RD[[#This Row],[33kV_Aux1_Im (O2RE9)]]-AZ202)*1000&lt;0,"",(RD[[#This Row],[33kV_Aux1_Im (O2RE9)]]-AZ202)*1000)</f>
        <v>0</v>
      </c>
      <c r="BK203" s="153">
        <f>SUM(RD[[#This Row],[33kV_OG1_O2RE9_Energy (KWh)]],RD[[#This Row],[33kV_OG2_O2RE19_Energy (KWh)]])</f>
        <v>0</v>
      </c>
      <c r="BL203" s="62" t="str">
        <f>IFERROR(RD[[#This Row],[33 kV Total Export (KWH)]]/RD[[#This Row],[Inv Total Gneration (MWh)]]-1,"")</f>
        <v/>
      </c>
      <c r="BM203" s="63">
        <f>IFERROR((RD[[#This Row],[Sunset Time (POA&lt;20 W/m2)]]-RD[[#This Row],[Sunrise Time (POA&gt;20 W/m2)]])*24,0)</f>
        <v>0</v>
      </c>
      <c r="BN203" s="64">
        <f>SUM(RD[[#This Row],[33kV_OG1_O2RE9_Energy (KWh)]],RD[[#This Row],[33kV_OG2_O2RE19_Energy (KWh)]])</f>
        <v>0</v>
      </c>
      <c r="BO203" s="64">
        <f>IFERROR(RD[[#This Row],[ Export (33 kV)]]*(1-RD[[#This Row],[33 kV Line Loss (%)]]),RD[[#This Row],[ Export (33 kV)]])</f>
        <v>0</v>
      </c>
      <c r="BP203" s="189"/>
      <c r="BQ203" s="189"/>
      <c r="BR203" s="189"/>
      <c r="BS203" t="str">
        <f>IFERROR(RD[[#This Row],[E_AC (WPR)]]/RD[[#This Row],[E_DC (WPR)]],"")</f>
        <v/>
      </c>
    </row>
    <row r="204" spans="1:71">
      <c r="A204" s="147">
        <f t="shared" si="73"/>
        <v>46038</v>
      </c>
      <c r="B204" s="150">
        <f>YEAR(RD[[#This Row],[Date]])+IF(MONTH(RD[[#This Row],[Date]])&gt;=4,1,0)</f>
        <v>2026</v>
      </c>
      <c r="C204" s="150">
        <f>YEAR(RD[[#This Row],[Date]])</f>
        <v>2026</v>
      </c>
      <c r="D204" s="65">
        <f t="shared" si="72"/>
        <v>46023</v>
      </c>
      <c r="E204" s="150">
        <f>DAY(EOMONTH(RD[[#This Row],[Date]],0))</f>
        <v>31</v>
      </c>
      <c r="F204" s="171"/>
      <c r="G204" s="171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68"/>
      <c r="AF204" s="168"/>
      <c r="AG204" s="168"/>
      <c r="AH204" s="168"/>
      <c r="AI204" s="168"/>
      <c r="AJ204" s="168"/>
      <c r="AK204" s="168"/>
      <c r="AL204" s="168"/>
      <c r="AM204" s="71"/>
      <c r="AN204" s="68"/>
      <c r="AO204" s="68"/>
      <c r="AP204" s="68"/>
      <c r="AQ204" s="68"/>
      <c r="AR204" s="68"/>
      <c r="AS204" s="68"/>
      <c r="AT204" s="68"/>
      <c r="AU204" s="69">
        <f>SUM(RD[[#This Row],[IS2Inv1M1]:[IS4Inv1M3]])</f>
        <v>0</v>
      </c>
      <c r="AV204" s="69">
        <f>SUM(RD[[#This Row],[IS5Inv1M1]:[IS5Inv2M3]])</f>
        <v>0</v>
      </c>
      <c r="AW204" s="69">
        <f>SUM(RD[[#This Row],[O2RE9]:[O2RE192]])</f>
        <v>0</v>
      </c>
      <c r="AX204" s="152"/>
      <c r="AY204" s="152"/>
      <c r="AZ204" s="152"/>
      <c r="BA204" s="152"/>
      <c r="BB204" s="152"/>
      <c r="BC204" s="152"/>
      <c r="BD204" s="153" t="str">
        <f>IF((RD[[#This Row],[33 kV_F1_Ex (O2RE9)]]-AX203)*225000&lt;=0,"",(RD[[#This Row],[33 kV_F1_Ex (O2RE9)]]-AX203)*225000)</f>
        <v/>
      </c>
      <c r="BE204" s="153">
        <f>IF((RD[[#This Row],[33kV_OG1_Ex (O2RE9)]]-AY203)*1000&lt;=0,0,(RD[[#This Row],[33kV_OG1_Ex (O2RE9)]]-AY203)*1000)</f>
        <v>0</v>
      </c>
      <c r="BF204" s="153"/>
      <c r="BG204" s="153" t="str">
        <f>IF((RD[[#This Row],[33 kV_F2_Ex (O2RE19)]]-BA203)*150000&lt;=0,"",(RD[[#This Row],[33 kV_F2_Ex (O2RE19)]]-BA203)*150000)</f>
        <v/>
      </c>
      <c r="BH204" s="153">
        <f>IF((RD[[#This Row],[33kV_OG2_Ex (O2RE19)]]-BB203)*1000&lt;=0,0,(RD[[#This Row],[33kV_OG2_Ex (O2RE19)]]-BB203)*1000)</f>
        <v>0</v>
      </c>
      <c r="BI204" s="153">
        <f>IF((RD[[#This Row],[33kV_Aux2_Im (O2RE19)]]-BC203)*1000&lt;0,"",(RD[[#This Row],[33kV_Aux2_Im (O2RE19)]]-BC203)*1000)</f>
        <v>0</v>
      </c>
      <c r="BJ204" s="153">
        <f>IF((RD[[#This Row],[33kV_Aux1_Im (O2RE9)]]-AZ203)*1000&lt;0,"",(RD[[#This Row],[33kV_Aux1_Im (O2RE9)]]-AZ203)*1000)</f>
        <v>0</v>
      </c>
      <c r="BK204" s="153">
        <f>SUM(RD[[#This Row],[33kV_OG1_O2RE9_Energy (KWh)]],RD[[#This Row],[33kV_OG2_O2RE19_Energy (KWh)]])</f>
        <v>0</v>
      </c>
      <c r="BL204" s="62" t="str">
        <f>IFERROR(RD[[#This Row],[33 kV Total Export (KWH)]]/RD[[#This Row],[Inv Total Gneration (MWh)]]-1,"")</f>
        <v/>
      </c>
      <c r="BM204" s="63">
        <f>IFERROR((RD[[#This Row],[Sunset Time (POA&lt;20 W/m2)]]-RD[[#This Row],[Sunrise Time (POA&gt;20 W/m2)]])*24,0)</f>
        <v>0</v>
      </c>
      <c r="BN204" s="64">
        <f>SUM(RD[[#This Row],[33kV_OG1_O2RE9_Energy (KWh)]],RD[[#This Row],[33kV_OG2_O2RE19_Energy (KWh)]])</f>
        <v>0</v>
      </c>
      <c r="BO204" s="64">
        <f>IFERROR(RD[[#This Row],[ Export (33 kV)]]*(1-RD[[#This Row],[33 kV Line Loss (%)]]),RD[[#This Row],[ Export (33 kV)]])</f>
        <v>0</v>
      </c>
      <c r="BP204" s="189"/>
      <c r="BQ204" s="189"/>
      <c r="BR204" s="189"/>
      <c r="BS204" t="str">
        <f>IFERROR(RD[[#This Row],[E_AC (WPR)]]/RD[[#This Row],[E_DC (WPR)]],"")</f>
        <v/>
      </c>
    </row>
    <row r="205" spans="1:71">
      <c r="A205" s="147">
        <f t="shared" si="73"/>
        <v>46039</v>
      </c>
      <c r="B205" s="150">
        <f>YEAR(RD[[#This Row],[Date]])+IF(MONTH(RD[[#This Row],[Date]])&gt;=4,1,0)</f>
        <v>2026</v>
      </c>
      <c r="C205" s="150">
        <f>YEAR(RD[[#This Row],[Date]])</f>
        <v>2026</v>
      </c>
      <c r="D205" s="65">
        <f t="shared" ref="D205:D268" si="74">A205-DAY(A205)+1</f>
        <v>46023</v>
      </c>
      <c r="E205" s="150">
        <f>DAY(EOMONTH(RD[[#This Row],[Date]],0))</f>
        <v>31</v>
      </c>
      <c r="F205" s="171"/>
      <c r="G205" s="171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68"/>
      <c r="AF205" s="168"/>
      <c r="AG205" s="168"/>
      <c r="AH205" s="168"/>
      <c r="AI205" s="168"/>
      <c r="AJ205" s="168"/>
      <c r="AK205" s="168"/>
      <c r="AL205" s="168"/>
      <c r="AM205" s="71"/>
      <c r="AN205" s="68"/>
      <c r="AO205" s="68"/>
      <c r="AP205" s="68"/>
      <c r="AQ205" s="68"/>
      <c r="AR205" s="68"/>
      <c r="AS205" s="68"/>
      <c r="AT205" s="68"/>
      <c r="AU205" s="69">
        <f>SUM(RD[[#This Row],[IS2Inv1M1]:[IS4Inv1M3]])</f>
        <v>0</v>
      </c>
      <c r="AV205" s="69">
        <f>SUM(RD[[#This Row],[IS5Inv1M1]:[IS5Inv2M3]])</f>
        <v>0</v>
      </c>
      <c r="AW205" s="69">
        <f>SUM(RD[[#This Row],[O2RE9]:[O2RE192]])</f>
        <v>0</v>
      </c>
      <c r="AX205" s="152"/>
      <c r="AY205" s="152"/>
      <c r="AZ205" s="152"/>
      <c r="BA205" s="152"/>
      <c r="BB205" s="152"/>
      <c r="BC205" s="152"/>
      <c r="BD205" s="153" t="str">
        <f>IF((RD[[#This Row],[33 kV_F1_Ex (O2RE9)]]-AX204)*225000&lt;=0,"",(RD[[#This Row],[33 kV_F1_Ex (O2RE9)]]-AX204)*225000)</f>
        <v/>
      </c>
      <c r="BE205" s="153">
        <f>IF((RD[[#This Row],[33kV_OG1_Ex (O2RE9)]]-AY204)*1000&lt;=0,0,(RD[[#This Row],[33kV_OG1_Ex (O2RE9)]]-AY204)*1000)</f>
        <v>0</v>
      </c>
      <c r="BF205" s="153"/>
      <c r="BG205" s="153" t="str">
        <f>IF((RD[[#This Row],[33 kV_F2_Ex (O2RE19)]]-BA204)*150000&lt;=0,"",(RD[[#This Row],[33 kV_F2_Ex (O2RE19)]]-BA204)*150000)</f>
        <v/>
      </c>
      <c r="BH205" s="153">
        <f>IF((RD[[#This Row],[33kV_OG2_Ex (O2RE19)]]-BB204)*1000&lt;=0,0,(RD[[#This Row],[33kV_OG2_Ex (O2RE19)]]-BB204)*1000)</f>
        <v>0</v>
      </c>
      <c r="BI205" s="153">
        <f>IF((RD[[#This Row],[33kV_Aux2_Im (O2RE19)]]-BC204)*1000&lt;0,"",(RD[[#This Row],[33kV_Aux2_Im (O2RE19)]]-BC204)*1000)</f>
        <v>0</v>
      </c>
      <c r="BJ205" s="153">
        <f>IF((RD[[#This Row],[33kV_Aux1_Im (O2RE9)]]-AZ204)*1000&lt;0,"",(RD[[#This Row],[33kV_Aux1_Im (O2RE9)]]-AZ204)*1000)</f>
        <v>0</v>
      </c>
      <c r="BK205" s="153">
        <f>SUM(RD[[#This Row],[33kV_OG1_O2RE9_Energy (KWh)]],RD[[#This Row],[33kV_OG2_O2RE19_Energy (KWh)]])</f>
        <v>0</v>
      </c>
      <c r="BL205" s="62" t="str">
        <f>IFERROR(RD[[#This Row],[33 kV Total Export (KWH)]]/RD[[#This Row],[Inv Total Gneration (MWh)]]-1,"")</f>
        <v/>
      </c>
      <c r="BM205" s="63">
        <f>IFERROR((RD[[#This Row],[Sunset Time (POA&lt;20 W/m2)]]-RD[[#This Row],[Sunrise Time (POA&gt;20 W/m2)]])*24,0)</f>
        <v>0</v>
      </c>
      <c r="BN205" s="64">
        <f>SUM(RD[[#This Row],[33kV_OG1_O2RE9_Energy (KWh)]],RD[[#This Row],[33kV_OG2_O2RE19_Energy (KWh)]])</f>
        <v>0</v>
      </c>
      <c r="BO205" s="64">
        <f>IFERROR(RD[[#This Row],[ Export (33 kV)]]*(1-RD[[#This Row],[33 kV Line Loss (%)]]),RD[[#This Row],[ Export (33 kV)]])</f>
        <v>0</v>
      </c>
      <c r="BP205" s="189"/>
      <c r="BQ205" s="189"/>
      <c r="BR205" s="189"/>
      <c r="BS205" t="str">
        <f>IFERROR(RD[[#This Row],[E_AC (WPR)]]/RD[[#This Row],[E_DC (WPR)]],"")</f>
        <v/>
      </c>
    </row>
    <row r="206" spans="1:71">
      <c r="A206" s="147">
        <f t="shared" si="73"/>
        <v>46040</v>
      </c>
      <c r="B206" s="150">
        <f>YEAR(RD[[#This Row],[Date]])+IF(MONTH(RD[[#This Row],[Date]])&gt;=4,1,0)</f>
        <v>2026</v>
      </c>
      <c r="C206" s="150">
        <f>YEAR(RD[[#This Row],[Date]])</f>
        <v>2026</v>
      </c>
      <c r="D206" s="65">
        <f t="shared" si="74"/>
        <v>46023</v>
      </c>
      <c r="E206" s="150">
        <f>DAY(EOMONTH(RD[[#This Row],[Date]],0))</f>
        <v>31</v>
      </c>
      <c r="F206" s="171"/>
      <c r="G206" s="171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68"/>
      <c r="AF206" s="168"/>
      <c r="AG206" s="168"/>
      <c r="AH206" s="168"/>
      <c r="AI206" s="168"/>
      <c r="AJ206" s="168"/>
      <c r="AK206" s="168"/>
      <c r="AL206" s="168"/>
      <c r="AM206" s="71"/>
      <c r="AN206" s="68"/>
      <c r="AO206" s="68"/>
      <c r="AP206" s="68"/>
      <c r="AQ206" s="68"/>
      <c r="AR206" s="68"/>
      <c r="AS206" s="68"/>
      <c r="AT206" s="68"/>
      <c r="AU206" s="69">
        <f>SUM(RD[[#This Row],[IS2Inv1M1]:[IS4Inv1M3]])</f>
        <v>0</v>
      </c>
      <c r="AV206" s="69">
        <f>SUM(RD[[#This Row],[IS5Inv1M1]:[IS5Inv2M3]])</f>
        <v>0</v>
      </c>
      <c r="AW206" s="69">
        <f>SUM(RD[[#This Row],[O2RE9]:[O2RE192]])</f>
        <v>0</v>
      </c>
      <c r="AX206" s="152"/>
      <c r="AY206" s="152"/>
      <c r="AZ206" s="152"/>
      <c r="BA206" s="152"/>
      <c r="BB206" s="152"/>
      <c r="BC206" s="152"/>
      <c r="BD206" s="153" t="str">
        <f>IF((RD[[#This Row],[33 kV_F1_Ex (O2RE9)]]-AX205)*225000&lt;=0,"",(RD[[#This Row],[33 kV_F1_Ex (O2RE9)]]-AX205)*225000)</f>
        <v/>
      </c>
      <c r="BE206" s="153">
        <f>IF((RD[[#This Row],[33kV_OG1_Ex (O2RE9)]]-AY205)*1000&lt;=0,0,(RD[[#This Row],[33kV_OG1_Ex (O2RE9)]]-AY205)*1000)</f>
        <v>0</v>
      </c>
      <c r="BF206" s="153"/>
      <c r="BG206" s="153" t="str">
        <f>IF((RD[[#This Row],[33 kV_F2_Ex (O2RE19)]]-BA205)*150000&lt;=0,"",(RD[[#This Row],[33 kV_F2_Ex (O2RE19)]]-BA205)*150000)</f>
        <v/>
      </c>
      <c r="BH206" s="153">
        <f>IF((RD[[#This Row],[33kV_OG2_Ex (O2RE19)]]-BB205)*1000&lt;=0,0,(RD[[#This Row],[33kV_OG2_Ex (O2RE19)]]-BB205)*1000)</f>
        <v>0</v>
      </c>
      <c r="BI206" s="153">
        <f>IF((RD[[#This Row],[33kV_Aux2_Im (O2RE19)]]-BC205)*1000&lt;0,"",(RD[[#This Row],[33kV_Aux2_Im (O2RE19)]]-BC205)*1000)</f>
        <v>0</v>
      </c>
      <c r="BJ206" s="153">
        <f>IF((RD[[#This Row],[33kV_Aux1_Im (O2RE9)]]-AZ205)*1000&lt;0,"",(RD[[#This Row],[33kV_Aux1_Im (O2RE9)]]-AZ205)*1000)</f>
        <v>0</v>
      </c>
      <c r="BK206" s="153">
        <f>SUM(RD[[#This Row],[33kV_OG1_O2RE9_Energy (KWh)]],RD[[#This Row],[33kV_OG2_O2RE19_Energy (KWh)]])</f>
        <v>0</v>
      </c>
      <c r="BL206" s="62" t="str">
        <f>IFERROR(RD[[#This Row],[33 kV Total Export (KWH)]]/RD[[#This Row],[Inv Total Gneration (MWh)]]-1,"")</f>
        <v/>
      </c>
      <c r="BM206" s="63">
        <f>IFERROR((RD[[#This Row],[Sunset Time (POA&lt;20 W/m2)]]-RD[[#This Row],[Sunrise Time (POA&gt;20 W/m2)]])*24,0)</f>
        <v>0</v>
      </c>
      <c r="BN206" s="64">
        <f>SUM(RD[[#This Row],[33kV_OG1_O2RE9_Energy (KWh)]],RD[[#This Row],[33kV_OG2_O2RE19_Energy (KWh)]])</f>
        <v>0</v>
      </c>
      <c r="BO206" s="64">
        <f>IFERROR(RD[[#This Row],[ Export (33 kV)]]*(1-RD[[#This Row],[33 kV Line Loss (%)]]),RD[[#This Row],[ Export (33 kV)]])</f>
        <v>0</v>
      </c>
      <c r="BP206" s="189"/>
      <c r="BQ206" s="189"/>
      <c r="BR206" s="189"/>
      <c r="BS206" t="str">
        <f>IFERROR(RD[[#This Row],[E_AC (WPR)]]/RD[[#This Row],[E_DC (WPR)]],"")</f>
        <v/>
      </c>
    </row>
    <row r="207" spans="1:71">
      <c r="A207" s="147">
        <f t="shared" ref="A207:A270" si="75">A206+1</f>
        <v>46041</v>
      </c>
      <c r="B207" s="150">
        <f>YEAR(RD[[#This Row],[Date]])+IF(MONTH(RD[[#This Row],[Date]])&gt;=4,1,0)</f>
        <v>2026</v>
      </c>
      <c r="C207" s="150">
        <f>YEAR(RD[[#This Row],[Date]])</f>
        <v>2026</v>
      </c>
      <c r="D207" s="65">
        <f t="shared" si="74"/>
        <v>46023</v>
      </c>
      <c r="E207" s="150">
        <f>DAY(EOMONTH(RD[[#This Row],[Date]],0))</f>
        <v>31</v>
      </c>
      <c r="F207" s="171"/>
      <c r="G207" s="171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68"/>
      <c r="AF207" s="168"/>
      <c r="AG207" s="168"/>
      <c r="AH207" s="168"/>
      <c r="AI207" s="168"/>
      <c r="AJ207" s="168"/>
      <c r="AK207" s="168"/>
      <c r="AL207" s="168"/>
      <c r="AM207" s="71"/>
      <c r="AN207" s="68"/>
      <c r="AO207" s="68"/>
      <c r="AP207" s="68"/>
      <c r="AQ207" s="68"/>
      <c r="AR207" s="68"/>
      <c r="AS207" s="68"/>
      <c r="AT207" s="68"/>
      <c r="AU207" s="69">
        <f>SUM(RD[[#This Row],[IS2Inv1M1]:[IS4Inv1M3]])</f>
        <v>0</v>
      </c>
      <c r="AV207" s="69">
        <f>SUM(RD[[#This Row],[IS5Inv1M1]:[IS5Inv2M3]])</f>
        <v>0</v>
      </c>
      <c r="AW207" s="69">
        <f>SUM(RD[[#This Row],[O2RE9]:[O2RE192]])</f>
        <v>0</v>
      </c>
      <c r="AX207" s="152"/>
      <c r="AY207" s="152"/>
      <c r="AZ207" s="152"/>
      <c r="BA207" s="152"/>
      <c r="BB207" s="152"/>
      <c r="BC207" s="152"/>
      <c r="BD207" s="153" t="str">
        <f>IF((RD[[#This Row],[33 kV_F1_Ex (O2RE9)]]-AX206)*225000&lt;=0,"",(RD[[#This Row],[33 kV_F1_Ex (O2RE9)]]-AX206)*225000)</f>
        <v/>
      </c>
      <c r="BE207" s="153">
        <f>IF((RD[[#This Row],[33kV_OG1_Ex (O2RE9)]]-AY206)*1000&lt;=0,0,(RD[[#This Row],[33kV_OG1_Ex (O2RE9)]]-AY206)*1000)</f>
        <v>0</v>
      </c>
      <c r="BF207" s="153"/>
      <c r="BG207" s="153" t="str">
        <f>IF((RD[[#This Row],[33 kV_F2_Ex (O2RE19)]]-BA206)*150000&lt;=0,"",(RD[[#This Row],[33 kV_F2_Ex (O2RE19)]]-BA206)*150000)</f>
        <v/>
      </c>
      <c r="BH207" s="153">
        <f>IF((RD[[#This Row],[33kV_OG2_Ex (O2RE19)]]-BB206)*1000&lt;=0,0,(RD[[#This Row],[33kV_OG2_Ex (O2RE19)]]-BB206)*1000)</f>
        <v>0</v>
      </c>
      <c r="BI207" s="153">
        <f>IF((RD[[#This Row],[33kV_Aux2_Im (O2RE19)]]-BC206)*1000&lt;0,"",(RD[[#This Row],[33kV_Aux2_Im (O2RE19)]]-BC206)*1000)</f>
        <v>0</v>
      </c>
      <c r="BJ207" s="153">
        <f>IF((RD[[#This Row],[33kV_Aux1_Im (O2RE9)]]-AZ206)*1000&lt;0,"",(RD[[#This Row],[33kV_Aux1_Im (O2RE9)]]-AZ206)*1000)</f>
        <v>0</v>
      </c>
      <c r="BK207" s="153">
        <f>SUM(RD[[#This Row],[33kV_OG1_O2RE9_Energy (KWh)]],RD[[#This Row],[33kV_OG2_O2RE19_Energy (KWh)]])</f>
        <v>0</v>
      </c>
      <c r="BL207" s="62" t="str">
        <f>IFERROR(RD[[#This Row],[33 kV Total Export (KWH)]]/RD[[#This Row],[Inv Total Gneration (MWh)]]-1,"")</f>
        <v/>
      </c>
      <c r="BM207" s="63">
        <f>IFERROR((RD[[#This Row],[Sunset Time (POA&lt;20 W/m2)]]-RD[[#This Row],[Sunrise Time (POA&gt;20 W/m2)]])*24,0)</f>
        <v>0</v>
      </c>
      <c r="BN207" s="64">
        <f>SUM(RD[[#This Row],[33kV_OG1_O2RE9_Energy (KWh)]],RD[[#This Row],[33kV_OG2_O2RE19_Energy (KWh)]])</f>
        <v>0</v>
      </c>
      <c r="BO207" s="64">
        <f>IFERROR(RD[[#This Row],[ Export (33 kV)]]*(1-RD[[#This Row],[33 kV Line Loss (%)]]),RD[[#This Row],[ Export (33 kV)]])</f>
        <v>0</v>
      </c>
      <c r="BP207" s="189"/>
      <c r="BQ207" s="189"/>
      <c r="BR207" s="189"/>
      <c r="BS207" t="str">
        <f>IFERROR(RD[[#This Row],[E_AC (WPR)]]/RD[[#This Row],[E_DC (WPR)]],"")</f>
        <v/>
      </c>
    </row>
    <row r="208" spans="1:71">
      <c r="A208" s="147">
        <f t="shared" si="75"/>
        <v>46042</v>
      </c>
      <c r="B208" s="150">
        <f>YEAR(RD[[#This Row],[Date]])+IF(MONTH(RD[[#This Row],[Date]])&gt;=4,1,0)</f>
        <v>2026</v>
      </c>
      <c r="C208" s="150">
        <f>YEAR(RD[[#This Row],[Date]])</f>
        <v>2026</v>
      </c>
      <c r="D208" s="65">
        <f t="shared" si="74"/>
        <v>46023</v>
      </c>
      <c r="E208" s="150">
        <f>DAY(EOMONTH(RD[[#This Row],[Date]],0))</f>
        <v>31</v>
      </c>
      <c r="F208" s="171"/>
      <c r="G208" s="171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68"/>
      <c r="AF208" s="168"/>
      <c r="AG208" s="168"/>
      <c r="AH208" s="168"/>
      <c r="AI208" s="168"/>
      <c r="AJ208" s="168"/>
      <c r="AK208" s="168"/>
      <c r="AL208" s="168"/>
      <c r="AM208" s="71"/>
      <c r="AN208" s="68"/>
      <c r="AO208" s="68"/>
      <c r="AP208" s="68"/>
      <c r="AQ208" s="68"/>
      <c r="AR208" s="68"/>
      <c r="AS208" s="68"/>
      <c r="AT208" s="68"/>
      <c r="AU208" s="69">
        <f>SUM(RD[[#This Row],[IS2Inv1M1]:[IS4Inv1M3]])</f>
        <v>0</v>
      </c>
      <c r="AV208" s="69">
        <f>SUM(RD[[#This Row],[IS5Inv1M1]:[IS5Inv2M3]])</f>
        <v>0</v>
      </c>
      <c r="AW208" s="69">
        <f>SUM(RD[[#This Row],[O2RE9]:[O2RE192]])</f>
        <v>0</v>
      </c>
      <c r="AX208" s="152"/>
      <c r="AY208" s="152"/>
      <c r="AZ208" s="152"/>
      <c r="BA208" s="152"/>
      <c r="BB208" s="152"/>
      <c r="BC208" s="152"/>
      <c r="BD208" s="153" t="str">
        <f>IF((RD[[#This Row],[33 kV_F1_Ex (O2RE9)]]-AX207)*225000&lt;=0,"",(RD[[#This Row],[33 kV_F1_Ex (O2RE9)]]-AX207)*225000)</f>
        <v/>
      </c>
      <c r="BE208" s="153">
        <f>IF((RD[[#This Row],[33kV_OG1_Ex (O2RE9)]]-AY207)*1000&lt;=0,0,(RD[[#This Row],[33kV_OG1_Ex (O2RE9)]]-AY207)*1000)</f>
        <v>0</v>
      </c>
      <c r="BF208" s="153"/>
      <c r="BG208" s="153" t="str">
        <f>IF((RD[[#This Row],[33 kV_F2_Ex (O2RE19)]]-BA207)*150000&lt;=0,"",(RD[[#This Row],[33 kV_F2_Ex (O2RE19)]]-BA207)*150000)</f>
        <v/>
      </c>
      <c r="BH208" s="153">
        <f>IF((RD[[#This Row],[33kV_OG2_Ex (O2RE19)]]-BB207)*1000&lt;=0,0,(RD[[#This Row],[33kV_OG2_Ex (O2RE19)]]-BB207)*1000)</f>
        <v>0</v>
      </c>
      <c r="BI208" s="153">
        <f>IF((RD[[#This Row],[33kV_Aux2_Im (O2RE19)]]-BC207)*1000&lt;0,"",(RD[[#This Row],[33kV_Aux2_Im (O2RE19)]]-BC207)*1000)</f>
        <v>0</v>
      </c>
      <c r="BJ208" s="153">
        <f>IF((RD[[#This Row],[33kV_Aux1_Im (O2RE9)]]-AZ207)*1000&lt;0,"",(RD[[#This Row],[33kV_Aux1_Im (O2RE9)]]-AZ207)*1000)</f>
        <v>0</v>
      </c>
      <c r="BK208" s="153">
        <f>SUM(RD[[#This Row],[33kV_OG1_O2RE9_Energy (KWh)]],RD[[#This Row],[33kV_OG2_O2RE19_Energy (KWh)]])</f>
        <v>0</v>
      </c>
      <c r="BL208" s="62" t="str">
        <f>IFERROR(RD[[#This Row],[33 kV Total Export (KWH)]]/RD[[#This Row],[Inv Total Gneration (MWh)]]-1,"")</f>
        <v/>
      </c>
      <c r="BM208" s="63">
        <f>IFERROR((RD[[#This Row],[Sunset Time (POA&lt;20 W/m2)]]-RD[[#This Row],[Sunrise Time (POA&gt;20 W/m2)]])*24,0)</f>
        <v>0</v>
      </c>
      <c r="BN208" s="64">
        <f>SUM(RD[[#This Row],[33kV_OG1_O2RE9_Energy (KWh)]],RD[[#This Row],[33kV_OG2_O2RE19_Energy (KWh)]])</f>
        <v>0</v>
      </c>
      <c r="BO208" s="64">
        <f>IFERROR(RD[[#This Row],[ Export (33 kV)]]*(1-RD[[#This Row],[33 kV Line Loss (%)]]),RD[[#This Row],[ Export (33 kV)]])</f>
        <v>0</v>
      </c>
      <c r="BP208" s="189"/>
      <c r="BQ208" s="189"/>
      <c r="BR208" s="189"/>
      <c r="BS208" t="str">
        <f>IFERROR(RD[[#This Row],[E_AC (WPR)]]/RD[[#This Row],[E_DC (WPR)]],"")</f>
        <v/>
      </c>
    </row>
    <row r="209" spans="1:71">
      <c r="A209" s="147">
        <f t="shared" si="75"/>
        <v>46043</v>
      </c>
      <c r="B209" s="150">
        <f>YEAR(RD[[#This Row],[Date]])+IF(MONTH(RD[[#This Row],[Date]])&gt;=4,1,0)</f>
        <v>2026</v>
      </c>
      <c r="C209" s="150">
        <f>YEAR(RD[[#This Row],[Date]])</f>
        <v>2026</v>
      </c>
      <c r="D209" s="65">
        <f t="shared" si="74"/>
        <v>46023</v>
      </c>
      <c r="E209" s="150">
        <f>DAY(EOMONTH(RD[[#This Row],[Date]],0))</f>
        <v>31</v>
      </c>
      <c r="F209" s="171"/>
      <c r="G209" s="171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68"/>
      <c r="AF209" s="168"/>
      <c r="AG209" s="168"/>
      <c r="AH209" s="168"/>
      <c r="AI209" s="168"/>
      <c r="AJ209" s="168"/>
      <c r="AK209" s="168"/>
      <c r="AL209" s="168"/>
      <c r="AM209" s="71"/>
      <c r="AN209" s="68"/>
      <c r="AO209" s="68"/>
      <c r="AP209" s="68"/>
      <c r="AQ209" s="68"/>
      <c r="AR209" s="68"/>
      <c r="AS209" s="68"/>
      <c r="AT209" s="68"/>
      <c r="AU209" s="69">
        <f>SUM(RD[[#This Row],[IS2Inv1M1]:[IS4Inv1M3]])</f>
        <v>0</v>
      </c>
      <c r="AV209" s="69">
        <f>SUM(RD[[#This Row],[IS5Inv1M1]:[IS5Inv2M3]])</f>
        <v>0</v>
      </c>
      <c r="AW209" s="69">
        <f>SUM(RD[[#This Row],[O2RE9]:[O2RE192]])</f>
        <v>0</v>
      </c>
      <c r="AX209" s="152"/>
      <c r="AY209" s="152"/>
      <c r="AZ209" s="152"/>
      <c r="BA209" s="152"/>
      <c r="BB209" s="152"/>
      <c r="BC209" s="152"/>
      <c r="BD209" s="153" t="str">
        <f>IF((RD[[#This Row],[33 kV_F1_Ex (O2RE9)]]-AX208)*225000&lt;=0,"",(RD[[#This Row],[33 kV_F1_Ex (O2RE9)]]-AX208)*225000)</f>
        <v/>
      </c>
      <c r="BE209" s="153">
        <f>IF((RD[[#This Row],[33kV_OG1_Ex (O2RE9)]]-AY208)*1000&lt;=0,0,(RD[[#This Row],[33kV_OG1_Ex (O2RE9)]]-AY208)*1000)</f>
        <v>0</v>
      </c>
      <c r="BF209" s="153"/>
      <c r="BG209" s="153" t="str">
        <f>IF((RD[[#This Row],[33 kV_F2_Ex (O2RE19)]]-BA208)*150000&lt;=0,"",(RD[[#This Row],[33 kV_F2_Ex (O2RE19)]]-BA208)*150000)</f>
        <v/>
      </c>
      <c r="BH209" s="153">
        <f>IF((RD[[#This Row],[33kV_OG2_Ex (O2RE19)]]-BB208)*1000&lt;=0,0,(RD[[#This Row],[33kV_OG2_Ex (O2RE19)]]-BB208)*1000)</f>
        <v>0</v>
      </c>
      <c r="BI209" s="153">
        <f>IF((RD[[#This Row],[33kV_Aux2_Im (O2RE19)]]-BC208)*1000&lt;0,"",(RD[[#This Row],[33kV_Aux2_Im (O2RE19)]]-BC208)*1000)</f>
        <v>0</v>
      </c>
      <c r="BJ209" s="153">
        <f>IF((RD[[#This Row],[33kV_Aux1_Im (O2RE9)]]-AZ208)*1000&lt;0,"",(RD[[#This Row],[33kV_Aux1_Im (O2RE9)]]-AZ208)*1000)</f>
        <v>0</v>
      </c>
      <c r="BK209" s="153">
        <f>SUM(RD[[#This Row],[33kV_OG1_O2RE9_Energy (KWh)]],RD[[#This Row],[33kV_OG2_O2RE19_Energy (KWh)]])</f>
        <v>0</v>
      </c>
      <c r="BL209" s="62" t="str">
        <f>IFERROR(RD[[#This Row],[33 kV Total Export (KWH)]]/RD[[#This Row],[Inv Total Gneration (MWh)]]-1,"")</f>
        <v/>
      </c>
      <c r="BM209" s="63">
        <f>IFERROR((RD[[#This Row],[Sunset Time (POA&lt;20 W/m2)]]-RD[[#This Row],[Sunrise Time (POA&gt;20 W/m2)]])*24,0)</f>
        <v>0</v>
      </c>
      <c r="BN209" s="64">
        <f>SUM(RD[[#This Row],[33kV_OG1_O2RE9_Energy (KWh)]],RD[[#This Row],[33kV_OG2_O2RE19_Energy (KWh)]])</f>
        <v>0</v>
      </c>
      <c r="BO209" s="64">
        <f>IFERROR(RD[[#This Row],[ Export (33 kV)]]*(1-RD[[#This Row],[33 kV Line Loss (%)]]),RD[[#This Row],[ Export (33 kV)]])</f>
        <v>0</v>
      </c>
      <c r="BP209" s="189"/>
      <c r="BQ209" s="189"/>
      <c r="BR209" s="189"/>
      <c r="BS209" t="str">
        <f>IFERROR(RD[[#This Row],[E_AC (WPR)]]/RD[[#This Row],[E_DC (WPR)]],"")</f>
        <v/>
      </c>
    </row>
    <row r="210" spans="1:71">
      <c r="A210" s="147">
        <f t="shared" si="75"/>
        <v>46044</v>
      </c>
      <c r="B210" s="150">
        <f>YEAR(RD[[#This Row],[Date]])+IF(MONTH(RD[[#This Row],[Date]])&gt;=4,1,0)</f>
        <v>2026</v>
      </c>
      <c r="C210" s="150">
        <f>YEAR(RD[[#This Row],[Date]])</f>
        <v>2026</v>
      </c>
      <c r="D210" s="65">
        <f t="shared" si="74"/>
        <v>46023</v>
      </c>
      <c r="E210" s="150">
        <f>DAY(EOMONTH(RD[[#This Row],[Date]],0))</f>
        <v>31</v>
      </c>
      <c r="F210" s="171"/>
      <c r="G210" s="171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68"/>
      <c r="AF210" s="168"/>
      <c r="AG210" s="168"/>
      <c r="AH210" s="168"/>
      <c r="AI210" s="168"/>
      <c r="AJ210" s="168"/>
      <c r="AK210" s="168"/>
      <c r="AL210" s="168"/>
      <c r="AM210" s="71"/>
      <c r="AN210" s="68"/>
      <c r="AO210" s="68"/>
      <c r="AP210" s="68"/>
      <c r="AQ210" s="68"/>
      <c r="AR210" s="68"/>
      <c r="AS210" s="68"/>
      <c r="AT210" s="68"/>
      <c r="AU210" s="69">
        <f>SUM(RD[[#This Row],[IS2Inv1M1]:[IS4Inv1M3]])</f>
        <v>0</v>
      </c>
      <c r="AV210" s="69">
        <f>SUM(RD[[#This Row],[IS5Inv1M1]:[IS5Inv2M3]])</f>
        <v>0</v>
      </c>
      <c r="AW210" s="69">
        <f>SUM(RD[[#This Row],[O2RE9]:[O2RE192]])</f>
        <v>0</v>
      </c>
      <c r="AX210" s="152"/>
      <c r="AY210" s="152"/>
      <c r="AZ210" s="152"/>
      <c r="BA210" s="152"/>
      <c r="BB210" s="152"/>
      <c r="BC210" s="152"/>
      <c r="BD210" s="153" t="str">
        <f>IF((RD[[#This Row],[33 kV_F1_Ex (O2RE9)]]-AX209)*225000&lt;=0,"",(RD[[#This Row],[33 kV_F1_Ex (O2RE9)]]-AX209)*225000)</f>
        <v/>
      </c>
      <c r="BE210" s="153">
        <f>IF((RD[[#This Row],[33kV_OG1_Ex (O2RE9)]]-AY209)*1000&lt;=0,0,(RD[[#This Row],[33kV_OG1_Ex (O2RE9)]]-AY209)*1000)</f>
        <v>0</v>
      </c>
      <c r="BF210" s="153"/>
      <c r="BG210" s="153" t="str">
        <f>IF((RD[[#This Row],[33 kV_F2_Ex (O2RE19)]]-BA209)*150000&lt;=0,"",(RD[[#This Row],[33 kV_F2_Ex (O2RE19)]]-BA209)*150000)</f>
        <v/>
      </c>
      <c r="BH210" s="153">
        <f>IF((RD[[#This Row],[33kV_OG2_Ex (O2RE19)]]-BB209)*1000&lt;=0,0,(RD[[#This Row],[33kV_OG2_Ex (O2RE19)]]-BB209)*1000)</f>
        <v>0</v>
      </c>
      <c r="BI210" s="153">
        <f>IF((RD[[#This Row],[33kV_Aux2_Im (O2RE19)]]-BC209)*1000&lt;0,"",(RD[[#This Row],[33kV_Aux2_Im (O2RE19)]]-BC209)*1000)</f>
        <v>0</v>
      </c>
      <c r="BJ210" s="153">
        <f>IF((RD[[#This Row],[33kV_Aux1_Im (O2RE9)]]-AZ209)*1000&lt;0,"",(RD[[#This Row],[33kV_Aux1_Im (O2RE9)]]-AZ209)*1000)</f>
        <v>0</v>
      </c>
      <c r="BK210" s="153">
        <f>SUM(RD[[#This Row],[33kV_OG1_O2RE9_Energy (KWh)]],RD[[#This Row],[33kV_OG2_O2RE19_Energy (KWh)]])</f>
        <v>0</v>
      </c>
      <c r="BL210" s="62" t="str">
        <f>IFERROR(RD[[#This Row],[33 kV Total Export (KWH)]]/RD[[#This Row],[Inv Total Gneration (MWh)]]-1,"")</f>
        <v/>
      </c>
      <c r="BM210" s="63">
        <f>IFERROR((RD[[#This Row],[Sunset Time (POA&lt;20 W/m2)]]-RD[[#This Row],[Sunrise Time (POA&gt;20 W/m2)]])*24,0)</f>
        <v>0</v>
      </c>
      <c r="BN210" s="64">
        <f>SUM(RD[[#This Row],[33kV_OG1_O2RE9_Energy (KWh)]],RD[[#This Row],[33kV_OG2_O2RE19_Energy (KWh)]])</f>
        <v>0</v>
      </c>
      <c r="BO210" s="64">
        <f>IFERROR(RD[[#This Row],[ Export (33 kV)]]*(1-RD[[#This Row],[33 kV Line Loss (%)]]),RD[[#This Row],[ Export (33 kV)]])</f>
        <v>0</v>
      </c>
      <c r="BP210" s="189"/>
      <c r="BQ210" s="189"/>
      <c r="BR210" s="189"/>
      <c r="BS210" t="str">
        <f>IFERROR(RD[[#This Row],[E_AC (WPR)]]/RD[[#This Row],[E_DC (WPR)]],"")</f>
        <v/>
      </c>
    </row>
    <row r="211" spans="1:71">
      <c r="A211" s="147">
        <f t="shared" si="75"/>
        <v>46045</v>
      </c>
      <c r="B211" s="150">
        <f>YEAR(RD[[#This Row],[Date]])+IF(MONTH(RD[[#This Row],[Date]])&gt;=4,1,0)</f>
        <v>2026</v>
      </c>
      <c r="C211" s="150">
        <f>YEAR(RD[[#This Row],[Date]])</f>
        <v>2026</v>
      </c>
      <c r="D211" s="65">
        <f t="shared" si="74"/>
        <v>46023</v>
      </c>
      <c r="E211" s="150">
        <f>DAY(EOMONTH(RD[[#This Row],[Date]],0))</f>
        <v>31</v>
      </c>
      <c r="F211" s="171"/>
      <c r="G211" s="171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68"/>
      <c r="AF211" s="168"/>
      <c r="AG211" s="168"/>
      <c r="AH211" s="168"/>
      <c r="AI211" s="168"/>
      <c r="AJ211" s="168"/>
      <c r="AK211" s="168"/>
      <c r="AL211" s="168"/>
      <c r="AM211" s="71"/>
      <c r="AN211" s="68"/>
      <c r="AO211" s="68"/>
      <c r="AP211" s="68"/>
      <c r="AQ211" s="68"/>
      <c r="AR211" s="68"/>
      <c r="AS211" s="68"/>
      <c r="AT211" s="68"/>
      <c r="AU211" s="69">
        <f>SUM(RD[[#This Row],[IS2Inv1M1]:[IS4Inv1M3]])</f>
        <v>0</v>
      </c>
      <c r="AV211" s="69">
        <f>SUM(RD[[#This Row],[IS5Inv1M1]:[IS5Inv2M3]])</f>
        <v>0</v>
      </c>
      <c r="AW211" s="69">
        <f>SUM(RD[[#This Row],[O2RE9]:[O2RE192]])</f>
        <v>0</v>
      </c>
      <c r="AX211" s="152"/>
      <c r="AY211" s="152"/>
      <c r="AZ211" s="152"/>
      <c r="BA211" s="152"/>
      <c r="BB211" s="152"/>
      <c r="BC211" s="152"/>
      <c r="BD211" s="153" t="str">
        <f>IF((RD[[#This Row],[33 kV_F1_Ex (O2RE9)]]-AX210)*225000&lt;=0,"",(RD[[#This Row],[33 kV_F1_Ex (O2RE9)]]-AX210)*225000)</f>
        <v/>
      </c>
      <c r="BE211" s="153">
        <f>IF((RD[[#This Row],[33kV_OG1_Ex (O2RE9)]]-AY210)*1000&lt;=0,0,(RD[[#This Row],[33kV_OG1_Ex (O2RE9)]]-AY210)*1000)</f>
        <v>0</v>
      </c>
      <c r="BF211" s="153"/>
      <c r="BG211" s="153" t="str">
        <f>IF((RD[[#This Row],[33 kV_F2_Ex (O2RE19)]]-BA210)*150000&lt;=0,"",(RD[[#This Row],[33 kV_F2_Ex (O2RE19)]]-BA210)*150000)</f>
        <v/>
      </c>
      <c r="BH211" s="153">
        <f>IF((RD[[#This Row],[33kV_OG2_Ex (O2RE19)]]-BB210)*1000&lt;=0,0,(RD[[#This Row],[33kV_OG2_Ex (O2RE19)]]-BB210)*1000)</f>
        <v>0</v>
      </c>
      <c r="BI211" s="153">
        <f>IF((RD[[#This Row],[33kV_Aux2_Im (O2RE19)]]-BC210)*1000&lt;0,"",(RD[[#This Row],[33kV_Aux2_Im (O2RE19)]]-BC210)*1000)</f>
        <v>0</v>
      </c>
      <c r="BJ211" s="153">
        <f>IF((RD[[#This Row],[33kV_Aux1_Im (O2RE9)]]-AZ210)*1000&lt;0,"",(RD[[#This Row],[33kV_Aux1_Im (O2RE9)]]-AZ210)*1000)</f>
        <v>0</v>
      </c>
      <c r="BK211" s="153">
        <f>SUM(RD[[#This Row],[33kV_OG1_O2RE9_Energy (KWh)]],RD[[#This Row],[33kV_OG2_O2RE19_Energy (KWh)]])</f>
        <v>0</v>
      </c>
      <c r="BL211" s="62" t="str">
        <f>IFERROR(RD[[#This Row],[33 kV Total Export (KWH)]]/RD[[#This Row],[Inv Total Gneration (MWh)]]-1,"")</f>
        <v/>
      </c>
      <c r="BM211" s="63">
        <f>IFERROR((RD[[#This Row],[Sunset Time (POA&lt;20 W/m2)]]-RD[[#This Row],[Sunrise Time (POA&gt;20 W/m2)]])*24,0)</f>
        <v>0</v>
      </c>
      <c r="BN211" s="64">
        <f>SUM(RD[[#This Row],[33kV_OG1_O2RE9_Energy (KWh)]],RD[[#This Row],[33kV_OG2_O2RE19_Energy (KWh)]])</f>
        <v>0</v>
      </c>
      <c r="BO211" s="64">
        <f>IFERROR(RD[[#This Row],[ Export (33 kV)]]*(1-RD[[#This Row],[33 kV Line Loss (%)]]),RD[[#This Row],[ Export (33 kV)]])</f>
        <v>0</v>
      </c>
      <c r="BP211" s="189"/>
      <c r="BQ211" s="189"/>
      <c r="BR211" s="189"/>
      <c r="BS211" t="str">
        <f>IFERROR(RD[[#This Row],[E_AC (WPR)]]/RD[[#This Row],[E_DC (WPR)]],"")</f>
        <v/>
      </c>
    </row>
    <row r="212" spans="1:71">
      <c r="A212" s="147">
        <f t="shared" si="75"/>
        <v>46046</v>
      </c>
      <c r="B212" s="150">
        <f>YEAR(RD[[#This Row],[Date]])+IF(MONTH(RD[[#This Row],[Date]])&gt;=4,1,0)</f>
        <v>2026</v>
      </c>
      <c r="C212" s="150">
        <f>YEAR(RD[[#This Row],[Date]])</f>
        <v>2026</v>
      </c>
      <c r="D212" s="65">
        <f t="shared" si="74"/>
        <v>46023</v>
      </c>
      <c r="E212" s="150">
        <f>DAY(EOMONTH(RD[[#This Row],[Date]],0))</f>
        <v>31</v>
      </c>
      <c r="F212" s="171"/>
      <c r="G212" s="171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68"/>
      <c r="AF212" s="168"/>
      <c r="AG212" s="168"/>
      <c r="AH212" s="168"/>
      <c r="AI212" s="168"/>
      <c r="AJ212" s="168"/>
      <c r="AK212" s="168"/>
      <c r="AL212" s="168"/>
      <c r="AM212" s="71"/>
      <c r="AN212" s="68"/>
      <c r="AO212" s="68"/>
      <c r="AP212" s="68"/>
      <c r="AQ212" s="68"/>
      <c r="AR212" s="68"/>
      <c r="AS212" s="68"/>
      <c r="AT212" s="68"/>
      <c r="AU212" s="69">
        <f>SUM(RD[[#This Row],[IS2Inv1M1]:[IS4Inv1M3]])</f>
        <v>0</v>
      </c>
      <c r="AV212" s="69">
        <f>SUM(RD[[#This Row],[IS5Inv1M1]:[IS5Inv2M3]])</f>
        <v>0</v>
      </c>
      <c r="AW212" s="69">
        <f>SUM(RD[[#This Row],[O2RE9]:[O2RE192]])</f>
        <v>0</v>
      </c>
      <c r="AX212" s="152"/>
      <c r="AY212" s="152"/>
      <c r="AZ212" s="152"/>
      <c r="BA212" s="152"/>
      <c r="BB212" s="152"/>
      <c r="BC212" s="152"/>
      <c r="BD212" s="153" t="str">
        <f>IF((RD[[#This Row],[33 kV_F1_Ex (O2RE9)]]-AX211)*225000&lt;=0,"",(RD[[#This Row],[33 kV_F1_Ex (O2RE9)]]-AX211)*225000)</f>
        <v/>
      </c>
      <c r="BE212" s="153">
        <f>IF((RD[[#This Row],[33kV_OG1_Ex (O2RE9)]]-AY211)*1000&lt;=0,0,(RD[[#This Row],[33kV_OG1_Ex (O2RE9)]]-AY211)*1000)</f>
        <v>0</v>
      </c>
      <c r="BF212" s="153"/>
      <c r="BG212" s="153" t="str">
        <f>IF((RD[[#This Row],[33 kV_F2_Ex (O2RE19)]]-BA211)*150000&lt;=0,"",(RD[[#This Row],[33 kV_F2_Ex (O2RE19)]]-BA211)*150000)</f>
        <v/>
      </c>
      <c r="BH212" s="153">
        <f>IF((RD[[#This Row],[33kV_OG2_Ex (O2RE19)]]-BB211)*1000&lt;=0,0,(RD[[#This Row],[33kV_OG2_Ex (O2RE19)]]-BB211)*1000)</f>
        <v>0</v>
      </c>
      <c r="BI212" s="153">
        <f>IF((RD[[#This Row],[33kV_Aux2_Im (O2RE19)]]-BC211)*1000&lt;0,"",(RD[[#This Row],[33kV_Aux2_Im (O2RE19)]]-BC211)*1000)</f>
        <v>0</v>
      </c>
      <c r="BJ212" s="153">
        <f>IF((RD[[#This Row],[33kV_Aux1_Im (O2RE9)]]-AZ211)*1000&lt;0,"",(RD[[#This Row],[33kV_Aux1_Im (O2RE9)]]-AZ211)*1000)</f>
        <v>0</v>
      </c>
      <c r="BK212" s="153">
        <f>SUM(RD[[#This Row],[33kV_OG1_O2RE9_Energy (KWh)]],RD[[#This Row],[33kV_OG2_O2RE19_Energy (KWh)]])</f>
        <v>0</v>
      </c>
      <c r="BL212" s="62" t="str">
        <f>IFERROR(RD[[#This Row],[33 kV Total Export (KWH)]]/RD[[#This Row],[Inv Total Gneration (MWh)]]-1,"")</f>
        <v/>
      </c>
      <c r="BM212" s="63">
        <f>IFERROR((RD[[#This Row],[Sunset Time (POA&lt;20 W/m2)]]-RD[[#This Row],[Sunrise Time (POA&gt;20 W/m2)]])*24,0)</f>
        <v>0</v>
      </c>
      <c r="BN212" s="64">
        <f>SUM(RD[[#This Row],[33kV_OG1_O2RE9_Energy (KWh)]],RD[[#This Row],[33kV_OG2_O2RE19_Energy (KWh)]])</f>
        <v>0</v>
      </c>
      <c r="BO212" s="64">
        <f>IFERROR(RD[[#This Row],[ Export (33 kV)]]*(1-RD[[#This Row],[33 kV Line Loss (%)]]),RD[[#This Row],[ Export (33 kV)]])</f>
        <v>0</v>
      </c>
      <c r="BP212" s="189"/>
      <c r="BQ212" s="189"/>
      <c r="BR212" s="189"/>
      <c r="BS212" t="str">
        <f>IFERROR(RD[[#This Row],[E_AC (WPR)]]/RD[[#This Row],[E_DC (WPR)]],"")</f>
        <v/>
      </c>
    </row>
    <row r="213" spans="1:71">
      <c r="A213" s="147">
        <f t="shared" si="75"/>
        <v>46047</v>
      </c>
      <c r="B213" s="150">
        <f>YEAR(RD[[#This Row],[Date]])+IF(MONTH(RD[[#This Row],[Date]])&gt;=4,1,0)</f>
        <v>2026</v>
      </c>
      <c r="C213" s="150">
        <f>YEAR(RD[[#This Row],[Date]])</f>
        <v>2026</v>
      </c>
      <c r="D213" s="65">
        <f t="shared" si="74"/>
        <v>46023</v>
      </c>
      <c r="E213" s="150">
        <f>DAY(EOMONTH(RD[[#This Row],[Date]],0))</f>
        <v>31</v>
      </c>
      <c r="F213" s="171"/>
      <c r="G213" s="171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68"/>
      <c r="AF213" s="168"/>
      <c r="AG213" s="168"/>
      <c r="AH213" s="168"/>
      <c r="AI213" s="168"/>
      <c r="AJ213" s="168"/>
      <c r="AK213" s="168"/>
      <c r="AL213" s="168"/>
      <c r="AM213" s="71"/>
      <c r="AN213" s="68"/>
      <c r="AO213" s="68"/>
      <c r="AP213" s="68"/>
      <c r="AQ213" s="68"/>
      <c r="AR213" s="68"/>
      <c r="AS213" s="68"/>
      <c r="AT213" s="68"/>
      <c r="AU213" s="69">
        <f>SUM(RD[[#This Row],[IS2Inv1M1]:[IS4Inv1M3]])</f>
        <v>0</v>
      </c>
      <c r="AV213" s="69">
        <f>SUM(RD[[#This Row],[IS5Inv1M1]:[IS5Inv2M3]])</f>
        <v>0</v>
      </c>
      <c r="AW213" s="69">
        <f>SUM(RD[[#This Row],[O2RE9]:[O2RE192]])</f>
        <v>0</v>
      </c>
      <c r="AX213" s="152"/>
      <c r="AY213" s="152"/>
      <c r="AZ213" s="152"/>
      <c r="BA213" s="152"/>
      <c r="BB213" s="152"/>
      <c r="BC213" s="152"/>
      <c r="BD213" s="153" t="str">
        <f>IF((RD[[#This Row],[33 kV_F1_Ex (O2RE9)]]-AX212)*225000&lt;=0,"",(RD[[#This Row],[33 kV_F1_Ex (O2RE9)]]-AX212)*225000)</f>
        <v/>
      </c>
      <c r="BE213" s="153">
        <f>IF((RD[[#This Row],[33kV_OG1_Ex (O2RE9)]]-AY212)*1000&lt;=0,0,(RD[[#This Row],[33kV_OG1_Ex (O2RE9)]]-AY212)*1000)</f>
        <v>0</v>
      </c>
      <c r="BF213" s="153"/>
      <c r="BG213" s="153" t="str">
        <f>IF((RD[[#This Row],[33 kV_F2_Ex (O2RE19)]]-BA212)*150000&lt;=0,"",(RD[[#This Row],[33 kV_F2_Ex (O2RE19)]]-BA212)*150000)</f>
        <v/>
      </c>
      <c r="BH213" s="153">
        <f>IF((RD[[#This Row],[33kV_OG2_Ex (O2RE19)]]-BB212)*1000&lt;=0,0,(RD[[#This Row],[33kV_OG2_Ex (O2RE19)]]-BB212)*1000)</f>
        <v>0</v>
      </c>
      <c r="BI213" s="153">
        <f>IF((RD[[#This Row],[33kV_Aux2_Im (O2RE19)]]-BC212)*1000&lt;0,"",(RD[[#This Row],[33kV_Aux2_Im (O2RE19)]]-BC212)*1000)</f>
        <v>0</v>
      </c>
      <c r="BJ213" s="153">
        <f>IF((RD[[#This Row],[33kV_Aux1_Im (O2RE9)]]-AZ212)*1000&lt;0,"",(RD[[#This Row],[33kV_Aux1_Im (O2RE9)]]-AZ212)*1000)</f>
        <v>0</v>
      </c>
      <c r="BK213" s="153">
        <f>SUM(RD[[#This Row],[33kV_OG1_O2RE9_Energy (KWh)]],RD[[#This Row],[33kV_OG2_O2RE19_Energy (KWh)]])</f>
        <v>0</v>
      </c>
      <c r="BL213" s="62" t="str">
        <f>IFERROR(RD[[#This Row],[33 kV Total Export (KWH)]]/RD[[#This Row],[Inv Total Gneration (MWh)]]-1,"")</f>
        <v/>
      </c>
      <c r="BM213" s="63">
        <f>IFERROR((RD[[#This Row],[Sunset Time (POA&lt;20 W/m2)]]-RD[[#This Row],[Sunrise Time (POA&gt;20 W/m2)]])*24,0)</f>
        <v>0</v>
      </c>
      <c r="BN213" s="64">
        <f>SUM(RD[[#This Row],[33kV_OG1_O2RE9_Energy (KWh)]],RD[[#This Row],[33kV_OG2_O2RE19_Energy (KWh)]])</f>
        <v>0</v>
      </c>
      <c r="BO213" s="64">
        <f>IFERROR(RD[[#This Row],[ Export (33 kV)]]*(1-RD[[#This Row],[33 kV Line Loss (%)]]),RD[[#This Row],[ Export (33 kV)]])</f>
        <v>0</v>
      </c>
      <c r="BP213" s="189"/>
      <c r="BQ213" s="189"/>
      <c r="BR213" s="189"/>
      <c r="BS213" t="str">
        <f>IFERROR(RD[[#This Row],[E_AC (WPR)]]/RD[[#This Row],[E_DC (WPR)]],"")</f>
        <v/>
      </c>
    </row>
    <row r="214" spans="1:71">
      <c r="A214" s="147">
        <f t="shared" si="75"/>
        <v>46048</v>
      </c>
      <c r="B214" s="150">
        <f>YEAR(RD[[#This Row],[Date]])+IF(MONTH(RD[[#This Row],[Date]])&gt;=4,1,0)</f>
        <v>2026</v>
      </c>
      <c r="C214" s="150">
        <f>YEAR(RD[[#This Row],[Date]])</f>
        <v>2026</v>
      </c>
      <c r="D214" s="65">
        <f t="shared" si="74"/>
        <v>46023</v>
      </c>
      <c r="E214" s="150">
        <f>DAY(EOMONTH(RD[[#This Row],[Date]],0))</f>
        <v>31</v>
      </c>
      <c r="F214" s="171"/>
      <c r="G214" s="171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68"/>
      <c r="AF214" s="168"/>
      <c r="AG214" s="168"/>
      <c r="AH214" s="168"/>
      <c r="AI214" s="168"/>
      <c r="AJ214" s="168"/>
      <c r="AK214" s="168"/>
      <c r="AL214" s="168"/>
      <c r="AM214" s="71"/>
      <c r="AN214" s="68"/>
      <c r="AO214" s="68"/>
      <c r="AP214" s="68"/>
      <c r="AQ214" s="68"/>
      <c r="AR214" s="68"/>
      <c r="AS214" s="68"/>
      <c r="AT214" s="68"/>
      <c r="AU214" s="69">
        <f>SUM(RD[[#This Row],[IS2Inv1M1]:[IS4Inv1M3]])</f>
        <v>0</v>
      </c>
      <c r="AV214" s="69">
        <f>SUM(RD[[#This Row],[IS5Inv1M1]:[IS5Inv2M3]])</f>
        <v>0</v>
      </c>
      <c r="AW214" s="69">
        <f>SUM(RD[[#This Row],[O2RE9]:[O2RE192]])</f>
        <v>0</v>
      </c>
      <c r="AX214" s="152"/>
      <c r="AY214" s="152"/>
      <c r="AZ214" s="152"/>
      <c r="BA214" s="152"/>
      <c r="BB214" s="152"/>
      <c r="BC214" s="152"/>
      <c r="BD214" s="153" t="str">
        <f>IF((RD[[#This Row],[33 kV_F1_Ex (O2RE9)]]-AX213)*225000&lt;=0,"",(RD[[#This Row],[33 kV_F1_Ex (O2RE9)]]-AX213)*225000)</f>
        <v/>
      </c>
      <c r="BE214" s="153">
        <f>IF((RD[[#This Row],[33kV_OG1_Ex (O2RE9)]]-AY213)*1000&lt;=0,0,(RD[[#This Row],[33kV_OG1_Ex (O2RE9)]]-AY213)*1000)</f>
        <v>0</v>
      </c>
      <c r="BF214" s="153"/>
      <c r="BG214" s="153" t="str">
        <f>IF((RD[[#This Row],[33 kV_F2_Ex (O2RE19)]]-BA213)*150000&lt;=0,"",(RD[[#This Row],[33 kV_F2_Ex (O2RE19)]]-BA213)*150000)</f>
        <v/>
      </c>
      <c r="BH214" s="153">
        <f>IF((RD[[#This Row],[33kV_OG2_Ex (O2RE19)]]-BB213)*1000&lt;=0,0,(RD[[#This Row],[33kV_OG2_Ex (O2RE19)]]-BB213)*1000)</f>
        <v>0</v>
      </c>
      <c r="BI214" s="153">
        <f>IF((RD[[#This Row],[33kV_Aux2_Im (O2RE19)]]-BC213)*1000&lt;0,"",(RD[[#This Row],[33kV_Aux2_Im (O2RE19)]]-BC213)*1000)</f>
        <v>0</v>
      </c>
      <c r="BJ214" s="153">
        <f>IF((RD[[#This Row],[33kV_Aux1_Im (O2RE9)]]-AZ213)*1000&lt;0,"",(RD[[#This Row],[33kV_Aux1_Im (O2RE9)]]-AZ213)*1000)</f>
        <v>0</v>
      </c>
      <c r="BK214" s="153">
        <f>SUM(RD[[#This Row],[33kV_OG1_O2RE9_Energy (KWh)]],RD[[#This Row],[33kV_OG2_O2RE19_Energy (KWh)]])</f>
        <v>0</v>
      </c>
      <c r="BL214" s="62" t="str">
        <f>IFERROR(RD[[#This Row],[33 kV Total Export (KWH)]]/RD[[#This Row],[Inv Total Gneration (MWh)]]-1,"")</f>
        <v/>
      </c>
      <c r="BM214" s="63">
        <f>IFERROR((RD[[#This Row],[Sunset Time (POA&lt;20 W/m2)]]-RD[[#This Row],[Sunrise Time (POA&gt;20 W/m2)]])*24,0)</f>
        <v>0</v>
      </c>
      <c r="BN214" s="64">
        <f>SUM(RD[[#This Row],[33kV_OG1_O2RE9_Energy (KWh)]],RD[[#This Row],[33kV_OG2_O2RE19_Energy (KWh)]])</f>
        <v>0</v>
      </c>
      <c r="BO214" s="64">
        <f>IFERROR(RD[[#This Row],[ Export (33 kV)]]*(1-RD[[#This Row],[33 kV Line Loss (%)]]),RD[[#This Row],[ Export (33 kV)]])</f>
        <v>0</v>
      </c>
      <c r="BP214" s="189"/>
      <c r="BQ214" s="189"/>
      <c r="BR214" s="189"/>
      <c r="BS214" t="str">
        <f>IFERROR(RD[[#This Row],[E_AC (WPR)]]/RD[[#This Row],[E_DC (WPR)]],"")</f>
        <v/>
      </c>
    </row>
    <row r="215" spans="1:71">
      <c r="A215" s="147">
        <f t="shared" si="75"/>
        <v>46049</v>
      </c>
      <c r="B215" s="150">
        <f>YEAR(RD[[#This Row],[Date]])+IF(MONTH(RD[[#This Row],[Date]])&gt;=4,1,0)</f>
        <v>2026</v>
      </c>
      <c r="C215" s="150">
        <f>YEAR(RD[[#This Row],[Date]])</f>
        <v>2026</v>
      </c>
      <c r="D215" s="65">
        <f t="shared" si="74"/>
        <v>46023</v>
      </c>
      <c r="E215" s="150">
        <f>DAY(EOMONTH(RD[[#This Row],[Date]],0))</f>
        <v>31</v>
      </c>
      <c r="F215" s="171"/>
      <c r="G215" s="171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68"/>
      <c r="AF215" s="168"/>
      <c r="AG215" s="168"/>
      <c r="AH215" s="168"/>
      <c r="AI215" s="168"/>
      <c r="AJ215" s="168"/>
      <c r="AK215" s="168"/>
      <c r="AL215" s="168"/>
      <c r="AM215" s="71"/>
      <c r="AN215" s="68"/>
      <c r="AO215" s="68"/>
      <c r="AP215" s="68"/>
      <c r="AQ215" s="68"/>
      <c r="AR215" s="68"/>
      <c r="AS215" s="68"/>
      <c r="AT215" s="68"/>
      <c r="AU215" s="69">
        <f>SUM(RD[[#This Row],[IS2Inv1M1]:[IS4Inv1M3]])</f>
        <v>0</v>
      </c>
      <c r="AV215" s="69">
        <f>SUM(RD[[#This Row],[IS5Inv1M1]:[IS5Inv2M3]])</f>
        <v>0</v>
      </c>
      <c r="AW215" s="69">
        <f>SUM(RD[[#This Row],[O2RE9]:[O2RE192]])</f>
        <v>0</v>
      </c>
      <c r="AX215" s="152"/>
      <c r="AY215" s="152"/>
      <c r="AZ215" s="152"/>
      <c r="BA215" s="152"/>
      <c r="BB215" s="152"/>
      <c r="BC215" s="152"/>
      <c r="BD215" s="153" t="str">
        <f>IF((RD[[#This Row],[33 kV_F1_Ex (O2RE9)]]-AX214)*225000&lt;=0,"",(RD[[#This Row],[33 kV_F1_Ex (O2RE9)]]-AX214)*225000)</f>
        <v/>
      </c>
      <c r="BE215" s="153">
        <f>IF((RD[[#This Row],[33kV_OG1_Ex (O2RE9)]]-AY214)*1000&lt;=0,0,(RD[[#This Row],[33kV_OG1_Ex (O2RE9)]]-AY214)*1000)</f>
        <v>0</v>
      </c>
      <c r="BF215" s="153"/>
      <c r="BG215" s="153" t="str">
        <f>IF((RD[[#This Row],[33 kV_F2_Ex (O2RE19)]]-BA214)*150000&lt;=0,"",(RD[[#This Row],[33 kV_F2_Ex (O2RE19)]]-BA214)*150000)</f>
        <v/>
      </c>
      <c r="BH215" s="153">
        <f>IF((RD[[#This Row],[33kV_OG2_Ex (O2RE19)]]-BB214)*1000&lt;=0,0,(RD[[#This Row],[33kV_OG2_Ex (O2RE19)]]-BB214)*1000)</f>
        <v>0</v>
      </c>
      <c r="BI215" s="153">
        <f>IF((RD[[#This Row],[33kV_Aux2_Im (O2RE19)]]-BC214)*1000&lt;0,"",(RD[[#This Row],[33kV_Aux2_Im (O2RE19)]]-BC214)*1000)</f>
        <v>0</v>
      </c>
      <c r="BJ215" s="153">
        <f>IF((RD[[#This Row],[33kV_Aux1_Im (O2RE9)]]-AZ214)*1000&lt;0,"",(RD[[#This Row],[33kV_Aux1_Im (O2RE9)]]-AZ214)*1000)</f>
        <v>0</v>
      </c>
      <c r="BK215" s="153">
        <f>SUM(RD[[#This Row],[33kV_OG1_O2RE9_Energy (KWh)]],RD[[#This Row],[33kV_OG2_O2RE19_Energy (KWh)]])</f>
        <v>0</v>
      </c>
      <c r="BL215" s="62" t="str">
        <f>IFERROR(RD[[#This Row],[33 kV Total Export (KWH)]]/RD[[#This Row],[Inv Total Gneration (MWh)]]-1,"")</f>
        <v/>
      </c>
      <c r="BM215" s="63">
        <f>IFERROR((RD[[#This Row],[Sunset Time (POA&lt;20 W/m2)]]-RD[[#This Row],[Sunrise Time (POA&gt;20 W/m2)]])*24,0)</f>
        <v>0</v>
      </c>
      <c r="BN215" s="64">
        <f>SUM(RD[[#This Row],[33kV_OG1_O2RE9_Energy (KWh)]],RD[[#This Row],[33kV_OG2_O2RE19_Energy (KWh)]])</f>
        <v>0</v>
      </c>
      <c r="BO215" s="64">
        <f>IFERROR(RD[[#This Row],[ Export (33 kV)]]*(1-RD[[#This Row],[33 kV Line Loss (%)]]),RD[[#This Row],[ Export (33 kV)]])</f>
        <v>0</v>
      </c>
      <c r="BP215" s="189"/>
      <c r="BQ215" s="189"/>
      <c r="BR215" s="189"/>
      <c r="BS215" t="str">
        <f>IFERROR(RD[[#This Row],[E_AC (WPR)]]/RD[[#This Row],[E_DC (WPR)]],"")</f>
        <v/>
      </c>
    </row>
    <row r="216" spans="1:71">
      <c r="A216" s="147">
        <f t="shared" si="75"/>
        <v>46050</v>
      </c>
      <c r="B216" s="150">
        <f>YEAR(RD[[#This Row],[Date]])+IF(MONTH(RD[[#This Row],[Date]])&gt;=4,1,0)</f>
        <v>2026</v>
      </c>
      <c r="C216" s="150">
        <f>YEAR(RD[[#This Row],[Date]])</f>
        <v>2026</v>
      </c>
      <c r="D216" s="65">
        <f t="shared" si="74"/>
        <v>46023</v>
      </c>
      <c r="E216" s="150">
        <f>DAY(EOMONTH(RD[[#This Row],[Date]],0))</f>
        <v>31</v>
      </c>
      <c r="F216" s="171"/>
      <c r="G216" s="171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68"/>
      <c r="AF216" s="168"/>
      <c r="AG216" s="168"/>
      <c r="AH216" s="168"/>
      <c r="AI216" s="168"/>
      <c r="AJ216" s="168"/>
      <c r="AK216" s="168"/>
      <c r="AL216" s="168"/>
      <c r="AM216" s="71"/>
      <c r="AN216" s="68"/>
      <c r="AO216" s="68"/>
      <c r="AP216" s="68"/>
      <c r="AQ216" s="68"/>
      <c r="AR216" s="68"/>
      <c r="AS216" s="68"/>
      <c r="AT216" s="68"/>
      <c r="AU216" s="69">
        <f>SUM(RD[[#This Row],[IS2Inv1M1]:[IS4Inv1M3]])</f>
        <v>0</v>
      </c>
      <c r="AV216" s="69">
        <f>SUM(RD[[#This Row],[IS5Inv1M1]:[IS5Inv2M3]])</f>
        <v>0</v>
      </c>
      <c r="AW216" s="69">
        <f>SUM(RD[[#This Row],[O2RE9]:[O2RE192]])</f>
        <v>0</v>
      </c>
      <c r="AX216" s="152"/>
      <c r="AY216" s="152"/>
      <c r="AZ216" s="152"/>
      <c r="BA216" s="152"/>
      <c r="BB216" s="152"/>
      <c r="BC216" s="152"/>
      <c r="BD216" s="153" t="str">
        <f>IF((RD[[#This Row],[33 kV_F1_Ex (O2RE9)]]-AX215)*225000&lt;=0,"",(RD[[#This Row],[33 kV_F1_Ex (O2RE9)]]-AX215)*225000)</f>
        <v/>
      </c>
      <c r="BE216" s="153">
        <f>IF((RD[[#This Row],[33kV_OG1_Ex (O2RE9)]]-AY215)*1000&lt;=0,0,(RD[[#This Row],[33kV_OG1_Ex (O2RE9)]]-AY215)*1000)</f>
        <v>0</v>
      </c>
      <c r="BF216" s="153"/>
      <c r="BG216" s="153" t="str">
        <f>IF((RD[[#This Row],[33 kV_F2_Ex (O2RE19)]]-BA215)*150000&lt;=0,"",(RD[[#This Row],[33 kV_F2_Ex (O2RE19)]]-BA215)*150000)</f>
        <v/>
      </c>
      <c r="BH216" s="153">
        <f>IF((RD[[#This Row],[33kV_OG2_Ex (O2RE19)]]-BB215)*1000&lt;=0,0,(RD[[#This Row],[33kV_OG2_Ex (O2RE19)]]-BB215)*1000)</f>
        <v>0</v>
      </c>
      <c r="BI216" s="153">
        <f>IF((RD[[#This Row],[33kV_Aux2_Im (O2RE19)]]-BC215)*1000&lt;0,"",(RD[[#This Row],[33kV_Aux2_Im (O2RE19)]]-BC215)*1000)</f>
        <v>0</v>
      </c>
      <c r="BJ216" s="153">
        <f>IF((RD[[#This Row],[33kV_Aux1_Im (O2RE9)]]-AZ215)*1000&lt;0,"",(RD[[#This Row],[33kV_Aux1_Im (O2RE9)]]-AZ215)*1000)</f>
        <v>0</v>
      </c>
      <c r="BK216" s="153">
        <f>SUM(RD[[#This Row],[33kV_OG1_O2RE9_Energy (KWh)]],RD[[#This Row],[33kV_OG2_O2RE19_Energy (KWh)]])</f>
        <v>0</v>
      </c>
      <c r="BL216" s="62" t="str">
        <f>IFERROR(RD[[#This Row],[33 kV Total Export (KWH)]]/RD[[#This Row],[Inv Total Gneration (MWh)]]-1,"")</f>
        <v/>
      </c>
      <c r="BM216" s="63">
        <f>IFERROR((RD[[#This Row],[Sunset Time (POA&lt;20 W/m2)]]-RD[[#This Row],[Sunrise Time (POA&gt;20 W/m2)]])*24,0)</f>
        <v>0</v>
      </c>
      <c r="BN216" s="64">
        <f>SUM(RD[[#This Row],[33kV_OG1_O2RE9_Energy (KWh)]],RD[[#This Row],[33kV_OG2_O2RE19_Energy (KWh)]])</f>
        <v>0</v>
      </c>
      <c r="BO216" s="64">
        <f>IFERROR(RD[[#This Row],[ Export (33 kV)]]*(1-RD[[#This Row],[33 kV Line Loss (%)]]),RD[[#This Row],[ Export (33 kV)]])</f>
        <v>0</v>
      </c>
      <c r="BP216" s="189"/>
      <c r="BQ216" s="189"/>
      <c r="BR216" s="189"/>
      <c r="BS216" t="str">
        <f>IFERROR(RD[[#This Row],[E_AC (WPR)]]/RD[[#This Row],[E_DC (WPR)]],"")</f>
        <v/>
      </c>
    </row>
    <row r="217" spans="1:71">
      <c r="A217" s="147">
        <f t="shared" si="75"/>
        <v>46051</v>
      </c>
      <c r="B217" s="150">
        <f>YEAR(RD[[#This Row],[Date]])+IF(MONTH(RD[[#This Row],[Date]])&gt;=4,1,0)</f>
        <v>2026</v>
      </c>
      <c r="C217" s="150">
        <f>YEAR(RD[[#This Row],[Date]])</f>
        <v>2026</v>
      </c>
      <c r="D217" s="65">
        <f t="shared" si="74"/>
        <v>46023</v>
      </c>
      <c r="E217" s="150">
        <f>DAY(EOMONTH(RD[[#This Row],[Date]],0))</f>
        <v>31</v>
      </c>
      <c r="F217" s="171"/>
      <c r="G217" s="171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68"/>
      <c r="AF217" s="168"/>
      <c r="AG217" s="168"/>
      <c r="AH217" s="168"/>
      <c r="AI217" s="168"/>
      <c r="AJ217" s="168"/>
      <c r="AK217" s="168"/>
      <c r="AL217" s="168"/>
      <c r="AM217" s="71"/>
      <c r="AN217" s="68"/>
      <c r="AO217" s="68"/>
      <c r="AP217" s="68"/>
      <c r="AQ217" s="68"/>
      <c r="AR217" s="68"/>
      <c r="AS217" s="68"/>
      <c r="AT217" s="68"/>
      <c r="AU217" s="69">
        <f>SUM(RD[[#This Row],[IS2Inv1M1]:[IS4Inv1M3]])</f>
        <v>0</v>
      </c>
      <c r="AV217" s="69">
        <f>SUM(RD[[#This Row],[IS5Inv1M1]:[IS5Inv2M3]])</f>
        <v>0</v>
      </c>
      <c r="AW217" s="69">
        <f>SUM(RD[[#This Row],[O2RE9]:[O2RE192]])</f>
        <v>0</v>
      </c>
      <c r="AX217" s="152"/>
      <c r="AY217" s="152"/>
      <c r="AZ217" s="152"/>
      <c r="BA217" s="152"/>
      <c r="BB217" s="152"/>
      <c r="BC217" s="152"/>
      <c r="BD217" s="153" t="str">
        <f>IF((RD[[#This Row],[33 kV_F1_Ex (O2RE9)]]-AX216)*225000&lt;=0,"",(RD[[#This Row],[33 kV_F1_Ex (O2RE9)]]-AX216)*225000)</f>
        <v/>
      </c>
      <c r="BE217" s="153">
        <f>IF((RD[[#This Row],[33kV_OG1_Ex (O2RE9)]]-AY216)*1000&lt;=0,0,(RD[[#This Row],[33kV_OG1_Ex (O2RE9)]]-AY216)*1000)</f>
        <v>0</v>
      </c>
      <c r="BF217" s="153"/>
      <c r="BG217" s="153" t="str">
        <f>IF((RD[[#This Row],[33 kV_F2_Ex (O2RE19)]]-BA216)*150000&lt;=0,"",(RD[[#This Row],[33 kV_F2_Ex (O2RE19)]]-BA216)*150000)</f>
        <v/>
      </c>
      <c r="BH217" s="153">
        <f>IF((RD[[#This Row],[33kV_OG2_Ex (O2RE19)]]-BB216)*1000&lt;=0,0,(RD[[#This Row],[33kV_OG2_Ex (O2RE19)]]-BB216)*1000)</f>
        <v>0</v>
      </c>
      <c r="BI217" s="153">
        <f>IF((RD[[#This Row],[33kV_Aux2_Im (O2RE19)]]-BC216)*1000&lt;0,"",(RD[[#This Row],[33kV_Aux2_Im (O2RE19)]]-BC216)*1000)</f>
        <v>0</v>
      </c>
      <c r="BJ217" s="153">
        <f>IF((RD[[#This Row],[33kV_Aux1_Im (O2RE9)]]-AZ216)*1000&lt;0,"",(RD[[#This Row],[33kV_Aux1_Im (O2RE9)]]-AZ216)*1000)</f>
        <v>0</v>
      </c>
      <c r="BK217" s="153">
        <f>SUM(RD[[#This Row],[33kV_OG1_O2RE9_Energy (KWh)]],RD[[#This Row],[33kV_OG2_O2RE19_Energy (KWh)]])</f>
        <v>0</v>
      </c>
      <c r="BL217" s="62" t="str">
        <f>IFERROR(RD[[#This Row],[33 kV Total Export (KWH)]]/RD[[#This Row],[Inv Total Gneration (MWh)]]-1,"")</f>
        <v/>
      </c>
      <c r="BM217" s="63">
        <f>IFERROR((RD[[#This Row],[Sunset Time (POA&lt;20 W/m2)]]-RD[[#This Row],[Sunrise Time (POA&gt;20 W/m2)]])*24,0)</f>
        <v>0</v>
      </c>
      <c r="BN217" s="64">
        <f>SUM(RD[[#This Row],[33kV_OG1_O2RE9_Energy (KWh)]],RD[[#This Row],[33kV_OG2_O2RE19_Energy (KWh)]])</f>
        <v>0</v>
      </c>
      <c r="BO217" s="64">
        <f>IFERROR(RD[[#This Row],[ Export (33 kV)]]*(1-RD[[#This Row],[33 kV Line Loss (%)]]),RD[[#This Row],[ Export (33 kV)]])</f>
        <v>0</v>
      </c>
      <c r="BP217" s="189"/>
      <c r="BQ217" s="189"/>
      <c r="BR217" s="189"/>
      <c r="BS217" t="str">
        <f>IFERROR(RD[[#This Row],[E_AC (WPR)]]/RD[[#This Row],[E_DC (WPR)]],"")</f>
        <v/>
      </c>
    </row>
    <row r="218" spans="1:71">
      <c r="A218" s="147">
        <f t="shared" si="75"/>
        <v>46052</v>
      </c>
      <c r="B218" s="150">
        <f>YEAR(RD[[#This Row],[Date]])+IF(MONTH(RD[[#This Row],[Date]])&gt;=4,1,0)</f>
        <v>2026</v>
      </c>
      <c r="C218" s="150">
        <f>YEAR(RD[[#This Row],[Date]])</f>
        <v>2026</v>
      </c>
      <c r="D218" s="65">
        <f t="shared" si="74"/>
        <v>46023</v>
      </c>
      <c r="E218" s="150">
        <f>DAY(EOMONTH(RD[[#This Row],[Date]],0))</f>
        <v>31</v>
      </c>
      <c r="F218" s="171"/>
      <c r="G218" s="171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69"/>
      <c r="AF218" s="169"/>
      <c r="AG218" s="169"/>
      <c r="AH218" s="169"/>
      <c r="AI218" s="169"/>
      <c r="AJ218" s="169"/>
      <c r="AK218" s="169"/>
      <c r="AL218" s="169"/>
      <c r="AM218" s="155"/>
      <c r="AN218" s="68"/>
      <c r="AO218" s="68"/>
      <c r="AP218" s="68"/>
      <c r="AQ218" s="68"/>
      <c r="AR218" s="68"/>
      <c r="AS218" s="68"/>
      <c r="AT218" s="68"/>
      <c r="AU218" s="69">
        <f>SUM(RD[[#This Row],[IS2Inv1M1]:[IS4Inv1M3]])</f>
        <v>0</v>
      </c>
      <c r="AV218" s="69">
        <f>SUM(RD[[#This Row],[IS5Inv1M1]:[IS5Inv2M3]])</f>
        <v>0</v>
      </c>
      <c r="AW218" s="69">
        <f>SUM(RD[[#This Row],[O2RE9]:[O2RE192]])</f>
        <v>0</v>
      </c>
      <c r="AX218" s="152"/>
      <c r="AY218" s="152"/>
      <c r="AZ218" s="152"/>
      <c r="BA218" s="152"/>
      <c r="BB218" s="152"/>
      <c r="BC218" s="152"/>
      <c r="BD218" s="153" t="str">
        <f>IF((RD[[#This Row],[33 kV_F1_Ex (O2RE9)]]-AX217)*225000&lt;=0,"",(RD[[#This Row],[33 kV_F1_Ex (O2RE9)]]-AX217)*225000)</f>
        <v/>
      </c>
      <c r="BE218" s="153">
        <f>IF((RD[[#This Row],[33kV_OG1_Ex (O2RE9)]]-AY217)*1000&lt;=0,0,(RD[[#This Row],[33kV_OG1_Ex (O2RE9)]]-AY217)*1000)</f>
        <v>0</v>
      </c>
      <c r="BF218" s="153"/>
      <c r="BG218" s="153" t="str">
        <f>IF((RD[[#This Row],[33 kV_F2_Ex (O2RE19)]]-BA217)*150000&lt;=0,"",(RD[[#This Row],[33 kV_F2_Ex (O2RE19)]]-BA217)*150000)</f>
        <v/>
      </c>
      <c r="BH218" s="153">
        <f>IF((RD[[#This Row],[33kV_OG2_Ex (O2RE19)]]-BB217)*1000&lt;=0,0,(RD[[#This Row],[33kV_OG2_Ex (O2RE19)]]-BB217)*1000)</f>
        <v>0</v>
      </c>
      <c r="BI218" s="153">
        <f>IF((RD[[#This Row],[33kV_Aux2_Im (O2RE19)]]-BC217)*1000&lt;0,"",(RD[[#This Row],[33kV_Aux2_Im (O2RE19)]]-BC217)*1000)</f>
        <v>0</v>
      </c>
      <c r="BJ218" s="153">
        <f>IF((RD[[#This Row],[33kV_Aux1_Im (O2RE9)]]-AZ217)*1000&lt;0,"",(RD[[#This Row],[33kV_Aux1_Im (O2RE9)]]-AZ217)*1000)</f>
        <v>0</v>
      </c>
      <c r="BK218" s="153">
        <f>SUM(RD[[#This Row],[33kV_OG1_O2RE9_Energy (KWh)]],RD[[#This Row],[33kV_OG2_O2RE19_Energy (KWh)]])</f>
        <v>0</v>
      </c>
      <c r="BL218" s="62" t="str">
        <f>IFERROR(RD[[#This Row],[33 kV Total Export (KWH)]]/RD[[#This Row],[Inv Total Gneration (MWh)]]-1,"")</f>
        <v/>
      </c>
      <c r="BM218" s="63">
        <f>IFERROR((RD[[#This Row],[Sunset Time (POA&lt;20 W/m2)]]-RD[[#This Row],[Sunrise Time (POA&gt;20 W/m2)]])*24,0)</f>
        <v>0</v>
      </c>
      <c r="BN218" s="64">
        <f>SUM(RD[[#This Row],[33kV_OG1_O2RE9_Energy (KWh)]],RD[[#This Row],[33kV_OG2_O2RE19_Energy (KWh)]])</f>
        <v>0</v>
      </c>
      <c r="BO218" s="64">
        <f>IFERROR(RD[[#This Row],[ Export (33 kV)]]*(1-RD[[#This Row],[33 kV Line Loss (%)]]),RD[[#This Row],[ Export (33 kV)]])</f>
        <v>0</v>
      </c>
      <c r="BP218" s="189"/>
      <c r="BQ218" s="189"/>
      <c r="BR218" s="189"/>
      <c r="BS218" t="str">
        <f>IFERROR(RD[[#This Row],[E_AC (WPR)]]/RD[[#This Row],[E_DC (WPR)]],"")</f>
        <v/>
      </c>
    </row>
    <row r="219" spans="1:71">
      <c r="A219" s="147">
        <f t="shared" si="75"/>
        <v>46053</v>
      </c>
      <c r="B219" s="150">
        <f>YEAR(RD[[#This Row],[Date]])+IF(MONTH(RD[[#This Row],[Date]])&gt;=4,1,0)</f>
        <v>2026</v>
      </c>
      <c r="C219" s="150">
        <f>YEAR(RD[[#This Row],[Date]])</f>
        <v>2026</v>
      </c>
      <c r="D219" s="65">
        <f t="shared" si="74"/>
        <v>46023</v>
      </c>
      <c r="E219" s="150">
        <f>DAY(EOMONTH(RD[[#This Row],[Date]],0))</f>
        <v>31</v>
      </c>
      <c r="F219" s="171"/>
      <c r="G219" s="171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69"/>
      <c r="AF219" s="169"/>
      <c r="AG219" s="169"/>
      <c r="AH219" s="169"/>
      <c r="AI219" s="169"/>
      <c r="AJ219" s="169"/>
      <c r="AK219" s="169"/>
      <c r="AL219" s="169"/>
      <c r="AM219" s="155"/>
      <c r="AN219" s="68"/>
      <c r="AO219" s="68"/>
      <c r="AP219" s="68"/>
      <c r="AQ219" s="68"/>
      <c r="AR219" s="68"/>
      <c r="AS219" s="68"/>
      <c r="AT219" s="68"/>
      <c r="AU219" s="69">
        <f>SUM(RD[[#This Row],[IS2Inv1M1]:[IS4Inv1M3]])</f>
        <v>0</v>
      </c>
      <c r="AV219" s="69">
        <f>SUM(RD[[#This Row],[IS5Inv1M1]:[IS5Inv2M3]])</f>
        <v>0</v>
      </c>
      <c r="AW219" s="69">
        <f>SUM(RD[[#This Row],[O2RE9]:[O2RE192]])</f>
        <v>0</v>
      </c>
      <c r="AX219" s="152"/>
      <c r="AY219" s="152"/>
      <c r="AZ219" s="152"/>
      <c r="BA219" s="152"/>
      <c r="BB219" s="152"/>
      <c r="BC219" s="152"/>
      <c r="BD219" s="153" t="str">
        <f>IF((RD[[#This Row],[33 kV_F1_Ex (O2RE9)]]-AX218)*225000&lt;=0,"",(RD[[#This Row],[33 kV_F1_Ex (O2RE9)]]-AX218)*225000)</f>
        <v/>
      </c>
      <c r="BE219" s="153">
        <f>IF((RD[[#This Row],[33kV_OG1_Ex (O2RE9)]]-AY218)*1000&lt;=0,0,(RD[[#This Row],[33kV_OG1_Ex (O2RE9)]]-AY218)*1000)</f>
        <v>0</v>
      </c>
      <c r="BF219" s="153"/>
      <c r="BG219" s="153" t="str">
        <f>IF((RD[[#This Row],[33 kV_F2_Ex (O2RE19)]]-BA218)*150000&lt;=0,"",(RD[[#This Row],[33 kV_F2_Ex (O2RE19)]]-BA218)*150000)</f>
        <v/>
      </c>
      <c r="BH219" s="153">
        <f>IF((RD[[#This Row],[33kV_OG2_Ex (O2RE19)]]-BB218)*1000&lt;=0,0,(RD[[#This Row],[33kV_OG2_Ex (O2RE19)]]-BB218)*1000)</f>
        <v>0</v>
      </c>
      <c r="BI219" s="153">
        <f>IF((RD[[#This Row],[33kV_Aux2_Im (O2RE19)]]-BC218)*1000&lt;0,"",(RD[[#This Row],[33kV_Aux2_Im (O2RE19)]]-BC218)*1000)</f>
        <v>0</v>
      </c>
      <c r="BJ219" s="153">
        <f>IF((RD[[#This Row],[33kV_Aux1_Im (O2RE9)]]-AZ218)*1000&lt;0,"",(RD[[#This Row],[33kV_Aux1_Im (O2RE9)]]-AZ218)*1000)</f>
        <v>0</v>
      </c>
      <c r="BK219" s="153">
        <f>SUM(RD[[#This Row],[33kV_OG1_O2RE9_Energy (KWh)]],RD[[#This Row],[33kV_OG2_O2RE19_Energy (KWh)]])</f>
        <v>0</v>
      </c>
      <c r="BL219" s="62" t="str">
        <f>IFERROR(RD[[#This Row],[33 kV Total Export (KWH)]]/RD[[#This Row],[Inv Total Gneration (MWh)]]-1,"")</f>
        <v/>
      </c>
      <c r="BM219" s="63">
        <f>IFERROR((RD[[#This Row],[Sunset Time (POA&lt;20 W/m2)]]-RD[[#This Row],[Sunrise Time (POA&gt;20 W/m2)]])*24,0)</f>
        <v>0</v>
      </c>
      <c r="BN219" s="64">
        <f>SUM(RD[[#This Row],[33kV_OG1_O2RE9_Energy (KWh)]],RD[[#This Row],[33kV_OG2_O2RE19_Energy (KWh)]])</f>
        <v>0</v>
      </c>
      <c r="BO219" s="64">
        <f>IFERROR(RD[[#This Row],[ Export (33 kV)]]*(1-RD[[#This Row],[33 kV Line Loss (%)]]),RD[[#This Row],[ Export (33 kV)]])</f>
        <v>0</v>
      </c>
      <c r="BP219" s="189"/>
      <c r="BQ219" s="189"/>
      <c r="BR219" s="189"/>
      <c r="BS219" t="str">
        <f>IFERROR(RD[[#This Row],[E_AC (WPR)]]/RD[[#This Row],[E_DC (WPR)]],"")</f>
        <v/>
      </c>
    </row>
    <row r="220" spans="1:71">
      <c r="A220" s="147">
        <f t="shared" si="75"/>
        <v>46054</v>
      </c>
      <c r="B220" s="150">
        <f>YEAR(RD[[#This Row],[Date]])+IF(MONTH(RD[[#This Row],[Date]])&gt;=4,1,0)</f>
        <v>2026</v>
      </c>
      <c r="C220" s="150">
        <f>YEAR(RD[[#This Row],[Date]])</f>
        <v>2026</v>
      </c>
      <c r="D220" s="65">
        <f t="shared" si="74"/>
        <v>46054</v>
      </c>
      <c r="E220" s="150">
        <f>DAY(EOMONTH(RD[[#This Row],[Date]],0))</f>
        <v>28</v>
      </c>
      <c r="F220" s="171"/>
      <c r="G220" s="171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68"/>
      <c r="AF220" s="168"/>
      <c r="AG220" s="168"/>
      <c r="AH220" s="168"/>
      <c r="AI220" s="168"/>
      <c r="AJ220" s="168"/>
      <c r="AK220" s="168"/>
      <c r="AL220" s="168"/>
      <c r="AM220" s="71"/>
      <c r="AN220" s="68"/>
      <c r="AO220" s="68"/>
      <c r="AP220" s="68"/>
      <c r="AQ220" s="68"/>
      <c r="AR220" s="68"/>
      <c r="AS220" s="68"/>
      <c r="AT220" s="68"/>
      <c r="AU220" s="69">
        <f>SUM(RD[[#This Row],[IS2Inv1M1]:[IS4Inv1M3]])</f>
        <v>0</v>
      </c>
      <c r="AV220" s="69">
        <f>SUM(RD[[#This Row],[IS5Inv1M1]:[IS5Inv2M3]])</f>
        <v>0</v>
      </c>
      <c r="AW220" s="69">
        <f>SUM(RD[[#This Row],[O2RE9]:[O2RE192]])</f>
        <v>0</v>
      </c>
      <c r="AX220" s="152"/>
      <c r="AY220" s="152"/>
      <c r="AZ220" s="152"/>
      <c r="BA220" s="152"/>
      <c r="BB220" s="152"/>
      <c r="BC220" s="152"/>
      <c r="BD220" s="153" t="str">
        <f>IF((RD[[#This Row],[33 kV_F1_Ex (O2RE9)]]-AX219)*225000&lt;=0,"",(RD[[#This Row],[33 kV_F1_Ex (O2RE9)]]-AX219)*225000)</f>
        <v/>
      </c>
      <c r="BE220" s="153">
        <f>IF((RD[[#This Row],[33kV_OG1_Ex (O2RE9)]]-AY219)*1000&lt;=0,0,(RD[[#This Row],[33kV_OG1_Ex (O2RE9)]]-AY219)*1000)</f>
        <v>0</v>
      </c>
      <c r="BF220" s="153"/>
      <c r="BG220" s="153" t="str">
        <f>IF((RD[[#This Row],[33 kV_F2_Ex (O2RE19)]]-BA219)*150000&lt;=0,"",(RD[[#This Row],[33 kV_F2_Ex (O2RE19)]]-BA219)*150000)</f>
        <v/>
      </c>
      <c r="BH220" s="153">
        <f>IF((RD[[#This Row],[33kV_OG2_Ex (O2RE19)]]-BB219)*1000&lt;=0,0,(RD[[#This Row],[33kV_OG2_Ex (O2RE19)]]-BB219)*1000)</f>
        <v>0</v>
      </c>
      <c r="BI220" s="153">
        <f>IF((RD[[#This Row],[33kV_Aux2_Im (O2RE19)]]-BC219)*1000&lt;0,"",(RD[[#This Row],[33kV_Aux2_Im (O2RE19)]]-BC219)*1000)</f>
        <v>0</v>
      </c>
      <c r="BJ220" s="153">
        <f>IF((RD[[#This Row],[33kV_Aux1_Im (O2RE9)]]-AZ219)*1000&lt;0,"",(RD[[#This Row],[33kV_Aux1_Im (O2RE9)]]-AZ219)*1000)</f>
        <v>0</v>
      </c>
      <c r="BK220" s="153">
        <f>SUM(RD[[#This Row],[33kV_OG1_O2RE9_Energy (KWh)]],RD[[#This Row],[33kV_OG2_O2RE19_Energy (KWh)]])</f>
        <v>0</v>
      </c>
      <c r="BL220" s="62" t="str">
        <f>IFERROR(RD[[#This Row],[33 kV Total Export (KWH)]]/RD[[#This Row],[Inv Total Gneration (MWh)]]-1,"")</f>
        <v/>
      </c>
      <c r="BM220" s="63">
        <f>IFERROR((RD[[#This Row],[Sunset Time (POA&lt;20 W/m2)]]-RD[[#This Row],[Sunrise Time (POA&gt;20 W/m2)]])*24,0)</f>
        <v>0</v>
      </c>
      <c r="BN220" s="64">
        <f>SUM(RD[[#This Row],[33kV_OG1_O2RE9_Energy (KWh)]],RD[[#This Row],[33kV_OG2_O2RE19_Energy (KWh)]])</f>
        <v>0</v>
      </c>
      <c r="BO220" s="64">
        <f>IFERROR(RD[[#This Row],[ Export (33 kV)]]*(1-RD[[#This Row],[33 kV Line Loss (%)]]),RD[[#This Row],[ Export (33 kV)]])</f>
        <v>0</v>
      </c>
      <c r="BP220" s="189"/>
      <c r="BQ220" s="189"/>
      <c r="BR220" s="189"/>
      <c r="BS220" t="str">
        <f>IFERROR(RD[[#This Row],[E_AC (WPR)]]/RD[[#This Row],[E_DC (WPR)]],"")</f>
        <v/>
      </c>
    </row>
    <row r="221" spans="1:71">
      <c r="A221" s="147">
        <f t="shared" si="75"/>
        <v>46055</v>
      </c>
      <c r="B221" s="150">
        <f>YEAR(RD[[#This Row],[Date]])+IF(MONTH(RD[[#This Row],[Date]])&gt;=4,1,0)</f>
        <v>2026</v>
      </c>
      <c r="C221" s="150">
        <f>YEAR(RD[[#This Row],[Date]])</f>
        <v>2026</v>
      </c>
      <c r="D221" s="65">
        <f t="shared" si="74"/>
        <v>46054</v>
      </c>
      <c r="E221" s="150">
        <f>DAY(EOMONTH(RD[[#This Row],[Date]],0))</f>
        <v>28</v>
      </c>
      <c r="F221" s="171"/>
      <c r="G221" s="171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68"/>
      <c r="AF221" s="168"/>
      <c r="AG221" s="168"/>
      <c r="AH221" s="168"/>
      <c r="AI221" s="168"/>
      <c r="AJ221" s="168"/>
      <c r="AK221" s="168"/>
      <c r="AL221" s="168"/>
      <c r="AM221" s="71"/>
      <c r="AN221" s="68"/>
      <c r="AO221" s="68"/>
      <c r="AP221" s="68"/>
      <c r="AQ221" s="68"/>
      <c r="AR221" s="68"/>
      <c r="AS221" s="68"/>
      <c r="AT221" s="68"/>
      <c r="AU221" s="69">
        <f>SUM(RD[[#This Row],[IS2Inv1M1]:[IS4Inv1M3]])</f>
        <v>0</v>
      </c>
      <c r="AV221" s="69">
        <f>SUM(RD[[#This Row],[IS5Inv1M1]:[IS5Inv2M3]])</f>
        <v>0</v>
      </c>
      <c r="AW221" s="69">
        <f>SUM(RD[[#This Row],[O2RE9]:[O2RE192]])</f>
        <v>0</v>
      </c>
      <c r="AX221" s="152"/>
      <c r="AY221" s="152"/>
      <c r="AZ221" s="152"/>
      <c r="BA221" s="152"/>
      <c r="BB221" s="152"/>
      <c r="BC221" s="152"/>
      <c r="BD221" s="153" t="str">
        <f>IF((RD[[#This Row],[33 kV_F1_Ex (O2RE9)]]-AX220)*225000&lt;=0,"",(RD[[#This Row],[33 kV_F1_Ex (O2RE9)]]-AX220)*225000)</f>
        <v/>
      </c>
      <c r="BE221" s="153">
        <f>IF((RD[[#This Row],[33kV_OG1_Ex (O2RE9)]]-AY220)*1000&lt;=0,0,(RD[[#This Row],[33kV_OG1_Ex (O2RE9)]]-AY220)*1000)</f>
        <v>0</v>
      </c>
      <c r="BF221" s="153"/>
      <c r="BG221" s="153" t="str">
        <f>IF((RD[[#This Row],[33 kV_F2_Ex (O2RE19)]]-BA220)*150000&lt;=0,"",(RD[[#This Row],[33 kV_F2_Ex (O2RE19)]]-BA220)*150000)</f>
        <v/>
      </c>
      <c r="BH221" s="153">
        <f>IF((RD[[#This Row],[33kV_OG2_Ex (O2RE19)]]-BB220)*1000&lt;=0,0,(RD[[#This Row],[33kV_OG2_Ex (O2RE19)]]-BB220)*1000)</f>
        <v>0</v>
      </c>
      <c r="BI221" s="153">
        <f>IF((RD[[#This Row],[33kV_Aux2_Im (O2RE19)]]-BC220)*1000&lt;0,"",(RD[[#This Row],[33kV_Aux2_Im (O2RE19)]]-BC220)*1000)</f>
        <v>0</v>
      </c>
      <c r="BJ221" s="153">
        <f>IF((RD[[#This Row],[33kV_Aux1_Im (O2RE9)]]-AZ220)*1000&lt;0,"",(RD[[#This Row],[33kV_Aux1_Im (O2RE9)]]-AZ220)*1000)</f>
        <v>0</v>
      </c>
      <c r="BK221" s="153">
        <f>SUM(RD[[#This Row],[33kV_OG1_O2RE9_Energy (KWh)]],RD[[#This Row],[33kV_OG2_O2RE19_Energy (KWh)]])</f>
        <v>0</v>
      </c>
      <c r="BL221" s="62" t="str">
        <f>IFERROR(RD[[#This Row],[33 kV Total Export (KWH)]]/RD[[#This Row],[Inv Total Gneration (MWh)]]-1,"")</f>
        <v/>
      </c>
      <c r="BM221" s="63">
        <f>IFERROR((RD[[#This Row],[Sunset Time (POA&lt;20 W/m2)]]-RD[[#This Row],[Sunrise Time (POA&gt;20 W/m2)]])*24,0)</f>
        <v>0</v>
      </c>
      <c r="BN221" s="64">
        <f>SUM(RD[[#This Row],[33kV_OG1_O2RE9_Energy (KWh)]],RD[[#This Row],[33kV_OG2_O2RE19_Energy (KWh)]])</f>
        <v>0</v>
      </c>
      <c r="BO221" s="64">
        <f>IFERROR(RD[[#This Row],[ Export (33 kV)]]*(1-RD[[#This Row],[33 kV Line Loss (%)]]),RD[[#This Row],[ Export (33 kV)]])</f>
        <v>0</v>
      </c>
      <c r="BP221" s="189"/>
      <c r="BQ221" s="189"/>
      <c r="BR221" s="189"/>
      <c r="BS221" t="str">
        <f>IFERROR(RD[[#This Row],[E_AC (WPR)]]/RD[[#This Row],[E_DC (WPR)]],"")</f>
        <v/>
      </c>
    </row>
    <row r="222" spans="1:71">
      <c r="A222" s="147">
        <f t="shared" si="75"/>
        <v>46056</v>
      </c>
      <c r="B222" s="150">
        <f>YEAR(RD[[#This Row],[Date]])+IF(MONTH(RD[[#This Row],[Date]])&gt;=4,1,0)</f>
        <v>2026</v>
      </c>
      <c r="C222" s="150">
        <f>YEAR(RD[[#This Row],[Date]])</f>
        <v>2026</v>
      </c>
      <c r="D222" s="65">
        <f t="shared" si="74"/>
        <v>46054</v>
      </c>
      <c r="E222" s="150">
        <f>DAY(EOMONTH(RD[[#This Row],[Date]],0))</f>
        <v>28</v>
      </c>
      <c r="F222" s="171"/>
      <c r="G222" s="171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68"/>
      <c r="AF222" s="168"/>
      <c r="AG222" s="168"/>
      <c r="AH222" s="168"/>
      <c r="AI222" s="168"/>
      <c r="AJ222" s="168"/>
      <c r="AK222" s="168"/>
      <c r="AL222" s="168"/>
      <c r="AM222" s="71"/>
      <c r="AN222" s="68"/>
      <c r="AO222" s="68"/>
      <c r="AP222" s="68"/>
      <c r="AQ222" s="68"/>
      <c r="AR222" s="68"/>
      <c r="AS222" s="68"/>
      <c r="AT222" s="68"/>
      <c r="AU222" s="69">
        <f>SUM(RD[[#This Row],[IS2Inv1M1]:[IS4Inv1M3]])</f>
        <v>0</v>
      </c>
      <c r="AV222" s="69">
        <f>SUM(RD[[#This Row],[IS5Inv1M1]:[IS5Inv2M3]])</f>
        <v>0</v>
      </c>
      <c r="AW222" s="69">
        <f>SUM(RD[[#This Row],[O2RE9]:[O2RE192]])</f>
        <v>0</v>
      </c>
      <c r="AX222" s="152"/>
      <c r="AY222" s="152"/>
      <c r="AZ222" s="152"/>
      <c r="BA222" s="152"/>
      <c r="BB222" s="152"/>
      <c r="BC222" s="152"/>
      <c r="BD222" s="153" t="str">
        <f>IF((RD[[#This Row],[33 kV_F1_Ex (O2RE9)]]-AX221)*225000&lt;=0,"",(RD[[#This Row],[33 kV_F1_Ex (O2RE9)]]-AX221)*225000)</f>
        <v/>
      </c>
      <c r="BE222" s="153">
        <f>IF((RD[[#This Row],[33kV_OG1_Ex (O2RE9)]]-AY221)*1000&lt;=0,0,(RD[[#This Row],[33kV_OG1_Ex (O2RE9)]]-AY221)*1000)</f>
        <v>0</v>
      </c>
      <c r="BF222" s="153"/>
      <c r="BG222" s="153" t="str">
        <f>IF((RD[[#This Row],[33 kV_F2_Ex (O2RE19)]]-BA221)*150000&lt;=0,"",(RD[[#This Row],[33 kV_F2_Ex (O2RE19)]]-BA221)*150000)</f>
        <v/>
      </c>
      <c r="BH222" s="153">
        <f>IF((RD[[#This Row],[33kV_OG2_Ex (O2RE19)]]-BB221)*1000&lt;=0,0,(RD[[#This Row],[33kV_OG2_Ex (O2RE19)]]-BB221)*1000)</f>
        <v>0</v>
      </c>
      <c r="BI222" s="153">
        <f>IF((RD[[#This Row],[33kV_Aux2_Im (O2RE19)]]-BC221)*1000&lt;0,"",(RD[[#This Row],[33kV_Aux2_Im (O2RE19)]]-BC221)*1000)</f>
        <v>0</v>
      </c>
      <c r="BJ222" s="153">
        <f>IF((RD[[#This Row],[33kV_Aux1_Im (O2RE9)]]-AZ221)*1000&lt;0,"",(RD[[#This Row],[33kV_Aux1_Im (O2RE9)]]-AZ221)*1000)</f>
        <v>0</v>
      </c>
      <c r="BK222" s="153">
        <f>SUM(RD[[#This Row],[33kV_OG1_O2RE9_Energy (KWh)]],RD[[#This Row],[33kV_OG2_O2RE19_Energy (KWh)]])</f>
        <v>0</v>
      </c>
      <c r="BL222" s="62" t="str">
        <f>IFERROR(RD[[#This Row],[33 kV Total Export (KWH)]]/RD[[#This Row],[Inv Total Gneration (MWh)]]-1,"")</f>
        <v/>
      </c>
      <c r="BM222" s="63">
        <f>IFERROR((RD[[#This Row],[Sunset Time (POA&lt;20 W/m2)]]-RD[[#This Row],[Sunrise Time (POA&gt;20 W/m2)]])*24,0)</f>
        <v>0</v>
      </c>
      <c r="BN222" s="64">
        <f>SUM(RD[[#This Row],[33kV_OG1_O2RE9_Energy (KWh)]],RD[[#This Row],[33kV_OG2_O2RE19_Energy (KWh)]])</f>
        <v>0</v>
      </c>
      <c r="BO222" s="64">
        <f>IFERROR(RD[[#This Row],[ Export (33 kV)]]*(1-RD[[#This Row],[33 kV Line Loss (%)]]),RD[[#This Row],[ Export (33 kV)]])</f>
        <v>0</v>
      </c>
      <c r="BP222" s="189"/>
      <c r="BQ222" s="189"/>
      <c r="BR222" s="189"/>
      <c r="BS222" t="str">
        <f>IFERROR(RD[[#This Row],[E_AC (WPR)]]/RD[[#This Row],[E_DC (WPR)]],"")</f>
        <v/>
      </c>
    </row>
    <row r="223" spans="1:71">
      <c r="A223" s="147">
        <f t="shared" si="75"/>
        <v>46057</v>
      </c>
      <c r="B223" s="150">
        <f>YEAR(RD[[#This Row],[Date]])+IF(MONTH(RD[[#This Row],[Date]])&gt;=4,1,0)</f>
        <v>2026</v>
      </c>
      <c r="C223" s="150">
        <f>YEAR(RD[[#This Row],[Date]])</f>
        <v>2026</v>
      </c>
      <c r="D223" s="65">
        <f t="shared" si="74"/>
        <v>46054</v>
      </c>
      <c r="E223" s="150">
        <f>DAY(EOMONTH(RD[[#This Row],[Date]],0))</f>
        <v>28</v>
      </c>
      <c r="F223" s="171"/>
      <c r="G223" s="171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68"/>
      <c r="AF223" s="168"/>
      <c r="AG223" s="168"/>
      <c r="AH223" s="168"/>
      <c r="AI223" s="168"/>
      <c r="AJ223" s="168"/>
      <c r="AK223" s="168"/>
      <c r="AL223" s="168"/>
      <c r="AM223" s="71"/>
      <c r="AN223" s="68"/>
      <c r="AO223" s="68"/>
      <c r="AP223" s="68"/>
      <c r="AQ223" s="68"/>
      <c r="AR223" s="68"/>
      <c r="AS223" s="68"/>
      <c r="AT223" s="68"/>
      <c r="AU223" s="69">
        <f>SUM(RD[[#This Row],[IS2Inv1M1]:[IS4Inv1M3]])</f>
        <v>0</v>
      </c>
      <c r="AV223" s="69">
        <f>SUM(RD[[#This Row],[IS5Inv1M1]:[IS5Inv2M3]])</f>
        <v>0</v>
      </c>
      <c r="AW223" s="69">
        <f>SUM(RD[[#This Row],[O2RE9]:[O2RE192]])</f>
        <v>0</v>
      </c>
      <c r="AX223" s="152"/>
      <c r="AY223" s="152"/>
      <c r="AZ223" s="152"/>
      <c r="BA223" s="152"/>
      <c r="BB223" s="152"/>
      <c r="BC223" s="152"/>
      <c r="BD223" s="153" t="str">
        <f>IF((RD[[#This Row],[33 kV_F1_Ex (O2RE9)]]-AX222)*225000&lt;=0,"",(RD[[#This Row],[33 kV_F1_Ex (O2RE9)]]-AX222)*225000)</f>
        <v/>
      </c>
      <c r="BE223" s="153">
        <f>IF((RD[[#This Row],[33kV_OG1_Ex (O2RE9)]]-AY222)*1000&lt;=0,0,(RD[[#This Row],[33kV_OG1_Ex (O2RE9)]]-AY222)*1000)</f>
        <v>0</v>
      </c>
      <c r="BF223" s="153"/>
      <c r="BG223" s="153" t="str">
        <f>IF((RD[[#This Row],[33 kV_F2_Ex (O2RE19)]]-BA222)*150000&lt;=0,"",(RD[[#This Row],[33 kV_F2_Ex (O2RE19)]]-BA222)*150000)</f>
        <v/>
      </c>
      <c r="BH223" s="153">
        <f>IF((RD[[#This Row],[33kV_OG2_Ex (O2RE19)]]-BB222)*1000&lt;=0,0,(RD[[#This Row],[33kV_OG2_Ex (O2RE19)]]-BB222)*1000)</f>
        <v>0</v>
      </c>
      <c r="BI223" s="153">
        <f>IF((RD[[#This Row],[33kV_Aux2_Im (O2RE19)]]-BC222)*1000&lt;0,"",(RD[[#This Row],[33kV_Aux2_Im (O2RE19)]]-BC222)*1000)</f>
        <v>0</v>
      </c>
      <c r="BJ223" s="153">
        <f>IF((RD[[#This Row],[33kV_Aux1_Im (O2RE9)]]-AZ222)*1000&lt;0,"",(RD[[#This Row],[33kV_Aux1_Im (O2RE9)]]-AZ222)*1000)</f>
        <v>0</v>
      </c>
      <c r="BK223" s="153">
        <f>SUM(RD[[#This Row],[33kV_OG1_O2RE9_Energy (KWh)]],RD[[#This Row],[33kV_OG2_O2RE19_Energy (KWh)]])</f>
        <v>0</v>
      </c>
      <c r="BL223" s="62" t="str">
        <f>IFERROR(RD[[#This Row],[33 kV Total Export (KWH)]]/RD[[#This Row],[Inv Total Gneration (MWh)]]-1,"")</f>
        <v/>
      </c>
      <c r="BM223" s="63">
        <f>IFERROR((RD[[#This Row],[Sunset Time (POA&lt;20 W/m2)]]-RD[[#This Row],[Sunrise Time (POA&gt;20 W/m2)]])*24,0)</f>
        <v>0</v>
      </c>
      <c r="BN223" s="64">
        <f>SUM(RD[[#This Row],[33kV_OG1_O2RE9_Energy (KWh)]],RD[[#This Row],[33kV_OG2_O2RE19_Energy (KWh)]])</f>
        <v>0</v>
      </c>
      <c r="BO223" s="64">
        <f>IFERROR(RD[[#This Row],[ Export (33 kV)]]*(1-RD[[#This Row],[33 kV Line Loss (%)]]),RD[[#This Row],[ Export (33 kV)]])</f>
        <v>0</v>
      </c>
      <c r="BP223" s="189"/>
      <c r="BQ223" s="189"/>
      <c r="BR223" s="189"/>
      <c r="BS223" t="str">
        <f>IFERROR(RD[[#This Row],[E_AC (WPR)]]/RD[[#This Row],[E_DC (WPR)]],"")</f>
        <v/>
      </c>
    </row>
    <row r="224" spans="1:71">
      <c r="A224" s="147">
        <f t="shared" si="75"/>
        <v>46058</v>
      </c>
      <c r="B224" s="150">
        <f>YEAR(RD[[#This Row],[Date]])+IF(MONTH(RD[[#This Row],[Date]])&gt;=4,1,0)</f>
        <v>2026</v>
      </c>
      <c r="C224" s="150">
        <f>YEAR(RD[[#This Row],[Date]])</f>
        <v>2026</v>
      </c>
      <c r="D224" s="65">
        <f t="shared" si="74"/>
        <v>46054</v>
      </c>
      <c r="E224" s="150">
        <f>DAY(EOMONTH(RD[[#This Row],[Date]],0))</f>
        <v>28</v>
      </c>
      <c r="F224" s="171"/>
      <c r="G224" s="171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68"/>
      <c r="AF224" s="168"/>
      <c r="AG224" s="168"/>
      <c r="AH224" s="168"/>
      <c r="AI224" s="168"/>
      <c r="AJ224" s="168"/>
      <c r="AK224" s="168"/>
      <c r="AL224" s="168"/>
      <c r="AM224" s="71"/>
      <c r="AN224" s="68"/>
      <c r="AO224" s="68"/>
      <c r="AP224" s="68"/>
      <c r="AQ224" s="68"/>
      <c r="AR224" s="68"/>
      <c r="AS224" s="68"/>
      <c r="AT224" s="68"/>
      <c r="AU224" s="69">
        <f>SUM(RD[[#This Row],[IS2Inv1M1]:[IS4Inv1M3]])</f>
        <v>0</v>
      </c>
      <c r="AV224" s="69">
        <f>SUM(RD[[#This Row],[IS5Inv1M1]:[IS5Inv2M3]])</f>
        <v>0</v>
      </c>
      <c r="AW224" s="69">
        <f>SUM(RD[[#This Row],[O2RE9]:[O2RE192]])</f>
        <v>0</v>
      </c>
      <c r="AX224" s="152"/>
      <c r="AY224" s="152"/>
      <c r="AZ224" s="152"/>
      <c r="BA224" s="152"/>
      <c r="BB224" s="152"/>
      <c r="BC224" s="152"/>
      <c r="BD224" s="153" t="str">
        <f>IF((RD[[#This Row],[33 kV_F1_Ex (O2RE9)]]-AX223)*225000&lt;=0,"",(RD[[#This Row],[33 kV_F1_Ex (O2RE9)]]-AX223)*225000)</f>
        <v/>
      </c>
      <c r="BE224" s="153">
        <f>IF((RD[[#This Row],[33kV_OG1_Ex (O2RE9)]]-AY223)*1000&lt;=0,0,(RD[[#This Row],[33kV_OG1_Ex (O2RE9)]]-AY223)*1000)</f>
        <v>0</v>
      </c>
      <c r="BF224" s="153"/>
      <c r="BG224" s="153" t="str">
        <f>IF((RD[[#This Row],[33 kV_F2_Ex (O2RE19)]]-BA223)*150000&lt;=0,"",(RD[[#This Row],[33 kV_F2_Ex (O2RE19)]]-BA223)*150000)</f>
        <v/>
      </c>
      <c r="BH224" s="153">
        <f>IF((RD[[#This Row],[33kV_OG2_Ex (O2RE19)]]-BB223)*1000&lt;=0,0,(RD[[#This Row],[33kV_OG2_Ex (O2RE19)]]-BB223)*1000)</f>
        <v>0</v>
      </c>
      <c r="BI224" s="153">
        <f>IF((RD[[#This Row],[33kV_Aux2_Im (O2RE19)]]-BC223)*1000&lt;0,"",(RD[[#This Row],[33kV_Aux2_Im (O2RE19)]]-BC223)*1000)</f>
        <v>0</v>
      </c>
      <c r="BJ224" s="153">
        <f>IF((RD[[#This Row],[33kV_Aux1_Im (O2RE9)]]-AZ223)*1000&lt;0,"",(RD[[#This Row],[33kV_Aux1_Im (O2RE9)]]-AZ223)*1000)</f>
        <v>0</v>
      </c>
      <c r="BK224" s="153">
        <f>SUM(RD[[#This Row],[33kV_OG1_O2RE9_Energy (KWh)]],RD[[#This Row],[33kV_OG2_O2RE19_Energy (KWh)]])</f>
        <v>0</v>
      </c>
      <c r="BL224" s="62" t="str">
        <f>IFERROR(RD[[#This Row],[33 kV Total Export (KWH)]]/RD[[#This Row],[Inv Total Gneration (MWh)]]-1,"")</f>
        <v/>
      </c>
      <c r="BM224" s="63">
        <f>IFERROR((RD[[#This Row],[Sunset Time (POA&lt;20 W/m2)]]-RD[[#This Row],[Sunrise Time (POA&gt;20 W/m2)]])*24,0)</f>
        <v>0</v>
      </c>
      <c r="BN224" s="64">
        <f>SUM(RD[[#This Row],[33kV_OG1_O2RE9_Energy (KWh)]],RD[[#This Row],[33kV_OG2_O2RE19_Energy (KWh)]])</f>
        <v>0</v>
      </c>
      <c r="BO224" s="64">
        <f>IFERROR(RD[[#This Row],[ Export (33 kV)]]*(1-RD[[#This Row],[33 kV Line Loss (%)]]),RD[[#This Row],[ Export (33 kV)]])</f>
        <v>0</v>
      </c>
      <c r="BP224" s="189"/>
      <c r="BQ224" s="189"/>
      <c r="BR224" s="189"/>
      <c r="BS224" t="str">
        <f>IFERROR(RD[[#This Row],[E_AC (WPR)]]/RD[[#This Row],[E_DC (WPR)]],"")</f>
        <v/>
      </c>
    </row>
    <row r="225" spans="1:71">
      <c r="A225" s="147">
        <f t="shared" si="75"/>
        <v>46059</v>
      </c>
      <c r="B225" s="150">
        <f>YEAR(RD[[#This Row],[Date]])+IF(MONTH(RD[[#This Row],[Date]])&gt;=4,1,0)</f>
        <v>2026</v>
      </c>
      <c r="C225" s="150">
        <f>YEAR(RD[[#This Row],[Date]])</f>
        <v>2026</v>
      </c>
      <c r="D225" s="65">
        <f t="shared" si="74"/>
        <v>46054</v>
      </c>
      <c r="E225" s="150">
        <f>DAY(EOMONTH(RD[[#This Row],[Date]],0))</f>
        <v>28</v>
      </c>
      <c r="F225" s="171"/>
      <c r="G225" s="171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68"/>
      <c r="AF225" s="168"/>
      <c r="AG225" s="168"/>
      <c r="AH225" s="168"/>
      <c r="AI225" s="168"/>
      <c r="AJ225" s="168"/>
      <c r="AK225" s="168"/>
      <c r="AL225" s="168"/>
      <c r="AM225" s="71"/>
      <c r="AN225" s="68"/>
      <c r="AO225" s="68"/>
      <c r="AP225" s="68"/>
      <c r="AQ225" s="68"/>
      <c r="AR225" s="68"/>
      <c r="AS225" s="68"/>
      <c r="AT225" s="68"/>
      <c r="AU225" s="69">
        <f>SUM(RD[[#This Row],[IS2Inv1M1]:[IS4Inv1M3]])</f>
        <v>0</v>
      </c>
      <c r="AV225" s="69">
        <f>SUM(RD[[#This Row],[IS5Inv1M1]:[IS5Inv2M3]])</f>
        <v>0</v>
      </c>
      <c r="AW225" s="69">
        <f>SUM(RD[[#This Row],[O2RE9]:[O2RE192]])</f>
        <v>0</v>
      </c>
      <c r="AX225" s="152"/>
      <c r="AY225" s="152"/>
      <c r="AZ225" s="152"/>
      <c r="BA225" s="152"/>
      <c r="BB225" s="152"/>
      <c r="BC225" s="152"/>
      <c r="BD225" s="153" t="str">
        <f>IF((RD[[#This Row],[33 kV_F1_Ex (O2RE9)]]-AX224)*225000&lt;=0,"",(RD[[#This Row],[33 kV_F1_Ex (O2RE9)]]-AX224)*225000)</f>
        <v/>
      </c>
      <c r="BE225" s="153">
        <f>IF((RD[[#This Row],[33kV_OG1_Ex (O2RE9)]]-AY224)*1000&lt;=0,0,(RD[[#This Row],[33kV_OG1_Ex (O2RE9)]]-AY224)*1000)</f>
        <v>0</v>
      </c>
      <c r="BF225" s="153"/>
      <c r="BG225" s="153" t="str">
        <f>IF((RD[[#This Row],[33 kV_F2_Ex (O2RE19)]]-BA224)*150000&lt;=0,"",(RD[[#This Row],[33 kV_F2_Ex (O2RE19)]]-BA224)*150000)</f>
        <v/>
      </c>
      <c r="BH225" s="153">
        <f>IF((RD[[#This Row],[33kV_OG2_Ex (O2RE19)]]-BB224)*1000&lt;=0,0,(RD[[#This Row],[33kV_OG2_Ex (O2RE19)]]-BB224)*1000)</f>
        <v>0</v>
      </c>
      <c r="BI225" s="153">
        <f>IF((RD[[#This Row],[33kV_Aux2_Im (O2RE19)]]-BC224)*1000&lt;0,"",(RD[[#This Row],[33kV_Aux2_Im (O2RE19)]]-BC224)*1000)</f>
        <v>0</v>
      </c>
      <c r="BJ225" s="153">
        <f>IF((RD[[#This Row],[33kV_Aux1_Im (O2RE9)]]-AZ224)*1000&lt;0,"",(RD[[#This Row],[33kV_Aux1_Im (O2RE9)]]-AZ224)*1000)</f>
        <v>0</v>
      </c>
      <c r="BK225" s="153">
        <f>SUM(RD[[#This Row],[33kV_OG1_O2RE9_Energy (KWh)]],RD[[#This Row],[33kV_OG2_O2RE19_Energy (KWh)]])</f>
        <v>0</v>
      </c>
      <c r="BL225" s="62" t="str">
        <f>IFERROR(RD[[#This Row],[33 kV Total Export (KWH)]]/RD[[#This Row],[Inv Total Gneration (MWh)]]-1,"")</f>
        <v/>
      </c>
      <c r="BM225" s="63">
        <f>IFERROR((RD[[#This Row],[Sunset Time (POA&lt;20 W/m2)]]-RD[[#This Row],[Sunrise Time (POA&gt;20 W/m2)]])*24,0)</f>
        <v>0</v>
      </c>
      <c r="BN225" s="64">
        <f>SUM(RD[[#This Row],[33kV_OG1_O2RE9_Energy (KWh)]],RD[[#This Row],[33kV_OG2_O2RE19_Energy (KWh)]])</f>
        <v>0</v>
      </c>
      <c r="BO225" s="64">
        <f>IFERROR(RD[[#This Row],[ Export (33 kV)]]*(1-RD[[#This Row],[33 kV Line Loss (%)]]),RD[[#This Row],[ Export (33 kV)]])</f>
        <v>0</v>
      </c>
      <c r="BP225" s="189"/>
      <c r="BQ225" s="189"/>
      <c r="BR225" s="189"/>
      <c r="BS225" t="str">
        <f>IFERROR(RD[[#This Row],[E_AC (WPR)]]/RD[[#This Row],[E_DC (WPR)]],"")</f>
        <v/>
      </c>
    </row>
    <row r="226" spans="1:71">
      <c r="A226" s="147">
        <f t="shared" si="75"/>
        <v>46060</v>
      </c>
      <c r="B226" s="150">
        <f>YEAR(RD[[#This Row],[Date]])+IF(MONTH(RD[[#This Row],[Date]])&gt;=4,1,0)</f>
        <v>2026</v>
      </c>
      <c r="C226" s="150">
        <f>YEAR(RD[[#This Row],[Date]])</f>
        <v>2026</v>
      </c>
      <c r="D226" s="65">
        <f t="shared" si="74"/>
        <v>46054</v>
      </c>
      <c r="E226" s="150">
        <f>DAY(EOMONTH(RD[[#This Row],[Date]],0))</f>
        <v>28</v>
      </c>
      <c r="F226" s="171"/>
      <c r="G226" s="171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68"/>
      <c r="AF226" s="168"/>
      <c r="AG226" s="168"/>
      <c r="AH226" s="168"/>
      <c r="AI226" s="168"/>
      <c r="AJ226" s="168"/>
      <c r="AK226" s="168"/>
      <c r="AL226" s="168"/>
      <c r="AM226" s="71"/>
      <c r="AN226" s="68"/>
      <c r="AO226" s="68"/>
      <c r="AP226" s="68"/>
      <c r="AQ226" s="68"/>
      <c r="AR226" s="68"/>
      <c r="AS226" s="68"/>
      <c r="AT226" s="68"/>
      <c r="AU226" s="69">
        <f>SUM(RD[[#This Row],[IS2Inv1M1]:[IS4Inv1M3]])</f>
        <v>0</v>
      </c>
      <c r="AV226" s="69">
        <f>SUM(RD[[#This Row],[IS5Inv1M1]:[IS5Inv2M3]])</f>
        <v>0</v>
      </c>
      <c r="AW226" s="69">
        <f>SUM(RD[[#This Row],[O2RE9]:[O2RE192]])</f>
        <v>0</v>
      </c>
      <c r="AX226" s="152"/>
      <c r="AY226" s="152"/>
      <c r="AZ226" s="152"/>
      <c r="BA226" s="152"/>
      <c r="BB226" s="152"/>
      <c r="BC226" s="152"/>
      <c r="BD226" s="153" t="str">
        <f>IF((RD[[#This Row],[33 kV_F1_Ex (O2RE9)]]-AX225)*225000&lt;=0,"",(RD[[#This Row],[33 kV_F1_Ex (O2RE9)]]-AX225)*225000)</f>
        <v/>
      </c>
      <c r="BE226" s="153">
        <f>IF((RD[[#This Row],[33kV_OG1_Ex (O2RE9)]]-AY225)*1000&lt;=0,0,(RD[[#This Row],[33kV_OG1_Ex (O2RE9)]]-AY225)*1000)</f>
        <v>0</v>
      </c>
      <c r="BF226" s="153"/>
      <c r="BG226" s="153" t="str">
        <f>IF((RD[[#This Row],[33 kV_F2_Ex (O2RE19)]]-BA225)*150000&lt;=0,"",(RD[[#This Row],[33 kV_F2_Ex (O2RE19)]]-BA225)*150000)</f>
        <v/>
      </c>
      <c r="BH226" s="153">
        <f>IF((RD[[#This Row],[33kV_OG2_Ex (O2RE19)]]-BB225)*1000&lt;=0,0,(RD[[#This Row],[33kV_OG2_Ex (O2RE19)]]-BB225)*1000)</f>
        <v>0</v>
      </c>
      <c r="BI226" s="153">
        <f>IF((RD[[#This Row],[33kV_Aux2_Im (O2RE19)]]-BC225)*1000&lt;0,"",(RD[[#This Row],[33kV_Aux2_Im (O2RE19)]]-BC225)*1000)</f>
        <v>0</v>
      </c>
      <c r="BJ226" s="153">
        <f>IF((RD[[#This Row],[33kV_Aux1_Im (O2RE9)]]-AZ225)*1000&lt;0,"",(RD[[#This Row],[33kV_Aux1_Im (O2RE9)]]-AZ225)*1000)</f>
        <v>0</v>
      </c>
      <c r="BK226" s="153">
        <f>SUM(RD[[#This Row],[33kV_OG1_O2RE9_Energy (KWh)]],RD[[#This Row],[33kV_OG2_O2RE19_Energy (KWh)]])</f>
        <v>0</v>
      </c>
      <c r="BL226" s="62" t="str">
        <f>IFERROR(RD[[#This Row],[33 kV Total Export (KWH)]]/RD[[#This Row],[Inv Total Gneration (MWh)]]-1,"")</f>
        <v/>
      </c>
      <c r="BM226" s="63">
        <f>IFERROR((RD[[#This Row],[Sunset Time (POA&lt;20 W/m2)]]-RD[[#This Row],[Sunrise Time (POA&gt;20 W/m2)]])*24,0)</f>
        <v>0</v>
      </c>
      <c r="BN226" s="64">
        <f>SUM(RD[[#This Row],[33kV_OG1_O2RE9_Energy (KWh)]],RD[[#This Row],[33kV_OG2_O2RE19_Energy (KWh)]])</f>
        <v>0</v>
      </c>
      <c r="BO226" s="64">
        <f>IFERROR(RD[[#This Row],[ Export (33 kV)]]*(1-RD[[#This Row],[33 kV Line Loss (%)]]),RD[[#This Row],[ Export (33 kV)]])</f>
        <v>0</v>
      </c>
      <c r="BP226" s="189"/>
      <c r="BQ226" s="189"/>
      <c r="BR226" s="189"/>
      <c r="BS226" t="str">
        <f>IFERROR(RD[[#This Row],[E_AC (WPR)]]/RD[[#This Row],[E_DC (WPR)]],"")</f>
        <v/>
      </c>
    </row>
    <row r="227" spans="1:71">
      <c r="A227" s="147">
        <f t="shared" si="75"/>
        <v>46061</v>
      </c>
      <c r="B227" s="150">
        <f>YEAR(RD[[#This Row],[Date]])+IF(MONTH(RD[[#This Row],[Date]])&gt;=4,1,0)</f>
        <v>2026</v>
      </c>
      <c r="C227" s="150">
        <f>YEAR(RD[[#This Row],[Date]])</f>
        <v>2026</v>
      </c>
      <c r="D227" s="65">
        <f t="shared" si="74"/>
        <v>46054</v>
      </c>
      <c r="E227" s="150">
        <f>DAY(EOMONTH(RD[[#This Row],[Date]],0))</f>
        <v>28</v>
      </c>
      <c r="F227" s="171"/>
      <c r="G227" s="171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68"/>
      <c r="AF227" s="168"/>
      <c r="AG227" s="168"/>
      <c r="AH227" s="168"/>
      <c r="AI227" s="168"/>
      <c r="AJ227" s="168"/>
      <c r="AK227" s="168"/>
      <c r="AL227" s="168"/>
      <c r="AM227" s="71"/>
      <c r="AN227" s="68"/>
      <c r="AO227" s="68"/>
      <c r="AP227" s="68"/>
      <c r="AQ227" s="68"/>
      <c r="AR227" s="68"/>
      <c r="AS227" s="68"/>
      <c r="AT227" s="68"/>
      <c r="AU227" s="69">
        <f>SUM(RD[[#This Row],[IS2Inv1M1]:[IS4Inv1M3]])</f>
        <v>0</v>
      </c>
      <c r="AV227" s="69">
        <f>SUM(RD[[#This Row],[IS5Inv1M1]:[IS5Inv2M3]])</f>
        <v>0</v>
      </c>
      <c r="AW227" s="69">
        <f>SUM(RD[[#This Row],[O2RE9]:[O2RE192]])</f>
        <v>0</v>
      </c>
      <c r="AX227" s="152"/>
      <c r="AY227" s="152"/>
      <c r="AZ227" s="152"/>
      <c r="BA227" s="152"/>
      <c r="BB227" s="152"/>
      <c r="BC227" s="152"/>
      <c r="BD227" s="153" t="str">
        <f>IF((RD[[#This Row],[33 kV_F1_Ex (O2RE9)]]-AX226)*225000&lt;=0,"",(RD[[#This Row],[33 kV_F1_Ex (O2RE9)]]-AX226)*225000)</f>
        <v/>
      </c>
      <c r="BE227" s="153">
        <f>IF((RD[[#This Row],[33kV_OG1_Ex (O2RE9)]]-AY226)*1000&lt;=0,0,(RD[[#This Row],[33kV_OG1_Ex (O2RE9)]]-AY226)*1000)</f>
        <v>0</v>
      </c>
      <c r="BF227" s="153"/>
      <c r="BG227" s="153" t="str">
        <f>IF((RD[[#This Row],[33 kV_F2_Ex (O2RE19)]]-BA226)*150000&lt;=0,"",(RD[[#This Row],[33 kV_F2_Ex (O2RE19)]]-BA226)*150000)</f>
        <v/>
      </c>
      <c r="BH227" s="153">
        <f>IF((RD[[#This Row],[33kV_OG2_Ex (O2RE19)]]-BB226)*1000&lt;=0,0,(RD[[#This Row],[33kV_OG2_Ex (O2RE19)]]-BB226)*1000)</f>
        <v>0</v>
      </c>
      <c r="BI227" s="153">
        <f>IF((RD[[#This Row],[33kV_Aux2_Im (O2RE19)]]-BC226)*1000&lt;0,"",(RD[[#This Row],[33kV_Aux2_Im (O2RE19)]]-BC226)*1000)</f>
        <v>0</v>
      </c>
      <c r="BJ227" s="153">
        <f>IF((RD[[#This Row],[33kV_Aux1_Im (O2RE9)]]-AZ226)*1000&lt;0,"",(RD[[#This Row],[33kV_Aux1_Im (O2RE9)]]-AZ226)*1000)</f>
        <v>0</v>
      </c>
      <c r="BK227" s="153">
        <f>SUM(RD[[#This Row],[33kV_OG1_O2RE9_Energy (KWh)]],RD[[#This Row],[33kV_OG2_O2RE19_Energy (KWh)]])</f>
        <v>0</v>
      </c>
      <c r="BL227" s="62" t="str">
        <f>IFERROR(RD[[#This Row],[33 kV Total Export (KWH)]]/RD[[#This Row],[Inv Total Gneration (MWh)]]-1,"")</f>
        <v/>
      </c>
      <c r="BM227" s="63">
        <f>IFERROR((RD[[#This Row],[Sunset Time (POA&lt;20 W/m2)]]-RD[[#This Row],[Sunrise Time (POA&gt;20 W/m2)]])*24,0)</f>
        <v>0</v>
      </c>
      <c r="BN227" s="64">
        <f>SUM(RD[[#This Row],[33kV_OG1_O2RE9_Energy (KWh)]],RD[[#This Row],[33kV_OG2_O2RE19_Energy (KWh)]])</f>
        <v>0</v>
      </c>
      <c r="BO227" s="64">
        <f>IFERROR(RD[[#This Row],[ Export (33 kV)]]*(1-RD[[#This Row],[33 kV Line Loss (%)]]),RD[[#This Row],[ Export (33 kV)]])</f>
        <v>0</v>
      </c>
      <c r="BP227" s="189"/>
      <c r="BQ227" s="189"/>
      <c r="BR227" s="189"/>
      <c r="BS227" t="str">
        <f>IFERROR(RD[[#This Row],[E_AC (WPR)]]/RD[[#This Row],[E_DC (WPR)]],"")</f>
        <v/>
      </c>
    </row>
    <row r="228" spans="1:71">
      <c r="A228" s="147">
        <f t="shared" si="75"/>
        <v>46062</v>
      </c>
      <c r="B228" s="150">
        <f>YEAR(RD[[#This Row],[Date]])+IF(MONTH(RD[[#This Row],[Date]])&gt;=4,1,0)</f>
        <v>2026</v>
      </c>
      <c r="C228" s="150">
        <f>YEAR(RD[[#This Row],[Date]])</f>
        <v>2026</v>
      </c>
      <c r="D228" s="65">
        <f t="shared" si="74"/>
        <v>46054</v>
      </c>
      <c r="E228" s="150">
        <f>DAY(EOMONTH(RD[[#This Row],[Date]],0))</f>
        <v>28</v>
      </c>
      <c r="F228" s="171"/>
      <c r="G228" s="171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68"/>
      <c r="AF228" s="168"/>
      <c r="AG228" s="168"/>
      <c r="AH228" s="168"/>
      <c r="AI228" s="168"/>
      <c r="AJ228" s="168"/>
      <c r="AK228" s="168"/>
      <c r="AL228" s="168"/>
      <c r="AM228" s="68"/>
      <c r="AN228" s="68"/>
      <c r="AO228" s="68"/>
      <c r="AP228" s="68"/>
      <c r="AQ228" s="68"/>
      <c r="AR228" s="68"/>
      <c r="AS228" s="68"/>
      <c r="AT228" s="68"/>
      <c r="AU228" s="69">
        <f>SUM(RD[[#This Row],[IS2Inv1M1]:[IS4Inv1M3]])</f>
        <v>0</v>
      </c>
      <c r="AV228" s="69">
        <f>SUM(RD[[#This Row],[IS5Inv1M1]:[IS5Inv2M3]])</f>
        <v>0</v>
      </c>
      <c r="AW228" s="69">
        <f>SUM(RD[[#This Row],[O2RE9]:[O2RE192]])</f>
        <v>0</v>
      </c>
      <c r="AX228" s="152"/>
      <c r="AY228" s="152"/>
      <c r="AZ228" s="152"/>
      <c r="BA228" s="152"/>
      <c r="BB228" s="152"/>
      <c r="BC228" s="152"/>
      <c r="BD228" s="153" t="str">
        <f>IF((RD[[#This Row],[33 kV_F1_Ex (O2RE9)]]-AX227)*225000&lt;=0,"",(RD[[#This Row],[33 kV_F1_Ex (O2RE9)]]-AX227)*225000)</f>
        <v/>
      </c>
      <c r="BE228" s="153">
        <f>IF((RD[[#This Row],[33kV_OG1_Ex (O2RE9)]]-AY227)*1000&lt;=0,0,(RD[[#This Row],[33kV_OG1_Ex (O2RE9)]]-AY227)*1000)</f>
        <v>0</v>
      </c>
      <c r="BF228" s="153"/>
      <c r="BG228" s="153" t="str">
        <f>IF((RD[[#This Row],[33 kV_F2_Ex (O2RE19)]]-BA227)*150000&lt;=0,"",(RD[[#This Row],[33 kV_F2_Ex (O2RE19)]]-BA227)*150000)</f>
        <v/>
      </c>
      <c r="BH228" s="153">
        <f>IF((RD[[#This Row],[33kV_OG2_Ex (O2RE19)]]-BB227)*1000&lt;=0,0,(RD[[#This Row],[33kV_OG2_Ex (O2RE19)]]-BB227)*1000)</f>
        <v>0</v>
      </c>
      <c r="BI228" s="153">
        <f>IF((RD[[#This Row],[33kV_Aux2_Im (O2RE19)]]-BC227)*1000&lt;0,"",(RD[[#This Row],[33kV_Aux2_Im (O2RE19)]]-BC227)*1000)</f>
        <v>0</v>
      </c>
      <c r="BJ228" s="153">
        <f>IF((RD[[#This Row],[33kV_Aux1_Im (O2RE9)]]-AZ227)*1000&lt;0,"",(RD[[#This Row],[33kV_Aux1_Im (O2RE9)]]-AZ227)*1000)</f>
        <v>0</v>
      </c>
      <c r="BK228" s="153">
        <f>SUM(RD[[#This Row],[33kV_OG1_O2RE9_Energy (KWh)]],RD[[#This Row],[33kV_OG2_O2RE19_Energy (KWh)]])</f>
        <v>0</v>
      </c>
      <c r="BL228" s="62" t="str">
        <f>IFERROR(RD[[#This Row],[33 kV Total Export (KWH)]]/RD[[#This Row],[Inv Total Gneration (MWh)]]-1,"")</f>
        <v/>
      </c>
      <c r="BM228" s="63">
        <f>IFERROR((RD[[#This Row],[Sunset Time (POA&lt;20 W/m2)]]-RD[[#This Row],[Sunrise Time (POA&gt;20 W/m2)]])*24,0)</f>
        <v>0</v>
      </c>
      <c r="BN228" s="64">
        <f>SUM(RD[[#This Row],[33kV_OG1_O2RE9_Energy (KWh)]],RD[[#This Row],[33kV_OG2_O2RE19_Energy (KWh)]])</f>
        <v>0</v>
      </c>
      <c r="BO228" s="64">
        <f>IFERROR(RD[[#This Row],[ Export (33 kV)]]*(1-RD[[#This Row],[33 kV Line Loss (%)]]),RD[[#This Row],[ Export (33 kV)]])</f>
        <v>0</v>
      </c>
      <c r="BP228" s="189"/>
      <c r="BQ228" s="189"/>
      <c r="BR228" s="189"/>
      <c r="BS228" t="str">
        <f>IFERROR(RD[[#This Row],[E_AC (WPR)]]/RD[[#This Row],[E_DC (WPR)]],"")</f>
        <v/>
      </c>
    </row>
    <row r="229" spans="1:71">
      <c r="A229" s="147">
        <f t="shared" si="75"/>
        <v>46063</v>
      </c>
      <c r="B229" s="150">
        <f>YEAR(RD[[#This Row],[Date]])+IF(MONTH(RD[[#This Row],[Date]])&gt;=4,1,0)</f>
        <v>2026</v>
      </c>
      <c r="C229" s="150">
        <f>YEAR(RD[[#This Row],[Date]])</f>
        <v>2026</v>
      </c>
      <c r="D229" s="65">
        <f t="shared" si="74"/>
        <v>46054</v>
      </c>
      <c r="E229" s="150">
        <f>DAY(EOMONTH(RD[[#This Row],[Date]],0))</f>
        <v>28</v>
      </c>
      <c r="F229" s="171"/>
      <c r="G229" s="171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68"/>
      <c r="AF229" s="168"/>
      <c r="AG229" s="168"/>
      <c r="AH229" s="168"/>
      <c r="AI229" s="168"/>
      <c r="AJ229" s="168"/>
      <c r="AK229" s="168"/>
      <c r="AL229" s="168"/>
      <c r="AM229" s="68"/>
      <c r="AN229" s="68"/>
      <c r="AO229" s="68"/>
      <c r="AP229" s="68"/>
      <c r="AQ229" s="68"/>
      <c r="AR229" s="68"/>
      <c r="AS229" s="68"/>
      <c r="AT229" s="68"/>
      <c r="AU229" s="69">
        <f>SUM(RD[[#This Row],[IS2Inv1M1]:[IS4Inv1M3]])</f>
        <v>0</v>
      </c>
      <c r="AV229" s="69">
        <f>SUM(RD[[#This Row],[IS5Inv1M1]:[IS5Inv2M3]])</f>
        <v>0</v>
      </c>
      <c r="AW229" s="69">
        <f>SUM(RD[[#This Row],[O2RE9]:[O2RE192]])</f>
        <v>0</v>
      </c>
      <c r="AX229" s="152"/>
      <c r="AY229" s="152"/>
      <c r="AZ229" s="152"/>
      <c r="BA229" s="152"/>
      <c r="BB229" s="152"/>
      <c r="BC229" s="152"/>
      <c r="BD229" s="153" t="str">
        <f>IF((RD[[#This Row],[33 kV_F1_Ex (O2RE9)]]-AX228)*225000&lt;=0,"",(RD[[#This Row],[33 kV_F1_Ex (O2RE9)]]-AX228)*225000)</f>
        <v/>
      </c>
      <c r="BE229" s="153">
        <f>IF((RD[[#This Row],[33kV_OG1_Ex (O2RE9)]]-AY228)*1000&lt;=0,0,(RD[[#This Row],[33kV_OG1_Ex (O2RE9)]]-AY228)*1000)</f>
        <v>0</v>
      </c>
      <c r="BF229" s="153"/>
      <c r="BG229" s="153" t="str">
        <f>IF((RD[[#This Row],[33 kV_F2_Ex (O2RE19)]]-BA228)*150000&lt;=0,"",(RD[[#This Row],[33 kV_F2_Ex (O2RE19)]]-BA228)*150000)</f>
        <v/>
      </c>
      <c r="BH229" s="153">
        <f>IF((RD[[#This Row],[33kV_OG2_Ex (O2RE19)]]-BB228)*1000&lt;=0,0,(RD[[#This Row],[33kV_OG2_Ex (O2RE19)]]-BB228)*1000)</f>
        <v>0</v>
      </c>
      <c r="BI229" s="153">
        <f>IF((RD[[#This Row],[33kV_Aux2_Im (O2RE19)]]-BC228)*1000&lt;0,"",(RD[[#This Row],[33kV_Aux2_Im (O2RE19)]]-BC228)*1000)</f>
        <v>0</v>
      </c>
      <c r="BJ229" s="153">
        <f>IF((RD[[#This Row],[33kV_Aux1_Im (O2RE9)]]-AZ228)*1000&lt;0,"",(RD[[#This Row],[33kV_Aux1_Im (O2RE9)]]-AZ228)*1000)</f>
        <v>0</v>
      </c>
      <c r="BK229" s="153">
        <f>SUM(RD[[#This Row],[33kV_OG1_O2RE9_Energy (KWh)]],RD[[#This Row],[33kV_OG2_O2RE19_Energy (KWh)]])</f>
        <v>0</v>
      </c>
      <c r="BL229" s="62" t="str">
        <f>IFERROR(RD[[#This Row],[33 kV Total Export (KWH)]]/RD[[#This Row],[Inv Total Gneration (MWh)]]-1,"")</f>
        <v/>
      </c>
      <c r="BM229" s="63">
        <f>IFERROR((RD[[#This Row],[Sunset Time (POA&lt;20 W/m2)]]-RD[[#This Row],[Sunrise Time (POA&gt;20 W/m2)]])*24,0)</f>
        <v>0</v>
      </c>
      <c r="BN229" s="64">
        <f>SUM(RD[[#This Row],[33kV_OG1_O2RE9_Energy (KWh)]],RD[[#This Row],[33kV_OG2_O2RE19_Energy (KWh)]])</f>
        <v>0</v>
      </c>
      <c r="BO229" s="64">
        <f>IFERROR(RD[[#This Row],[ Export (33 kV)]]*(1-RD[[#This Row],[33 kV Line Loss (%)]]),RD[[#This Row],[ Export (33 kV)]])</f>
        <v>0</v>
      </c>
      <c r="BP229" s="189"/>
      <c r="BQ229" s="189"/>
      <c r="BR229" s="189"/>
      <c r="BS229" t="str">
        <f>IFERROR(RD[[#This Row],[E_AC (WPR)]]/RD[[#This Row],[E_DC (WPR)]],"")</f>
        <v/>
      </c>
    </row>
    <row r="230" spans="1:71">
      <c r="A230" s="147">
        <f t="shared" si="75"/>
        <v>46064</v>
      </c>
      <c r="B230" s="150">
        <f>YEAR(RD[[#This Row],[Date]])+IF(MONTH(RD[[#This Row],[Date]])&gt;=4,1,0)</f>
        <v>2026</v>
      </c>
      <c r="C230" s="150">
        <f>YEAR(RD[[#This Row],[Date]])</f>
        <v>2026</v>
      </c>
      <c r="D230" s="65">
        <f t="shared" si="74"/>
        <v>46054</v>
      </c>
      <c r="E230" s="150">
        <f>DAY(EOMONTH(RD[[#This Row],[Date]],0))</f>
        <v>28</v>
      </c>
      <c r="F230" s="171"/>
      <c r="G230" s="171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68"/>
      <c r="AF230" s="168"/>
      <c r="AG230" s="168"/>
      <c r="AH230" s="168"/>
      <c r="AI230" s="168"/>
      <c r="AJ230" s="168"/>
      <c r="AK230" s="168"/>
      <c r="AL230" s="168"/>
      <c r="AM230" s="68"/>
      <c r="AN230" s="68"/>
      <c r="AO230" s="68"/>
      <c r="AP230" s="68"/>
      <c r="AQ230" s="68"/>
      <c r="AR230" s="68"/>
      <c r="AS230" s="68"/>
      <c r="AT230" s="68"/>
      <c r="AU230" s="69">
        <f>SUM(RD[[#This Row],[IS2Inv1M1]:[IS4Inv1M3]])</f>
        <v>0</v>
      </c>
      <c r="AV230" s="69">
        <f>SUM(RD[[#This Row],[IS5Inv1M1]:[IS5Inv2M3]])</f>
        <v>0</v>
      </c>
      <c r="AW230" s="69">
        <f>SUM(RD[[#This Row],[O2RE9]:[O2RE192]])</f>
        <v>0</v>
      </c>
      <c r="AX230" s="152"/>
      <c r="AY230" s="152"/>
      <c r="AZ230" s="152"/>
      <c r="BA230" s="152"/>
      <c r="BB230" s="152"/>
      <c r="BC230" s="152"/>
      <c r="BD230" s="153" t="str">
        <f>IF((RD[[#This Row],[33 kV_F1_Ex (O2RE9)]]-AX229)*225000&lt;=0,"",(RD[[#This Row],[33 kV_F1_Ex (O2RE9)]]-AX229)*225000)</f>
        <v/>
      </c>
      <c r="BE230" s="153">
        <f>IF((RD[[#This Row],[33kV_OG1_Ex (O2RE9)]]-AY229)*1000&lt;=0,0,(RD[[#This Row],[33kV_OG1_Ex (O2RE9)]]-AY229)*1000)</f>
        <v>0</v>
      </c>
      <c r="BF230" s="153"/>
      <c r="BG230" s="153" t="str">
        <f>IF((RD[[#This Row],[33 kV_F2_Ex (O2RE19)]]-BA229)*150000&lt;=0,"",(RD[[#This Row],[33 kV_F2_Ex (O2RE19)]]-BA229)*150000)</f>
        <v/>
      </c>
      <c r="BH230" s="153">
        <f>IF((RD[[#This Row],[33kV_OG2_Ex (O2RE19)]]-BB229)*1000&lt;=0,0,(RD[[#This Row],[33kV_OG2_Ex (O2RE19)]]-BB229)*1000)</f>
        <v>0</v>
      </c>
      <c r="BI230" s="153">
        <f>IF((RD[[#This Row],[33kV_Aux2_Im (O2RE19)]]-BC229)*1000&lt;0,"",(RD[[#This Row],[33kV_Aux2_Im (O2RE19)]]-BC229)*1000)</f>
        <v>0</v>
      </c>
      <c r="BJ230" s="153">
        <f>IF((RD[[#This Row],[33kV_Aux1_Im (O2RE9)]]-AZ229)*1000&lt;0,"",(RD[[#This Row],[33kV_Aux1_Im (O2RE9)]]-AZ229)*1000)</f>
        <v>0</v>
      </c>
      <c r="BK230" s="153">
        <f>SUM(RD[[#This Row],[33kV_OG1_O2RE9_Energy (KWh)]],RD[[#This Row],[33kV_OG2_O2RE19_Energy (KWh)]])</f>
        <v>0</v>
      </c>
      <c r="BL230" s="62" t="str">
        <f>IFERROR(RD[[#This Row],[33 kV Total Export (KWH)]]/RD[[#This Row],[Inv Total Gneration (MWh)]]-1,"")</f>
        <v/>
      </c>
      <c r="BM230" s="63">
        <f>IFERROR((RD[[#This Row],[Sunset Time (POA&lt;20 W/m2)]]-RD[[#This Row],[Sunrise Time (POA&gt;20 W/m2)]])*24,0)</f>
        <v>0</v>
      </c>
      <c r="BN230" s="64">
        <f>SUM(RD[[#This Row],[33kV_OG1_O2RE9_Energy (KWh)]],RD[[#This Row],[33kV_OG2_O2RE19_Energy (KWh)]])</f>
        <v>0</v>
      </c>
      <c r="BO230" s="64">
        <f>IFERROR(RD[[#This Row],[ Export (33 kV)]]*(1-RD[[#This Row],[33 kV Line Loss (%)]]),RD[[#This Row],[ Export (33 kV)]])</f>
        <v>0</v>
      </c>
      <c r="BP230" s="189"/>
      <c r="BQ230" s="189"/>
      <c r="BR230" s="189"/>
      <c r="BS230" t="str">
        <f>IFERROR(RD[[#This Row],[E_AC (WPR)]]/RD[[#This Row],[E_DC (WPR)]],"")</f>
        <v/>
      </c>
    </row>
    <row r="231" spans="1:71">
      <c r="A231" s="147">
        <f t="shared" si="75"/>
        <v>46065</v>
      </c>
      <c r="B231" s="150">
        <f>YEAR(RD[[#This Row],[Date]])+IF(MONTH(RD[[#This Row],[Date]])&gt;=4,1,0)</f>
        <v>2026</v>
      </c>
      <c r="C231" s="150">
        <f>YEAR(RD[[#This Row],[Date]])</f>
        <v>2026</v>
      </c>
      <c r="D231" s="65">
        <f t="shared" si="74"/>
        <v>46054</v>
      </c>
      <c r="E231" s="150">
        <f>DAY(EOMONTH(RD[[#This Row],[Date]],0))</f>
        <v>28</v>
      </c>
      <c r="F231" s="171"/>
      <c r="G231" s="171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68"/>
      <c r="AF231" s="168"/>
      <c r="AG231" s="168"/>
      <c r="AH231" s="168"/>
      <c r="AI231" s="168"/>
      <c r="AJ231" s="168"/>
      <c r="AK231" s="168"/>
      <c r="AL231" s="168"/>
      <c r="AM231" s="68"/>
      <c r="AN231" s="68"/>
      <c r="AO231" s="68"/>
      <c r="AP231" s="68"/>
      <c r="AQ231" s="68"/>
      <c r="AR231" s="68"/>
      <c r="AS231" s="68"/>
      <c r="AT231" s="68"/>
      <c r="AU231" s="69">
        <f>SUM(RD[[#This Row],[IS2Inv1M1]:[IS4Inv1M3]])</f>
        <v>0</v>
      </c>
      <c r="AV231" s="69">
        <f>SUM(RD[[#This Row],[IS5Inv1M1]:[IS5Inv2M3]])</f>
        <v>0</v>
      </c>
      <c r="AW231" s="69">
        <f>SUM(RD[[#This Row],[O2RE9]:[O2RE192]])</f>
        <v>0</v>
      </c>
      <c r="AX231" s="152"/>
      <c r="AY231" s="152"/>
      <c r="AZ231" s="152"/>
      <c r="BA231" s="152"/>
      <c r="BB231" s="152"/>
      <c r="BC231" s="152"/>
      <c r="BD231" s="153" t="str">
        <f>IF((RD[[#This Row],[33 kV_F1_Ex (O2RE9)]]-AX230)*225000&lt;=0,"",(RD[[#This Row],[33 kV_F1_Ex (O2RE9)]]-AX230)*225000)</f>
        <v/>
      </c>
      <c r="BE231" s="153">
        <f>IF((RD[[#This Row],[33kV_OG1_Ex (O2RE9)]]-AY230)*1000&lt;=0,0,(RD[[#This Row],[33kV_OG1_Ex (O2RE9)]]-AY230)*1000)</f>
        <v>0</v>
      </c>
      <c r="BF231" s="153"/>
      <c r="BG231" s="153" t="str">
        <f>IF((RD[[#This Row],[33 kV_F2_Ex (O2RE19)]]-BA230)*150000&lt;=0,"",(RD[[#This Row],[33 kV_F2_Ex (O2RE19)]]-BA230)*150000)</f>
        <v/>
      </c>
      <c r="BH231" s="153">
        <f>IF((RD[[#This Row],[33kV_OG2_Ex (O2RE19)]]-BB230)*1000&lt;=0,0,(RD[[#This Row],[33kV_OG2_Ex (O2RE19)]]-BB230)*1000)</f>
        <v>0</v>
      </c>
      <c r="BI231" s="153">
        <f>IF((RD[[#This Row],[33kV_Aux2_Im (O2RE19)]]-BC230)*1000&lt;0,"",(RD[[#This Row],[33kV_Aux2_Im (O2RE19)]]-BC230)*1000)</f>
        <v>0</v>
      </c>
      <c r="BJ231" s="153">
        <f>IF((RD[[#This Row],[33kV_Aux1_Im (O2RE9)]]-AZ230)*1000&lt;0,"",(RD[[#This Row],[33kV_Aux1_Im (O2RE9)]]-AZ230)*1000)</f>
        <v>0</v>
      </c>
      <c r="BK231" s="153">
        <f>SUM(RD[[#This Row],[33kV_OG1_O2RE9_Energy (KWh)]],RD[[#This Row],[33kV_OG2_O2RE19_Energy (KWh)]])</f>
        <v>0</v>
      </c>
      <c r="BL231" s="62" t="str">
        <f>IFERROR(RD[[#This Row],[33 kV Total Export (KWH)]]/RD[[#This Row],[Inv Total Gneration (MWh)]]-1,"")</f>
        <v/>
      </c>
      <c r="BM231" s="63">
        <f>IFERROR((RD[[#This Row],[Sunset Time (POA&lt;20 W/m2)]]-RD[[#This Row],[Sunrise Time (POA&gt;20 W/m2)]])*24,0)</f>
        <v>0</v>
      </c>
      <c r="BN231" s="64">
        <f>SUM(RD[[#This Row],[33kV_OG1_O2RE9_Energy (KWh)]],RD[[#This Row],[33kV_OG2_O2RE19_Energy (KWh)]])</f>
        <v>0</v>
      </c>
      <c r="BO231" s="64">
        <f>IFERROR(RD[[#This Row],[ Export (33 kV)]]*(1-RD[[#This Row],[33 kV Line Loss (%)]]),RD[[#This Row],[ Export (33 kV)]])</f>
        <v>0</v>
      </c>
      <c r="BP231" s="189"/>
      <c r="BQ231" s="189"/>
      <c r="BR231" s="189"/>
      <c r="BS231" t="str">
        <f>IFERROR(RD[[#This Row],[E_AC (WPR)]]/RD[[#This Row],[E_DC (WPR)]],"")</f>
        <v/>
      </c>
    </row>
    <row r="232" spans="1:71">
      <c r="A232" s="147">
        <f t="shared" si="75"/>
        <v>46066</v>
      </c>
      <c r="B232" s="150">
        <f>YEAR(RD[[#This Row],[Date]])+IF(MONTH(RD[[#This Row],[Date]])&gt;=4,1,0)</f>
        <v>2026</v>
      </c>
      <c r="C232" s="150">
        <f>YEAR(RD[[#This Row],[Date]])</f>
        <v>2026</v>
      </c>
      <c r="D232" s="65">
        <f t="shared" si="74"/>
        <v>46054</v>
      </c>
      <c r="E232" s="150">
        <f>DAY(EOMONTH(RD[[#This Row],[Date]],0))</f>
        <v>28</v>
      </c>
      <c r="F232" s="171"/>
      <c r="G232" s="171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68"/>
      <c r="AF232" s="168"/>
      <c r="AG232" s="168"/>
      <c r="AH232" s="168"/>
      <c r="AI232" s="168"/>
      <c r="AJ232" s="168"/>
      <c r="AK232" s="168"/>
      <c r="AL232" s="168"/>
      <c r="AM232" s="68"/>
      <c r="AN232" s="68"/>
      <c r="AO232" s="68"/>
      <c r="AP232" s="68"/>
      <c r="AQ232" s="68"/>
      <c r="AR232" s="68"/>
      <c r="AS232" s="68"/>
      <c r="AT232" s="68"/>
      <c r="AU232" s="69">
        <f>SUM(RD[[#This Row],[IS2Inv1M1]:[IS4Inv1M3]])</f>
        <v>0</v>
      </c>
      <c r="AV232" s="69">
        <f>SUM(RD[[#This Row],[IS5Inv1M1]:[IS5Inv2M3]])</f>
        <v>0</v>
      </c>
      <c r="AW232" s="69">
        <f>SUM(RD[[#This Row],[O2RE9]:[O2RE192]])</f>
        <v>0</v>
      </c>
      <c r="AX232" s="152"/>
      <c r="AY232" s="152"/>
      <c r="AZ232" s="152"/>
      <c r="BA232" s="152"/>
      <c r="BB232" s="152"/>
      <c r="BC232" s="152"/>
      <c r="BD232" s="153" t="str">
        <f>IF((RD[[#This Row],[33 kV_F1_Ex (O2RE9)]]-AX231)*225000&lt;=0,"",(RD[[#This Row],[33 kV_F1_Ex (O2RE9)]]-AX231)*225000)</f>
        <v/>
      </c>
      <c r="BE232" s="153">
        <f>IF((RD[[#This Row],[33kV_OG1_Ex (O2RE9)]]-AY231)*1000&lt;=0,0,(RD[[#This Row],[33kV_OG1_Ex (O2RE9)]]-AY231)*1000)</f>
        <v>0</v>
      </c>
      <c r="BF232" s="153"/>
      <c r="BG232" s="153" t="str">
        <f>IF((RD[[#This Row],[33 kV_F2_Ex (O2RE19)]]-BA231)*150000&lt;=0,"",(RD[[#This Row],[33 kV_F2_Ex (O2RE19)]]-BA231)*150000)</f>
        <v/>
      </c>
      <c r="BH232" s="153">
        <f>IF((RD[[#This Row],[33kV_OG2_Ex (O2RE19)]]-BB231)*1000&lt;=0,0,(RD[[#This Row],[33kV_OG2_Ex (O2RE19)]]-BB231)*1000)</f>
        <v>0</v>
      </c>
      <c r="BI232" s="153">
        <f>IF((RD[[#This Row],[33kV_Aux2_Im (O2RE19)]]-BC231)*1000&lt;0,"",(RD[[#This Row],[33kV_Aux2_Im (O2RE19)]]-BC231)*1000)</f>
        <v>0</v>
      </c>
      <c r="BJ232" s="153">
        <f>IF((RD[[#This Row],[33kV_Aux1_Im (O2RE9)]]-AZ231)*1000&lt;0,"",(RD[[#This Row],[33kV_Aux1_Im (O2RE9)]]-AZ231)*1000)</f>
        <v>0</v>
      </c>
      <c r="BK232" s="153">
        <f>SUM(RD[[#This Row],[33kV_OG1_O2RE9_Energy (KWh)]],RD[[#This Row],[33kV_OG2_O2RE19_Energy (KWh)]])</f>
        <v>0</v>
      </c>
      <c r="BL232" s="62" t="str">
        <f>IFERROR(RD[[#This Row],[33 kV Total Export (KWH)]]/RD[[#This Row],[Inv Total Gneration (MWh)]]-1,"")</f>
        <v/>
      </c>
      <c r="BM232" s="63">
        <f>IFERROR((RD[[#This Row],[Sunset Time (POA&lt;20 W/m2)]]-RD[[#This Row],[Sunrise Time (POA&gt;20 W/m2)]])*24,0)</f>
        <v>0</v>
      </c>
      <c r="BN232" s="64">
        <f>SUM(RD[[#This Row],[33kV_OG1_O2RE9_Energy (KWh)]],RD[[#This Row],[33kV_OG2_O2RE19_Energy (KWh)]])</f>
        <v>0</v>
      </c>
      <c r="BO232" s="64">
        <f>IFERROR(RD[[#This Row],[ Export (33 kV)]]*(1-RD[[#This Row],[33 kV Line Loss (%)]]),RD[[#This Row],[ Export (33 kV)]])</f>
        <v>0</v>
      </c>
      <c r="BP232" s="189"/>
      <c r="BQ232" s="189"/>
      <c r="BR232" s="189"/>
      <c r="BS232" t="str">
        <f>IFERROR(RD[[#This Row],[E_AC (WPR)]]/RD[[#This Row],[E_DC (WPR)]],"")</f>
        <v/>
      </c>
    </row>
    <row r="233" spans="1:71">
      <c r="A233" s="147">
        <f t="shared" si="75"/>
        <v>46067</v>
      </c>
      <c r="B233" s="150">
        <f>YEAR(RD[[#This Row],[Date]])+IF(MONTH(RD[[#This Row],[Date]])&gt;=4,1,0)</f>
        <v>2026</v>
      </c>
      <c r="C233" s="150">
        <f>YEAR(RD[[#This Row],[Date]])</f>
        <v>2026</v>
      </c>
      <c r="D233" s="65">
        <f t="shared" si="74"/>
        <v>46054</v>
      </c>
      <c r="E233" s="150">
        <f>DAY(EOMONTH(RD[[#This Row],[Date]],0))</f>
        <v>28</v>
      </c>
      <c r="F233" s="171"/>
      <c r="G233" s="171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68"/>
      <c r="AF233" s="168"/>
      <c r="AG233" s="168"/>
      <c r="AH233" s="168"/>
      <c r="AI233" s="168"/>
      <c r="AJ233" s="168"/>
      <c r="AK233" s="168"/>
      <c r="AL233" s="168"/>
      <c r="AM233" s="71"/>
      <c r="AN233" s="71"/>
      <c r="AO233" s="71"/>
      <c r="AP233" s="71"/>
      <c r="AQ233" s="71"/>
      <c r="AR233" s="71"/>
      <c r="AS233" s="71"/>
      <c r="AT233" s="71"/>
      <c r="AU233" s="69">
        <f>SUM(RD[[#This Row],[IS2Inv1M1]:[IS4Inv1M3]])</f>
        <v>0</v>
      </c>
      <c r="AV233" s="69">
        <f>SUM(RD[[#This Row],[IS5Inv1M1]:[IS5Inv2M3]])</f>
        <v>0</v>
      </c>
      <c r="AW233" s="69">
        <f>SUM(RD[[#This Row],[O2RE9]:[O2RE192]])</f>
        <v>0</v>
      </c>
      <c r="AX233" s="152"/>
      <c r="AY233" s="152"/>
      <c r="AZ233" s="152"/>
      <c r="BA233" s="152"/>
      <c r="BB233" s="152"/>
      <c r="BC233" s="152"/>
      <c r="BD233" s="153" t="str">
        <f>IF((RD[[#This Row],[33 kV_F1_Ex (O2RE9)]]-AX232)*225000&lt;=0,"",(RD[[#This Row],[33 kV_F1_Ex (O2RE9)]]-AX232)*225000)</f>
        <v/>
      </c>
      <c r="BE233" s="153">
        <f>IF((RD[[#This Row],[33kV_OG1_Ex (O2RE9)]]-AY232)*1000&lt;=0,0,(RD[[#This Row],[33kV_OG1_Ex (O2RE9)]]-AY232)*1000)</f>
        <v>0</v>
      </c>
      <c r="BF233" s="153"/>
      <c r="BG233" s="153" t="str">
        <f>IF((RD[[#This Row],[33 kV_F2_Ex (O2RE19)]]-BA232)*150000&lt;=0,"",(RD[[#This Row],[33 kV_F2_Ex (O2RE19)]]-BA232)*150000)</f>
        <v/>
      </c>
      <c r="BH233" s="153">
        <f>IF((RD[[#This Row],[33kV_OG2_Ex (O2RE19)]]-BB232)*1000&lt;=0,0,(RD[[#This Row],[33kV_OG2_Ex (O2RE19)]]-BB232)*1000)</f>
        <v>0</v>
      </c>
      <c r="BI233" s="153">
        <f>IF((RD[[#This Row],[33kV_Aux2_Im (O2RE19)]]-BC232)*1000&lt;0,"",(RD[[#This Row],[33kV_Aux2_Im (O2RE19)]]-BC232)*1000)</f>
        <v>0</v>
      </c>
      <c r="BJ233" s="153">
        <f>IF((RD[[#This Row],[33kV_Aux1_Im (O2RE9)]]-AZ232)*1000&lt;0,"",(RD[[#This Row],[33kV_Aux1_Im (O2RE9)]]-AZ232)*1000)</f>
        <v>0</v>
      </c>
      <c r="BK233" s="153">
        <f>SUM(RD[[#This Row],[33kV_OG1_O2RE9_Energy (KWh)]],RD[[#This Row],[33kV_OG2_O2RE19_Energy (KWh)]])</f>
        <v>0</v>
      </c>
      <c r="BL233" s="62" t="str">
        <f>IFERROR(RD[[#This Row],[33 kV Total Export (KWH)]]/RD[[#This Row],[Inv Total Gneration (MWh)]]-1,"")</f>
        <v/>
      </c>
      <c r="BM233" s="63">
        <f>IFERROR((RD[[#This Row],[Sunset Time (POA&lt;20 W/m2)]]-RD[[#This Row],[Sunrise Time (POA&gt;20 W/m2)]])*24,0)</f>
        <v>0</v>
      </c>
      <c r="BN233" s="64">
        <f>SUM(RD[[#This Row],[33kV_OG1_O2RE9_Energy (KWh)]],RD[[#This Row],[33kV_OG2_O2RE19_Energy (KWh)]])</f>
        <v>0</v>
      </c>
      <c r="BO233" s="64">
        <f>IFERROR(RD[[#This Row],[ Export (33 kV)]]*(1-RD[[#This Row],[33 kV Line Loss (%)]]),RD[[#This Row],[ Export (33 kV)]])</f>
        <v>0</v>
      </c>
      <c r="BP233" s="189"/>
      <c r="BQ233" s="189"/>
      <c r="BR233" s="189"/>
      <c r="BS233" t="str">
        <f>IFERROR(RD[[#This Row],[E_AC (WPR)]]/RD[[#This Row],[E_DC (WPR)]],"")</f>
        <v/>
      </c>
    </row>
    <row r="234" spans="1:71">
      <c r="A234" s="147">
        <f t="shared" si="75"/>
        <v>46068</v>
      </c>
      <c r="B234" s="150">
        <f>YEAR(RD[[#This Row],[Date]])+IF(MONTH(RD[[#This Row],[Date]])&gt;=4,1,0)</f>
        <v>2026</v>
      </c>
      <c r="C234" s="150">
        <f>YEAR(RD[[#This Row],[Date]])</f>
        <v>2026</v>
      </c>
      <c r="D234" s="65">
        <f t="shared" si="74"/>
        <v>46054</v>
      </c>
      <c r="E234" s="150">
        <f>DAY(EOMONTH(RD[[#This Row],[Date]],0))</f>
        <v>28</v>
      </c>
      <c r="F234" s="171"/>
      <c r="G234" s="171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68"/>
      <c r="AF234" s="168"/>
      <c r="AG234" s="168"/>
      <c r="AH234" s="168"/>
      <c r="AI234" s="168"/>
      <c r="AJ234" s="168"/>
      <c r="AK234" s="168"/>
      <c r="AL234" s="168"/>
      <c r="AM234" s="71"/>
      <c r="AN234" s="71"/>
      <c r="AO234" s="71"/>
      <c r="AP234" s="71"/>
      <c r="AQ234" s="71"/>
      <c r="AR234" s="71"/>
      <c r="AS234" s="71"/>
      <c r="AT234" s="71"/>
      <c r="AU234" s="69">
        <f>SUM(RD[[#This Row],[IS2Inv1M1]:[IS4Inv1M3]])</f>
        <v>0</v>
      </c>
      <c r="AV234" s="69">
        <f>SUM(RD[[#This Row],[IS5Inv1M1]:[IS5Inv2M3]])</f>
        <v>0</v>
      </c>
      <c r="AW234" s="69">
        <f>SUM(RD[[#This Row],[O2RE9]:[O2RE192]])</f>
        <v>0</v>
      </c>
      <c r="AX234" s="152"/>
      <c r="AY234" s="152"/>
      <c r="AZ234" s="152"/>
      <c r="BA234" s="152"/>
      <c r="BB234" s="152"/>
      <c r="BC234" s="152"/>
      <c r="BD234" s="153" t="str">
        <f>IF((RD[[#This Row],[33 kV_F1_Ex (O2RE9)]]-AX233)*225000&lt;=0,"",(RD[[#This Row],[33 kV_F1_Ex (O2RE9)]]-AX233)*225000)</f>
        <v/>
      </c>
      <c r="BE234" s="153">
        <f>IF((RD[[#This Row],[33kV_OG1_Ex (O2RE9)]]-AY233)*1000&lt;=0,0,(RD[[#This Row],[33kV_OG1_Ex (O2RE9)]]-AY233)*1000)</f>
        <v>0</v>
      </c>
      <c r="BF234" s="153"/>
      <c r="BG234" s="153" t="str">
        <f>IF((RD[[#This Row],[33 kV_F2_Ex (O2RE19)]]-BA233)*150000&lt;=0,"",(RD[[#This Row],[33 kV_F2_Ex (O2RE19)]]-BA233)*150000)</f>
        <v/>
      </c>
      <c r="BH234" s="153">
        <f>IF((RD[[#This Row],[33kV_OG2_Ex (O2RE19)]]-BB233)*1000&lt;=0,0,(RD[[#This Row],[33kV_OG2_Ex (O2RE19)]]-BB233)*1000)</f>
        <v>0</v>
      </c>
      <c r="BI234" s="153">
        <f>IF((RD[[#This Row],[33kV_Aux2_Im (O2RE19)]]-BC233)*1000&lt;0,"",(RD[[#This Row],[33kV_Aux2_Im (O2RE19)]]-BC233)*1000)</f>
        <v>0</v>
      </c>
      <c r="BJ234" s="153">
        <f>IF((RD[[#This Row],[33kV_Aux1_Im (O2RE9)]]-AZ233)*1000&lt;0,"",(RD[[#This Row],[33kV_Aux1_Im (O2RE9)]]-AZ233)*1000)</f>
        <v>0</v>
      </c>
      <c r="BK234" s="153">
        <f>SUM(RD[[#This Row],[33kV_OG1_O2RE9_Energy (KWh)]],RD[[#This Row],[33kV_OG2_O2RE19_Energy (KWh)]])</f>
        <v>0</v>
      </c>
      <c r="BL234" s="62" t="str">
        <f>IFERROR(RD[[#This Row],[33 kV Total Export (KWH)]]/RD[[#This Row],[Inv Total Gneration (MWh)]]-1,"")</f>
        <v/>
      </c>
      <c r="BM234" s="63">
        <f>IFERROR((RD[[#This Row],[Sunset Time (POA&lt;20 W/m2)]]-RD[[#This Row],[Sunrise Time (POA&gt;20 W/m2)]])*24,0)</f>
        <v>0</v>
      </c>
      <c r="BN234" s="64">
        <f>SUM(RD[[#This Row],[33kV_OG1_O2RE9_Energy (KWh)]],RD[[#This Row],[33kV_OG2_O2RE19_Energy (KWh)]])</f>
        <v>0</v>
      </c>
      <c r="BO234" s="64">
        <f>IFERROR(RD[[#This Row],[ Export (33 kV)]]*(1-RD[[#This Row],[33 kV Line Loss (%)]]),RD[[#This Row],[ Export (33 kV)]])</f>
        <v>0</v>
      </c>
      <c r="BP234" s="189"/>
      <c r="BQ234" s="189"/>
      <c r="BR234" s="189"/>
      <c r="BS234" t="str">
        <f>IFERROR(RD[[#This Row],[E_AC (WPR)]]/RD[[#This Row],[E_DC (WPR)]],"")</f>
        <v/>
      </c>
    </row>
    <row r="235" spans="1:71">
      <c r="A235" s="147">
        <f t="shared" si="75"/>
        <v>46069</v>
      </c>
      <c r="B235" s="150">
        <f>YEAR(RD[[#This Row],[Date]])+IF(MONTH(RD[[#This Row],[Date]])&gt;=4,1,0)</f>
        <v>2026</v>
      </c>
      <c r="C235" s="150">
        <f>YEAR(RD[[#This Row],[Date]])</f>
        <v>2026</v>
      </c>
      <c r="D235" s="65">
        <f t="shared" si="74"/>
        <v>46054</v>
      </c>
      <c r="E235" s="150">
        <f>DAY(EOMONTH(RD[[#This Row],[Date]],0))</f>
        <v>28</v>
      </c>
      <c r="F235" s="171"/>
      <c r="G235" s="171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68"/>
      <c r="AF235" s="168"/>
      <c r="AG235" s="168"/>
      <c r="AH235" s="168"/>
      <c r="AI235" s="168"/>
      <c r="AJ235" s="168"/>
      <c r="AK235" s="168"/>
      <c r="AL235" s="168"/>
      <c r="AM235" s="71"/>
      <c r="AN235" s="71"/>
      <c r="AO235" s="71"/>
      <c r="AP235" s="71"/>
      <c r="AQ235" s="71"/>
      <c r="AR235" s="71"/>
      <c r="AS235" s="71"/>
      <c r="AT235" s="71"/>
      <c r="AU235" s="69">
        <f>SUM(RD[[#This Row],[IS2Inv1M1]:[IS4Inv1M3]])</f>
        <v>0</v>
      </c>
      <c r="AV235" s="69">
        <f>SUM(RD[[#This Row],[IS5Inv1M1]:[IS5Inv2M3]])</f>
        <v>0</v>
      </c>
      <c r="AW235" s="69">
        <f>SUM(RD[[#This Row],[O2RE9]:[O2RE192]])</f>
        <v>0</v>
      </c>
      <c r="AX235" s="152"/>
      <c r="AY235" s="152"/>
      <c r="AZ235" s="152"/>
      <c r="BA235" s="152"/>
      <c r="BB235" s="152"/>
      <c r="BC235" s="152"/>
      <c r="BD235" s="153" t="str">
        <f>IF((RD[[#This Row],[33 kV_F1_Ex (O2RE9)]]-AX234)*225000&lt;=0,"",(RD[[#This Row],[33 kV_F1_Ex (O2RE9)]]-AX234)*225000)</f>
        <v/>
      </c>
      <c r="BE235" s="153">
        <f>IF((RD[[#This Row],[33kV_OG1_Ex (O2RE9)]]-AY234)*1000&lt;=0,0,(RD[[#This Row],[33kV_OG1_Ex (O2RE9)]]-AY234)*1000)</f>
        <v>0</v>
      </c>
      <c r="BF235" s="153"/>
      <c r="BG235" s="153" t="str">
        <f>IF((RD[[#This Row],[33 kV_F2_Ex (O2RE19)]]-BA234)*150000&lt;=0,"",(RD[[#This Row],[33 kV_F2_Ex (O2RE19)]]-BA234)*150000)</f>
        <v/>
      </c>
      <c r="BH235" s="153">
        <f>IF((RD[[#This Row],[33kV_OG2_Ex (O2RE19)]]-BB234)*1000&lt;=0,0,(RD[[#This Row],[33kV_OG2_Ex (O2RE19)]]-BB234)*1000)</f>
        <v>0</v>
      </c>
      <c r="BI235" s="153">
        <f>IF((RD[[#This Row],[33kV_Aux2_Im (O2RE19)]]-BC234)*1000&lt;0,"",(RD[[#This Row],[33kV_Aux2_Im (O2RE19)]]-BC234)*1000)</f>
        <v>0</v>
      </c>
      <c r="BJ235" s="153">
        <f>IF((RD[[#This Row],[33kV_Aux1_Im (O2RE9)]]-AZ234)*1000&lt;0,"",(RD[[#This Row],[33kV_Aux1_Im (O2RE9)]]-AZ234)*1000)</f>
        <v>0</v>
      </c>
      <c r="BK235" s="153">
        <f>SUM(RD[[#This Row],[33kV_OG1_O2RE9_Energy (KWh)]],RD[[#This Row],[33kV_OG2_O2RE19_Energy (KWh)]])</f>
        <v>0</v>
      </c>
      <c r="BL235" s="62" t="str">
        <f>IFERROR(RD[[#This Row],[33 kV Total Export (KWH)]]/RD[[#This Row],[Inv Total Gneration (MWh)]]-1,"")</f>
        <v/>
      </c>
      <c r="BM235" s="63">
        <f>IFERROR((RD[[#This Row],[Sunset Time (POA&lt;20 W/m2)]]-RD[[#This Row],[Sunrise Time (POA&gt;20 W/m2)]])*24,0)</f>
        <v>0</v>
      </c>
      <c r="BN235" s="64">
        <f>SUM(RD[[#This Row],[33kV_OG1_O2RE9_Energy (KWh)]],RD[[#This Row],[33kV_OG2_O2RE19_Energy (KWh)]])</f>
        <v>0</v>
      </c>
      <c r="BO235" s="64">
        <f>IFERROR(RD[[#This Row],[ Export (33 kV)]]*(1-RD[[#This Row],[33 kV Line Loss (%)]]),RD[[#This Row],[ Export (33 kV)]])</f>
        <v>0</v>
      </c>
      <c r="BP235" s="189"/>
      <c r="BQ235" s="189"/>
      <c r="BR235" s="189"/>
      <c r="BS235" t="str">
        <f>IFERROR(RD[[#This Row],[E_AC (WPR)]]/RD[[#This Row],[E_DC (WPR)]],"")</f>
        <v/>
      </c>
    </row>
    <row r="236" spans="1:71">
      <c r="A236" s="147">
        <f t="shared" si="75"/>
        <v>46070</v>
      </c>
      <c r="B236" s="150">
        <f>YEAR(RD[[#This Row],[Date]])+IF(MONTH(RD[[#This Row],[Date]])&gt;=4,1,0)</f>
        <v>2026</v>
      </c>
      <c r="C236" s="150">
        <f>YEAR(RD[[#This Row],[Date]])</f>
        <v>2026</v>
      </c>
      <c r="D236" s="65">
        <f t="shared" si="74"/>
        <v>46054</v>
      </c>
      <c r="E236" s="150">
        <f>DAY(EOMONTH(RD[[#This Row],[Date]],0))</f>
        <v>28</v>
      </c>
      <c r="F236" s="171"/>
      <c r="G236" s="171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68"/>
      <c r="AF236" s="168"/>
      <c r="AG236" s="168"/>
      <c r="AH236" s="168"/>
      <c r="AI236" s="168"/>
      <c r="AJ236" s="168"/>
      <c r="AK236" s="168"/>
      <c r="AL236" s="168"/>
      <c r="AM236" s="71"/>
      <c r="AN236" s="71"/>
      <c r="AO236" s="71"/>
      <c r="AP236" s="71"/>
      <c r="AQ236" s="71"/>
      <c r="AR236" s="71"/>
      <c r="AS236" s="71"/>
      <c r="AT236" s="71"/>
      <c r="AU236" s="69">
        <f>SUM(RD[[#This Row],[IS2Inv1M1]:[IS4Inv1M3]])</f>
        <v>0</v>
      </c>
      <c r="AV236" s="69">
        <f>SUM(RD[[#This Row],[IS5Inv1M1]:[IS5Inv2M3]])</f>
        <v>0</v>
      </c>
      <c r="AW236" s="69">
        <f>SUM(RD[[#This Row],[O2RE9]:[O2RE192]])</f>
        <v>0</v>
      </c>
      <c r="AX236" s="152"/>
      <c r="AY236" s="152"/>
      <c r="AZ236" s="152"/>
      <c r="BA236" s="152"/>
      <c r="BB236" s="152"/>
      <c r="BC236" s="152"/>
      <c r="BD236" s="153" t="str">
        <f>IF((RD[[#This Row],[33 kV_F1_Ex (O2RE9)]]-AX235)*225000&lt;=0,"",(RD[[#This Row],[33 kV_F1_Ex (O2RE9)]]-AX235)*225000)</f>
        <v/>
      </c>
      <c r="BE236" s="153">
        <f>IF((RD[[#This Row],[33kV_OG1_Ex (O2RE9)]]-AY235)*1000&lt;=0,0,(RD[[#This Row],[33kV_OG1_Ex (O2RE9)]]-AY235)*1000)</f>
        <v>0</v>
      </c>
      <c r="BF236" s="153"/>
      <c r="BG236" s="153" t="str">
        <f>IF((RD[[#This Row],[33 kV_F2_Ex (O2RE19)]]-BA235)*150000&lt;=0,"",(RD[[#This Row],[33 kV_F2_Ex (O2RE19)]]-BA235)*150000)</f>
        <v/>
      </c>
      <c r="BH236" s="153">
        <f>IF((RD[[#This Row],[33kV_OG2_Ex (O2RE19)]]-BB235)*1000&lt;=0,0,(RD[[#This Row],[33kV_OG2_Ex (O2RE19)]]-BB235)*1000)</f>
        <v>0</v>
      </c>
      <c r="BI236" s="153">
        <f>IF((RD[[#This Row],[33kV_Aux2_Im (O2RE19)]]-BC235)*1000&lt;0,"",(RD[[#This Row],[33kV_Aux2_Im (O2RE19)]]-BC235)*1000)</f>
        <v>0</v>
      </c>
      <c r="BJ236" s="153">
        <f>IF((RD[[#This Row],[33kV_Aux1_Im (O2RE9)]]-AZ235)*1000&lt;0,"",(RD[[#This Row],[33kV_Aux1_Im (O2RE9)]]-AZ235)*1000)</f>
        <v>0</v>
      </c>
      <c r="BK236" s="153">
        <f>SUM(RD[[#This Row],[33kV_OG1_O2RE9_Energy (KWh)]],RD[[#This Row],[33kV_OG2_O2RE19_Energy (KWh)]])</f>
        <v>0</v>
      </c>
      <c r="BL236" s="62" t="str">
        <f>IFERROR(RD[[#This Row],[33 kV Total Export (KWH)]]/RD[[#This Row],[Inv Total Gneration (MWh)]]-1,"")</f>
        <v/>
      </c>
      <c r="BM236" s="63">
        <f>IFERROR((RD[[#This Row],[Sunset Time (POA&lt;20 W/m2)]]-RD[[#This Row],[Sunrise Time (POA&gt;20 W/m2)]])*24,0)</f>
        <v>0</v>
      </c>
      <c r="BN236" s="64">
        <f>SUM(RD[[#This Row],[33kV_OG1_O2RE9_Energy (KWh)]],RD[[#This Row],[33kV_OG2_O2RE19_Energy (KWh)]])</f>
        <v>0</v>
      </c>
      <c r="BO236" s="64">
        <f>IFERROR(RD[[#This Row],[ Export (33 kV)]]*(1-RD[[#This Row],[33 kV Line Loss (%)]]),RD[[#This Row],[ Export (33 kV)]])</f>
        <v>0</v>
      </c>
      <c r="BP236" s="189"/>
      <c r="BQ236" s="189"/>
      <c r="BR236" s="189"/>
      <c r="BS236" t="str">
        <f>IFERROR(RD[[#This Row],[E_AC (WPR)]]/RD[[#This Row],[E_DC (WPR)]],"")</f>
        <v/>
      </c>
    </row>
    <row r="237" spans="1:71">
      <c r="A237" s="147">
        <f t="shared" si="75"/>
        <v>46071</v>
      </c>
      <c r="B237" s="150">
        <f>YEAR(RD[[#This Row],[Date]])+IF(MONTH(RD[[#This Row],[Date]])&gt;=4,1,0)</f>
        <v>2026</v>
      </c>
      <c r="C237" s="150">
        <f>YEAR(RD[[#This Row],[Date]])</f>
        <v>2026</v>
      </c>
      <c r="D237" s="65">
        <f t="shared" si="74"/>
        <v>46054</v>
      </c>
      <c r="E237" s="150">
        <f>DAY(EOMONTH(RD[[#This Row],[Date]],0))</f>
        <v>28</v>
      </c>
      <c r="F237" s="171"/>
      <c r="G237" s="171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68"/>
      <c r="AF237" s="168"/>
      <c r="AG237" s="168"/>
      <c r="AH237" s="168"/>
      <c r="AI237" s="168"/>
      <c r="AJ237" s="168"/>
      <c r="AK237" s="168"/>
      <c r="AL237" s="168"/>
      <c r="AM237" s="71"/>
      <c r="AN237" s="71"/>
      <c r="AO237" s="71"/>
      <c r="AP237" s="71"/>
      <c r="AQ237" s="71"/>
      <c r="AR237" s="71"/>
      <c r="AS237" s="71"/>
      <c r="AT237" s="71"/>
      <c r="AU237" s="69">
        <f>SUM(RD[[#This Row],[IS2Inv1M1]:[IS4Inv1M3]])</f>
        <v>0</v>
      </c>
      <c r="AV237" s="69">
        <f>SUM(RD[[#This Row],[IS5Inv1M1]:[IS5Inv2M3]])</f>
        <v>0</v>
      </c>
      <c r="AW237" s="69">
        <f>SUM(RD[[#This Row],[O2RE9]:[O2RE192]])</f>
        <v>0</v>
      </c>
      <c r="AX237" s="152"/>
      <c r="AY237" s="152"/>
      <c r="AZ237" s="152"/>
      <c r="BA237" s="152"/>
      <c r="BB237" s="152"/>
      <c r="BC237" s="152"/>
      <c r="BD237" s="153" t="str">
        <f>IF((RD[[#This Row],[33 kV_F1_Ex (O2RE9)]]-AX236)*225000&lt;=0,"",(RD[[#This Row],[33 kV_F1_Ex (O2RE9)]]-AX236)*225000)</f>
        <v/>
      </c>
      <c r="BE237" s="153">
        <f>IF((RD[[#This Row],[33kV_OG1_Ex (O2RE9)]]-AY236)*1000&lt;=0,0,(RD[[#This Row],[33kV_OG1_Ex (O2RE9)]]-AY236)*1000)</f>
        <v>0</v>
      </c>
      <c r="BF237" s="153"/>
      <c r="BG237" s="153" t="str">
        <f>IF((RD[[#This Row],[33 kV_F2_Ex (O2RE19)]]-BA236)*150000&lt;=0,"",(RD[[#This Row],[33 kV_F2_Ex (O2RE19)]]-BA236)*150000)</f>
        <v/>
      </c>
      <c r="BH237" s="153">
        <f>IF((RD[[#This Row],[33kV_OG2_Ex (O2RE19)]]-BB236)*1000&lt;=0,0,(RD[[#This Row],[33kV_OG2_Ex (O2RE19)]]-BB236)*1000)</f>
        <v>0</v>
      </c>
      <c r="BI237" s="153">
        <f>IF((RD[[#This Row],[33kV_Aux2_Im (O2RE19)]]-BC236)*1000&lt;0,"",(RD[[#This Row],[33kV_Aux2_Im (O2RE19)]]-BC236)*1000)</f>
        <v>0</v>
      </c>
      <c r="BJ237" s="153">
        <f>IF((RD[[#This Row],[33kV_Aux1_Im (O2RE9)]]-AZ236)*1000&lt;0,"",(RD[[#This Row],[33kV_Aux1_Im (O2RE9)]]-AZ236)*1000)</f>
        <v>0</v>
      </c>
      <c r="BK237" s="153">
        <f>SUM(RD[[#This Row],[33kV_OG1_O2RE9_Energy (KWh)]],RD[[#This Row],[33kV_OG2_O2RE19_Energy (KWh)]])</f>
        <v>0</v>
      </c>
      <c r="BL237" s="62" t="str">
        <f>IFERROR(RD[[#This Row],[33 kV Total Export (KWH)]]/RD[[#This Row],[Inv Total Gneration (MWh)]]-1,"")</f>
        <v/>
      </c>
      <c r="BM237" s="63">
        <f>IFERROR((RD[[#This Row],[Sunset Time (POA&lt;20 W/m2)]]-RD[[#This Row],[Sunrise Time (POA&gt;20 W/m2)]])*24,0)</f>
        <v>0</v>
      </c>
      <c r="BN237" s="64">
        <f>SUM(RD[[#This Row],[33kV_OG1_O2RE9_Energy (KWh)]],RD[[#This Row],[33kV_OG2_O2RE19_Energy (KWh)]])</f>
        <v>0</v>
      </c>
      <c r="BO237" s="64">
        <f>IFERROR(RD[[#This Row],[ Export (33 kV)]]*(1-RD[[#This Row],[33 kV Line Loss (%)]]),RD[[#This Row],[ Export (33 kV)]])</f>
        <v>0</v>
      </c>
      <c r="BP237" s="189"/>
      <c r="BQ237" s="189"/>
      <c r="BR237" s="189"/>
      <c r="BS237" t="str">
        <f>IFERROR(RD[[#This Row],[E_AC (WPR)]]/RD[[#This Row],[E_DC (WPR)]],"")</f>
        <v/>
      </c>
    </row>
    <row r="238" spans="1:71">
      <c r="A238" s="147">
        <f t="shared" si="75"/>
        <v>46072</v>
      </c>
      <c r="B238" s="150">
        <f>YEAR(RD[[#This Row],[Date]])+IF(MONTH(RD[[#This Row],[Date]])&gt;=4,1,0)</f>
        <v>2026</v>
      </c>
      <c r="C238" s="150">
        <f>YEAR(RD[[#This Row],[Date]])</f>
        <v>2026</v>
      </c>
      <c r="D238" s="65">
        <f t="shared" si="74"/>
        <v>46054</v>
      </c>
      <c r="E238" s="150">
        <f>DAY(EOMONTH(RD[[#This Row],[Date]],0))</f>
        <v>28</v>
      </c>
      <c r="F238" s="171"/>
      <c r="G238" s="171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68"/>
      <c r="AF238" s="168"/>
      <c r="AG238" s="168"/>
      <c r="AH238" s="168"/>
      <c r="AI238" s="168"/>
      <c r="AJ238" s="168"/>
      <c r="AK238" s="168"/>
      <c r="AL238" s="168"/>
      <c r="AM238" s="71"/>
      <c r="AN238" s="71"/>
      <c r="AO238" s="71"/>
      <c r="AP238" s="71"/>
      <c r="AQ238" s="71"/>
      <c r="AR238" s="71"/>
      <c r="AS238" s="71"/>
      <c r="AT238" s="71"/>
      <c r="AU238" s="69">
        <f>SUM(RD[[#This Row],[IS2Inv1M1]:[IS4Inv1M3]])</f>
        <v>0</v>
      </c>
      <c r="AV238" s="69">
        <f>SUM(RD[[#This Row],[IS5Inv1M1]:[IS5Inv2M3]])</f>
        <v>0</v>
      </c>
      <c r="AW238" s="69">
        <f>SUM(RD[[#This Row],[O2RE9]:[O2RE192]])</f>
        <v>0</v>
      </c>
      <c r="AX238" s="152"/>
      <c r="AY238" s="152"/>
      <c r="AZ238" s="152"/>
      <c r="BA238" s="152"/>
      <c r="BB238" s="152"/>
      <c r="BC238" s="152"/>
      <c r="BD238" s="153" t="str">
        <f>IF((RD[[#This Row],[33 kV_F1_Ex (O2RE9)]]-AX237)*225000&lt;=0,"",(RD[[#This Row],[33 kV_F1_Ex (O2RE9)]]-AX237)*225000)</f>
        <v/>
      </c>
      <c r="BE238" s="153">
        <f>IF((RD[[#This Row],[33kV_OG1_Ex (O2RE9)]]-AY237)*1000&lt;=0,0,(RD[[#This Row],[33kV_OG1_Ex (O2RE9)]]-AY237)*1000)</f>
        <v>0</v>
      </c>
      <c r="BF238" s="153"/>
      <c r="BG238" s="153" t="str">
        <f>IF((RD[[#This Row],[33 kV_F2_Ex (O2RE19)]]-BA237)*150000&lt;=0,"",(RD[[#This Row],[33 kV_F2_Ex (O2RE19)]]-BA237)*150000)</f>
        <v/>
      </c>
      <c r="BH238" s="153">
        <f>IF((RD[[#This Row],[33kV_OG2_Ex (O2RE19)]]-BB237)*1000&lt;=0,0,(RD[[#This Row],[33kV_OG2_Ex (O2RE19)]]-BB237)*1000)</f>
        <v>0</v>
      </c>
      <c r="BI238" s="153">
        <f>IF((RD[[#This Row],[33kV_Aux2_Im (O2RE19)]]-BC237)*1000&lt;0,"",(RD[[#This Row],[33kV_Aux2_Im (O2RE19)]]-BC237)*1000)</f>
        <v>0</v>
      </c>
      <c r="BJ238" s="153">
        <f>IF((RD[[#This Row],[33kV_Aux1_Im (O2RE9)]]-AZ237)*1000&lt;0,"",(RD[[#This Row],[33kV_Aux1_Im (O2RE9)]]-AZ237)*1000)</f>
        <v>0</v>
      </c>
      <c r="BK238" s="153">
        <f>SUM(RD[[#This Row],[33kV_OG1_O2RE9_Energy (KWh)]],RD[[#This Row],[33kV_OG2_O2RE19_Energy (KWh)]])</f>
        <v>0</v>
      </c>
      <c r="BL238" s="62" t="str">
        <f>IFERROR(RD[[#This Row],[33 kV Total Export (KWH)]]/RD[[#This Row],[Inv Total Gneration (MWh)]]-1,"")</f>
        <v/>
      </c>
      <c r="BM238" s="63">
        <f>IFERROR((RD[[#This Row],[Sunset Time (POA&lt;20 W/m2)]]-RD[[#This Row],[Sunrise Time (POA&gt;20 W/m2)]])*24,0)</f>
        <v>0</v>
      </c>
      <c r="BN238" s="64">
        <f>SUM(RD[[#This Row],[33kV_OG1_O2RE9_Energy (KWh)]],RD[[#This Row],[33kV_OG2_O2RE19_Energy (KWh)]])</f>
        <v>0</v>
      </c>
      <c r="BO238" s="64">
        <f>IFERROR(RD[[#This Row],[ Export (33 kV)]]*(1-RD[[#This Row],[33 kV Line Loss (%)]]),RD[[#This Row],[ Export (33 kV)]])</f>
        <v>0</v>
      </c>
      <c r="BP238" s="189"/>
      <c r="BQ238" s="189"/>
      <c r="BR238" s="189"/>
      <c r="BS238" t="str">
        <f>IFERROR(RD[[#This Row],[E_AC (WPR)]]/RD[[#This Row],[E_DC (WPR)]],"")</f>
        <v/>
      </c>
    </row>
    <row r="239" spans="1:71">
      <c r="A239" s="147">
        <f t="shared" si="75"/>
        <v>46073</v>
      </c>
      <c r="B239" s="150">
        <f>YEAR(RD[[#This Row],[Date]])+IF(MONTH(RD[[#This Row],[Date]])&gt;=4,1,0)</f>
        <v>2026</v>
      </c>
      <c r="C239" s="150">
        <f>YEAR(RD[[#This Row],[Date]])</f>
        <v>2026</v>
      </c>
      <c r="D239" s="65">
        <f t="shared" si="74"/>
        <v>46054</v>
      </c>
      <c r="E239" s="150">
        <f>DAY(EOMONTH(RD[[#This Row],[Date]],0))</f>
        <v>28</v>
      </c>
      <c r="F239" s="171"/>
      <c r="G239" s="171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68"/>
      <c r="AF239" s="168"/>
      <c r="AG239" s="168"/>
      <c r="AH239" s="168"/>
      <c r="AI239" s="168"/>
      <c r="AJ239" s="168"/>
      <c r="AK239" s="168"/>
      <c r="AL239" s="168"/>
      <c r="AM239" s="71"/>
      <c r="AN239" s="71"/>
      <c r="AO239" s="71"/>
      <c r="AP239" s="71"/>
      <c r="AQ239" s="71"/>
      <c r="AR239" s="71"/>
      <c r="AS239" s="71"/>
      <c r="AT239" s="71"/>
      <c r="AU239" s="69">
        <f>SUM(RD[[#This Row],[IS2Inv1M1]:[IS4Inv1M3]])</f>
        <v>0</v>
      </c>
      <c r="AV239" s="69">
        <f>SUM(RD[[#This Row],[IS5Inv1M1]:[IS5Inv2M3]])</f>
        <v>0</v>
      </c>
      <c r="AW239" s="69">
        <f>SUM(RD[[#This Row],[O2RE9]:[O2RE192]])</f>
        <v>0</v>
      </c>
      <c r="AX239" s="152"/>
      <c r="AY239" s="152"/>
      <c r="AZ239" s="152"/>
      <c r="BA239" s="152"/>
      <c r="BB239" s="152"/>
      <c r="BC239" s="152"/>
      <c r="BD239" s="153" t="str">
        <f>IF((RD[[#This Row],[33 kV_F1_Ex (O2RE9)]]-AX238)*225000&lt;=0,"",(RD[[#This Row],[33 kV_F1_Ex (O2RE9)]]-AX238)*225000)</f>
        <v/>
      </c>
      <c r="BE239" s="153">
        <f>IF((RD[[#This Row],[33kV_OG1_Ex (O2RE9)]]-AY238)*1000&lt;=0,0,(RD[[#This Row],[33kV_OG1_Ex (O2RE9)]]-AY238)*1000)</f>
        <v>0</v>
      </c>
      <c r="BF239" s="153"/>
      <c r="BG239" s="153" t="str">
        <f>IF((RD[[#This Row],[33 kV_F2_Ex (O2RE19)]]-BA238)*150000&lt;=0,"",(RD[[#This Row],[33 kV_F2_Ex (O2RE19)]]-BA238)*150000)</f>
        <v/>
      </c>
      <c r="BH239" s="153">
        <f>IF((RD[[#This Row],[33kV_OG2_Ex (O2RE19)]]-BB238)*1000&lt;=0,0,(RD[[#This Row],[33kV_OG2_Ex (O2RE19)]]-BB238)*1000)</f>
        <v>0</v>
      </c>
      <c r="BI239" s="153">
        <f>IF((RD[[#This Row],[33kV_Aux2_Im (O2RE19)]]-BC238)*1000&lt;0,"",(RD[[#This Row],[33kV_Aux2_Im (O2RE19)]]-BC238)*1000)</f>
        <v>0</v>
      </c>
      <c r="BJ239" s="153">
        <f>IF((RD[[#This Row],[33kV_Aux1_Im (O2RE9)]]-AZ238)*1000&lt;0,"",(RD[[#This Row],[33kV_Aux1_Im (O2RE9)]]-AZ238)*1000)</f>
        <v>0</v>
      </c>
      <c r="BK239" s="153">
        <f>SUM(RD[[#This Row],[33kV_OG1_O2RE9_Energy (KWh)]],RD[[#This Row],[33kV_OG2_O2RE19_Energy (KWh)]])</f>
        <v>0</v>
      </c>
      <c r="BL239" s="62" t="str">
        <f>IFERROR(RD[[#This Row],[33 kV Total Export (KWH)]]/RD[[#This Row],[Inv Total Gneration (MWh)]]-1,"")</f>
        <v/>
      </c>
      <c r="BM239" s="63">
        <f>IFERROR((RD[[#This Row],[Sunset Time (POA&lt;20 W/m2)]]-RD[[#This Row],[Sunrise Time (POA&gt;20 W/m2)]])*24,0)</f>
        <v>0</v>
      </c>
      <c r="BN239" s="64">
        <f>SUM(RD[[#This Row],[33kV_OG1_O2RE9_Energy (KWh)]],RD[[#This Row],[33kV_OG2_O2RE19_Energy (KWh)]])</f>
        <v>0</v>
      </c>
      <c r="BO239" s="64">
        <f>IFERROR(RD[[#This Row],[ Export (33 kV)]]*(1-RD[[#This Row],[33 kV Line Loss (%)]]),RD[[#This Row],[ Export (33 kV)]])</f>
        <v>0</v>
      </c>
      <c r="BP239" s="189"/>
      <c r="BQ239" s="189"/>
      <c r="BR239" s="189"/>
      <c r="BS239" t="str">
        <f>IFERROR(RD[[#This Row],[E_AC (WPR)]]/RD[[#This Row],[E_DC (WPR)]],"")</f>
        <v/>
      </c>
    </row>
    <row r="240" spans="1:71">
      <c r="A240" s="147">
        <f t="shared" si="75"/>
        <v>46074</v>
      </c>
      <c r="B240" s="150">
        <f>YEAR(RD[[#This Row],[Date]])+IF(MONTH(RD[[#This Row],[Date]])&gt;=4,1,0)</f>
        <v>2026</v>
      </c>
      <c r="C240" s="150">
        <f>YEAR(RD[[#This Row],[Date]])</f>
        <v>2026</v>
      </c>
      <c r="D240" s="65">
        <f t="shared" si="74"/>
        <v>46054</v>
      </c>
      <c r="E240" s="150">
        <f>DAY(EOMONTH(RD[[#This Row],[Date]],0))</f>
        <v>28</v>
      </c>
      <c r="F240" s="171"/>
      <c r="G240" s="171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68"/>
      <c r="AF240" s="168"/>
      <c r="AG240" s="168"/>
      <c r="AH240" s="168"/>
      <c r="AI240" s="168"/>
      <c r="AJ240" s="168"/>
      <c r="AK240" s="168"/>
      <c r="AL240" s="168"/>
      <c r="AM240" s="71"/>
      <c r="AN240" s="71"/>
      <c r="AO240" s="71"/>
      <c r="AP240" s="71"/>
      <c r="AQ240" s="71"/>
      <c r="AR240" s="71"/>
      <c r="AS240" s="71"/>
      <c r="AT240" s="71"/>
      <c r="AU240" s="69">
        <f>SUM(RD[[#This Row],[IS2Inv1M1]:[IS4Inv1M3]])</f>
        <v>0</v>
      </c>
      <c r="AV240" s="69">
        <f>SUM(RD[[#This Row],[IS5Inv1M1]:[IS5Inv2M3]])</f>
        <v>0</v>
      </c>
      <c r="AW240" s="69">
        <f>SUM(RD[[#This Row],[O2RE9]:[O2RE192]])</f>
        <v>0</v>
      </c>
      <c r="AX240" s="152"/>
      <c r="AY240" s="152"/>
      <c r="AZ240" s="152"/>
      <c r="BA240" s="152"/>
      <c r="BB240" s="152"/>
      <c r="BC240" s="152"/>
      <c r="BD240" s="153" t="str">
        <f>IF((RD[[#This Row],[33 kV_F1_Ex (O2RE9)]]-AX239)*225000&lt;=0,"",(RD[[#This Row],[33 kV_F1_Ex (O2RE9)]]-AX239)*225000)</f>
        <v/>
      </c>
      <c r="BE240" s="153">
        <f>IF((RD[[#This Row],[33kV_OG1_Ex (O2RE9)]]-AY239)*1000&lt;=0,0,(RD[[#This Row],[33kV_OG1_Ex (O2RE9)]]-AY239)*1000)</f>
        <v>0</v>
      </c>
      <c r="BF240" s="153"/>
      <c r="BG240" s="153" t="str">
        <f>IF((RD[[#This Row],[33 kV_F2_Ex (O2RE19)]]-BA239)*150000&lt;=0,"",(RD[[#This Row],[33 kV_F2_Ex (O2RE19)]]-BA239)*150000)</f>
        <v/>
      </c>
      <c r="BH240" s="153">
        <f>IF((RD[[#This Row],[33kV_OG2_Ex (O2RE19)]]-BB239)*1000&lt;=0,0,(RD[[#This Row],[33kV_OG2_Ex (O2RE19)]]-BB239)*1000)</f>
        <v>0</v>
      </c>
      <c r="BI240" s="153">
        <f>IF((RD[[#This Row],[33kV_Aux2_Im (O2RE19)]]-BC239)*1000&lt;0,"",(RD[[#This Row],[33kV_Aux2_Im (O2RE19)]]-BC239)*1000)</f>
        <v>0</v>
      </c>
      <c r="BJ240" s="153">
        <f>IF((RD[[#This Row],[33kV_Aux1_Im (O2RE9)]]-AZ239)*1000&lt;0,"",(RD[[#This Row],[33kV_Aux1_Im (O2RE9)]]-AZ239)*1000)</f>
        <v>0</v>
      </c>
      <c r="BK240" s="153">
        <f>SUM(RD[[#This Row],[33kV_OG1_O2RE9_Energy (KWh)]],RD[[#This Row],[33kV_OG2_O2RE19_Energy (KWh)]])</f>
        <v>0</v>
      </c>
      <c r="BL240" s="62" t="str">
        <f>IFERROR(RD[[#This Row],[33 kV Total Export (KWH)]]/RD[[#This Row],[Inv Total Gneration (MWh)]]-1,"")</f>
        <v/>
      </c>
      <c r="BM240" s="63">
        <f>IFERROR((RD[[#This Row],[Sunset Time (POA&lt;20 W/m2)]]-RD[[#This Row],[Sunrise Time (POA&gt;20 W/m2)]])*24,0)</f>
        <v>0</v>
      </c>
      <c r="BN240" s="64">
        <f>SUM(RD[[#This Row],[33kV_OG1_O2RE9_Energy (KWh)]],RD[[#This Row],[33kV_OG2_O2RE19_Energy (KWh)]])</f>
        <v>0</v>
      </c>
      <c r="BO240" s="64">
        <f>IFERROR(RD[[#This Row],[ Export (33 kV)]]*(1-RD[[#This Row],[33 kV Line Loss (%)]]),RD[[#This Row],[ Export (33 kV)]])</f>
        <v>0</v>
      </c>
      <c r="BP240" s="189"/>
      <c r="BQ240" s="189"/>
      <c r="BR240" s="189"/>
      <c r="BS240" t="str">
        <f>IFERROR(RD[[#This Row],[E_AC (WPR)]]/RD[[#This Row],[E_DC (WPR)]],"")</f>
        <v/>
      </c>
    </row>
    <row r="241" spans="1:71">
      <c r="A241" s="147">
        <f t="shared" si="75"/>
        <v>46075</v>
      </c>
      <c r="B241" s="150">
        <f>YEAR(RD[[#This Row],[Date]])+IF(MONTH(RD[[#This Row],[Date]])&gt;=4,1,0)</f>
        <v>2026</v>
      </c>
      <c r="C241" s="150">
        <f>YEAR(RD[[#This Row],[Date]])</f>
        <v>2026</v>
      </c>
      <c r="D241" s="65">
        <f t="shared" si="74"/>
        <v>46054</v>
      </c>
      <c r="E241" s="150">
        <f>DAY(EOMONTH(RD[[#This Row],[Date]],0))</f>
        <v>28</v>
      </c>
      <c r="F241" s="171"/>
      <c r="G241" s="171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68"/>
      <c r="AF241" s="168"/>
      <c r="AG241" s="168"/>
      <c r="AH241" s="168"/>
      <c r="AI241" s="168"/>
      <c r="AJ241" s="168"/>
      <c r="AK241" s="168"/>
      <c r="AL241" s="168"/>
      <c r="AM241" s="71"/>
      <c r="AN241" s="71"/>
      <c r="AO241" s="71"/>
      <c r="AP241" s="71"/>
      <c r="AQ241" s="71"/>
      <c r="AR241" s="71"/>
      <c r="AS241" s="71"/>
      <c r="AT241" s="71"/>
      <c r="AU241" s="69">
        <f>SUM(RD[[#This Row],[IS2Inv1M1]:[IS4Inv1M3]])</f>
        <v>0</v>
      </c>
      <c r="AV241" s="69">
        <f>SUM(RD[[#This Row],[IS5Inv1M1]:[IS5Inv2M3]])</f>
        <v>0</v>
      </c>
      <c r="AW241" s="69">
        <f>SUM(RD[[#This Row],[O2RE9]:[O2RE192]])</f>
        <v>0</v>
      </c>
      <c r="AX241" s="152"/>
      <c r="AY241" s="152"/>
      <c r="AZ241" s="152"/>
      <c r="BA241" s="152"/>
      <c r="BB241" s="152"/>
      <c r="BC241" s="152"/>
      <c r="BD241" s="153" t="str">
        <f>IF((RD[[#This Row],[33 kV_F1_Ex (O2RE9)]]-AX240)*225000&lt;=0,"",(RD[[#This Row],[33 kV_F1_Ex (O2RE9)]]-AX240)*225000)</f>
        <v/>
      </c>
      <c r="BE241" s="153">
        <f>IF((RD[[#This Row],[33kV_OG1_Ex (O2RE9)]]-AY240)*1000&lt;=0,0,(RD[[#This Row],[33kV_OG1_Ex (O2RE9)]]-AY240)*1000)</f>
        <v>0</v>
      </c>
      <c r="BF241" s="153"/>
      <c r="BG241" s="153" t="str">
        <f>IF((RD[[#This Row],[33 kV_F2_Ex (O2RE19)]]-BA240)*150000&lt;=0,"",(RD[[#This Row],[33 kV_F2_Ex (O2RE19)]]-BA240)*150000)</f>
        <v/>
      </c>
      <c r="BH241" s="153">
        <f>IF((RD[[#This Row],[33kV_OG2_Ex (O2RE19)]]-BB240)*1000&lt;=0,0,(RD[[#This Row],[33kV_OG2_Ex (O2RE19)]]-BB240)*1000)</f>
        <v>0</v>
      </c>
      <c r="BI241" s="153">
        <f>IF((RD[[#This Row],[33kV_Aux2_Im (O2RE19)]]-BC240)*1000&lt;0,"",(RD[[#This Row],[33kV_Aux2_Im (O2RE19)]]-BC240)*1000)</f>
        <v>0</v>
      </c>
      <c r="BJ241" s="153">
        <f>IF((RD[[#This Row],[33kV_Aux1_Im (O2RE9)]]-AZ240)*1000&lt;0,"",(RD[[#This Row],[33kV_Aux1_Im (O2RE9)]]-AZ240)*1000)</f>
        <v>0</v>
      </c>
      <c r="BK241" s="153">
        <f>SUM(RD[[#This Row],[33kV_OG1_O2RE9_Energy (KWh)]],RD[[#This Row],[33kV_OG2_O2RE19_Energy (KWh)]])</f>
        <v>0</v>
      </c>
      <c r="BL241" s="62" t="str">
        <f>IFERROR(RD[[#This Row],[33 kV Total Export (KWH)]]/RD[[#This Row],[Inv Total Gneration (MWh)]]-1,"")</f>
        <v/>
      </c>
      <c r="BM241" s="63">
        <f>IFERROR((RD[[#This Row],[Sunset Time (POA&lt;20 W/m2)]]-RD[[#This Row],[Sunrise Time (POA&gt;20 W/m2)]])*24,0)</f>
        <v>0</v>
      </c>
      <c r="BN241" s="64">
        <f>SUM(RD[[#This Row],[33kV_OG1_O2RE9_Energy (KWh)]],RD[[#This Row],[33kV_OG2_O2RE19_Energy (KWh)]])</f>
        <v>0</v>
      </c>
      <c r="BO241" s="64">
        <f>IFERROR(RD[[#This Row],[ Export (33 kV)]]*(1-RD[[#This Row],[33 kV Line Loss (%)]]),RD[[#This Row],[ Export (33 kV)]])</f>
        <v>0</v>
      </c>
      <c r="BP241" s="189"/>
      <c r="BQ241" s="189"/>
      <c r="BR241" s="189"/>
      <c r="BS241" t="str">
        <f>IFERROR(RD[[#This Row],[E_AC (WPR)]]/RD[[#This Row],[E_DC (WPR)]],"")</f>
        <v/>
      </c>
    </row>
    <row r="242" spans="1:71">
      <c r="A242" s="147">
        <f t="shared" si="75"/>
        <v>46076</v>
      </c>
      <c r="B242" s="150">
        <f>YEAR(RD[[#This Row],[Date]])+IF(MONTH(RD[[#This Row],[Date]])&gt;=4,1,0)</f>
        <v>2026</v>
      </c>
      <c r="C242" s="150">
        <f>YEAR(RD[[#This Row],[Date]])</f>
        <v>2026</v>
      </c>
      <c r="D242" s="65">
        <f t="shared" si="74"/>
        <v>46054</v>
      </c>
      <c r="E242" s="150">
        <f>DAY(EOMONTH(RD[[#This Row],[Date]],0))</f>
        <v>28</v>
      </c>
      <c r="F242" s="171"/>
      <c r="G242" s="171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68"/>
      <c r="AF242" s="168"/>
      <c r="AG242" s="168"/>
      <c r="AH242" s="168"/>
      <c r="AI242" s="168"/>
      <c r="AJ242" s="168"/>
      <c r="AK242" s="168"/>
      <c r="AL242" s="168"/>
      <c r="AM242" s="71"/>
      <c r="AN242" s="71"/>
      <c r="AO242" s="71"/>
      <c r="AP242" s="71"/>
      <c r="AQ242" s="71"/>
      <c r="AR242" s="71"/>
      <c r="AS242" s="71"/>
      <c r="AT242" s="71"/>
      <c r="AU242" s="72">
        <f>SUM(RD[[#This Row],[IS2Inv1M1]:[IS4Inv1M3]])</f>
        <v>0</v>
      </c>
      <c r="AV242" s="72">
        <f>SUM(RD[[#This Row],[IS5Inv1M1]:[IS5Inv2M3]])</f>
        <v>0</v>
      </c>
      <c r="AW242" s="72">
        <f>SUM(RD[[#This Row],[O2RE9]:[O2RE192]])</f>
        <v>0</v>
      </c>
      <c r="AX242" s="149"/>
      <c r="AY242" s="149"/>
      <c r="AZ242" s="149"/>
      <c r="BA242" s="149"/>
      <c r="BB242" s="149"/>
      <c r="BC242" s="149"/>
      <c r="BD242" s="156" t="str">
        <f>IF((RD[[#This Row],[33 kV_F1_Ex (O2RE9)]]-AX241)*225000&lt;=0,"",(RD[[#This Row],[33 kV_F1_Ex (O2RE9)]]-AX241)*225000)</f>
        <v/>
      </c>
      <c r="BE242" s="153">
        <f>IF((RD[[#This Row],[33kV_OG1_Ex (O2RE9)]]-AY241)*1000&lt;=0,0,(RD[[#This Row],[33kV_OG1_Ex (O2RE9)]]-AY241)*1000)</f>
        <v>0</v>
      </c>
      <c r="BF242" s="153"/>
      <c r="BG242" s="153" t="str">
        <f>IF((RD[[#This Row],[33 kV_F2_Ex (O2RE19)]]-BA241)*150000&lt;=0,"",(RD[[#This Row],[33 kV_F2_Ex (O2RE19)]]-BA241)*150000)</f>
        <v/>
      </c>
      <c r="BH242" s="153">
        <f>IF((RD[[#This Row],[33kV_OG2_Ex (O2RE19)]]-BB241)*1000&lt;=0,0,(RD[[#This Row],[33kV_OG2_Ex (O2RE19)]]-BB241)*1000)</f>
        <v>0</v>
      </c>
      <c r="BI242" s="153">
        <f>IF((RD[[#This Row],[33kV_Aux2_Im (O2RE19)]]-BC241)*1000&lt;0,"",(RD[[#This Row],[33kV_Aux2_Im (O2RE19)]]-BC241)*1000)</f>
        <v>0</v>
      </c>
      <c r="BJ242" s="153">
        <f>IF((RD[[#This Row],[33kV_Aux1_Im (O2RE9)]]-AZ241)*1000&lt;0,"",(RD[[#This Row],[33kV_Aux1_Im (O2RE9)]]-AZ241)*1000)</f>
        <v>0</v>
      </c>
      <c r="BK242" s="153">
        <f>SUM(RD[[#This Row],[33kV_OG1_O2RE9_Energy (KWh)]],RD[[#This Row],[33kV_OG2_O2RE19_Energy (KWh)]])</f>
        <v>0</v>
      </c>
      <c r="BL242" s="62" t="str">
        <f>IFERROR(RD[[#This Row],[33 kV Total Export (KWH)]]/RD[[#This Row],[Inv Total Gneration (MWh)]]-1,"")</f>
        <v/>
      </c>
      <c r="BM242" s="63">
        <f>IFERROR((RD[[#This Row],[Sunset Time (POA&lt;20 W/m2)]]-RD[[#This Row],[Sunrise Time (POA&gt;20 W/m2)]])*24,0)</f>
        <v>0</v>
      </c>
      <c r="BN242" s="64">
        <f>SUM(RD[[#This Row],[33kV_OG1_O2RE9_Energy (KWh)]],RD[[#This Row],[33kV_OG2_O2RE19_Energy (KWh)]])</f>
        <v>0</v>
      </c>
      <c r="BO242" s="64">
        <f>IFERROR(RD[[#This Row],[ Export (33 kV)]]*(1-RD[[#This Row],[33 kV Line Loss (%)]]),RD[[#This Row],[ Export (33 kV)]])</f>
        <v>0</v>
      </c>
      <c r="BP242" s="189"/>
      <c r="BQ242" s="189"/>
      <c r="BR242" s="189"/>
      <c r="BS242" t="str">
        <f>IFERROR(RD[[#This Row],[E_AC (WPR)]]/RD[[#This Row],[E_DC (WPR)]],"")</f>
        <v/>
      </c>
    </row>
    <row r="243" spans="1:71">
      <c r="A243" s="147">
        <f t="shared" si="75"/>
        <v>46077</v>
      </c>
      <c r="B243" s="150">
        <f>YEAR(RD[[#This Row],[Date]])+IF(MONTH(RD[[#This Row],[Date]])&gt;=4,1,0)</f>
        <v>2026</v>
      </c>
      <c r="C243" s="150">
        <f>YEAR(RD[[#This Row],[Date]])</f>
        <v>2026</v>
      </c>
      <c r="D243" s="65">
        <f t="shared" si="74"/>
        <v>46054</v>
      </c>
      <c r="E243" s="150">
        <f>DAY(EOMONTH(RD[[#This Row],[Date]],0))</f>
        <v>28</v>
      </c>
      <c r="F243" s="171"/>
      <c r="G243" s="171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68"/>
      <c r="AF243" s="168"/>
      <c r="AG243" s="168"/>
      <c r="AH243" s="168"/>
      <c r="AI243" s="168"/>
      <c r="AJ243" s="168"/>
      <c r="AK243" s="168"/>
      <c r="AL243" s="168"/>
      <c r="AM243" s="71"/>
      <c r="AN243" s="71"/>
      <c r="AO243" s="71"/>
      <c r="AP243" s="71"/>
      <c r="AQ243" s="71"/>
      <c r="AR243" s="71"/>
      <c r="AS243" s="71"/>
      <c r="AT243" s="71"/>
      <c r="AU243" s="72">
        <f>SUM(RD[[#This Row],[IS2Inv1M1]:[IS4Inv1M3]])</f>
        <v>0</v>
      </c>
      <c r="AV243" s="72">
        <f>SUM(RD[[#This Row],[IS5Inv1M1]:[IS5Inv2M3]])</f>
        <v>0</v>
      </c>
      <c r="AW243" s="72">
        <f>SUM(RD[[#This Row],[O2RE9]:[O2RE192]])</f>
        <v>0</v>
      </c>
      <c r="AX243" s="157"/>
      <c r="AY243" s="149"/>
      <c r="AZ243" s="149"/>
      <c r="BA243" s="149"/>
      <c r="BB243" s="149"/>
      <c r="BC243" s="149"/>
      <c r="BD243" s="156" t="str">
        <f>IF((RD[[#This Row],[33 kV_F1_Ex (O2RE9)]]-AX242)*225000&lt;=0,"",(RD[[#This Row],[33 kV_F1_Ex (O2RE9)]]-AX242)*225000)</f>
        <v/>
      </c>
      <c r="BE243" s="153">
        <f>IF((RD[[#This Row],[33kV_OG1_Ex (O2RE9)]]-AY242)*1000&lt;=0,0,(RD[[#This Row],[33kV_OG1_Ex (O2RE9)]]-AY242)*1000)</f>
        <v>0</v>
      </c>
      <c r="BF243" s="153"/>
      <c r="BG243" s="153" t="str">
        <f>IF((RD[[#This Row],[33 kV_F2_Ex (O2RE19)]]-BA242)*150000&lt;=0,"",(RD[[#This Row],[33 kV_F2_Ex (O2RE19)]]-BA242)*150000)</f>
        <v/>
      </c>
      <c r="BH243" s="153">
        <f>IF((RD[[#This Row],[33kV_OG2_Ex (O2RE19)]]-BB242)*1000&lt;=0,0,(RD[[#This Row],[33kV_OG2_Ex (O2RE19)]]-BB242)*1000)</f>
        <v>0</v>
      </c>
      <c r="BI243" s="153">
        <f>IF((RD[[#This Row],[33kV_Aux2_Im (O2RE19)]]-BC242)*1000&lt;0,"",(RD[[#This Row],[33kV_Aux2_Im (O2RE19)]]-BC242)*1000)</f>
        <v>0</v>
      </c>
      <c r="BJ243" s="153">
        <f>IF((RD[[#This Row],[33kV_Aux1_Im (O2RE9)]]-AZ242)*1000&lt;0,"",(RD[[#This Row],[33kV_Aux1_Im (O2RE9)]]-AZ242)*1000)</f>
        <v>0</v>
      </c>
      <c r="BK243" s="153">
        <f>SUM(RD[[#This Row],[33kV_OG1_O2RE9_Energy (KWh)]],RD[[#This Row],[33kV_OG2_O2RE19_Energy (KWh)]])</f>
        <v>0</v>
      </c>
      <c r="BL243" s="62" t="str">
        <f>IFERROR(RD[[#This Row],[33 kV Total Export (KWH)]]/RD[[#This Row],[Inv Total Gneration (MWh)]]-1,"")</f>
        <v/>
      </c>
      <c r="BM243" s="63">
        <f>IFERROR((RD[[#This Row],[Sunset Time (POA&lt;20 W/m2)]]-RD[[#This Row],[Sunrise Time (POA&gt;20 W/m2)]])*24,0)</f>
        <v>0</v>
      </c>
      <c r="BN243" s="64">
        <f>SUM(RD[[#This Row],[33kV_OG1_O2RE9_Energy (KWh)]],RD[[#This Row],[33kV_OG2_O2RE19_Energy (KWh)]])</f>
        <v>0</v>
      </c>
      <c r="BO243" s="64">
        <f>IFERROR(RD[[#This Row],[ Export (33 kV)]]*(1-RD[[#This Row],[33 kV Line Loss (%)]]),RD[[#This Row],[ Export (33 kV)]])</f>
        <v>0</v>
      </c>
      <c r="BP243" s="189"/>
      <c r="BQ243" s="189"/>
      <c r="BR243" s="189"/>
      <c r="BS243" t="str">
        <f>IFERROR(RD[[#This Row],[E_AC (WPR)]]/RD[[#This Row],[E_DC (WPR)]],"")</f>
        <v/>
      </c>
    </row>
    <row r="244" spans="1:71">
      <c r="A244" s="147">
        <f t="shared" si="75"/>
        <v>46078</v>
      </c>
      <c r="B244" s="150">
        <f>YEAR(RD[[#This Row],[Date]])+IF(MONTH(RD[[#This Row],[Date]])&gt;=4,1,0)</f>
        <v>2026</v>
      </c>
      <c r="C244" s="150">
        <f>YEAR(RD[[#This Row],[Date]])</f>
        <v>2026</v>
      </c>
      <c r="D244" s="65">
        <f t="shared" si="74"/>
        <v>46054</v>
      </c>
      <c r="E244" s="150">
        <f>DAY(EOMONTH(RD[[#This Row],[Date]],0))</f>
        <v>28</v>
      </c>
      <c r="F244" s="171"/>
      <c r="G244" s="171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68"/>
      <c r="AF244" s="168"/>
      <c r="AG244" s="168"/>
      <c r="AH244" s="168"/>
      <c r="AI244" s="168"/>
      <c r="AJ244" s="168"/>
      <c r="AK244" s="168"/>
      <c r="AL244" s="168"/>
      <c r="AM244" s="71"/>
      <c r="AN244" s="71"/>
      <c r="AO244" s="71"/>
      <c r="AP244" s="71"/>
      <c r="AQ244" s="71"/>
      <c r="AR244" s="71"/>
      <c r="AS244" s="71"/>
      <c r="AT244" s="71"/>
      <c r="AU244" s="72">
        <f>SUM(RD[[#This Row],[IS2Inv1M1]:[IS4Inv1M3]])</f>
        <v>0</v>
      </c>
      <c r="AV244" s="72">
        <f>SUM(RD[[#This Row],[IS5Inv1M1]:[IS5Inv2M3]])</f>
        <v>0</v>
      </c>
      <c r="AW244" s="72">
        <f>SUM(RD[[#This Row],[O2RE9]:[O2RE192]])</f>
        <v>0</v>
      </c>
      <c r="AX244" s="149"/>
      <c r="AY244" s="149"/>
      <c r="AZ244" s="149"/>
      <c r="BA244" s="149"/>
      <c r="BB244" s="149"/>
      <c r="BC244" s="149"/>
      <c r="BD244" s="156" t="str">
        <f>IF((RD[[#This Row],[33 kV_F1_Ex (O2RE9)]]-AX243)*225000&lt;=0,"",(RD[[#This Row],[33 kV_F1_Ex (O2RE9)]]-AX243)*225000)</f>
        <v/>
      </c>
      <c r="BE244" s="153">
        <f>IF((RD[[#This Row],[33kV_OG1_Ex (O2RE9)]]-AY243)*1000&lt;=0,0,(RD[[#This Row],[33kV_OG1_Ex (O2RE9)]]-AY243)*1000)</f>
        <v>0</v>
      </c>
      <c r="BF244" s="153"/>
      <c r="BG244" s="153" t="str">
        <f>IF((RD[[#This Row],[33 kV_F2_Ex (O2RE19)]]-BA243)*150000&lt;=0,"",(RD[[#This Row],[33 kV_F2_Ex (O2RE19)]]-BA243)*150000)</f>
        <v/>
      </c>
      <c r="BH244" s="153">
        <f>IF((RD[[#This Row],[33kV_OG2_Ex (O2RE19)]]-BB243)*1000&lt;=0,0,(RD[[#This Row],[33kV_OG2_Ex (O2RE19)]]-BB243)*1000)</f>
        <v>0</v>
      </c>
      <c r="BI244" s="153">
        <f>IF((RD[[#This Row],[33kV_Aux2_Im (O2RE19)]]-BC243)*1000&lt;0,"",(RD[[#This Row],[33kV_Aux2_Im (O2RE19)]]-BC243)*1000)</f>
        <v>0</v>
      </c>
      <c r="BJ244" s="153">
        <f>IF((RD[[#This Row],[33kV_Aux1_Im (O2RE9)]]-AZ243)*1000&lt;0,"",(RD[[#This Row],[33kV_Aux1_Im (O2RE9)]]-AZ243)*1000)</f>
        <v>0</v>
      </c>
      <c r="BK244" s="153">
        <f>SUM(RD[[#This Row],[33kV_OG1_O2RE9_Energy (KWh)]],RD[[#This Row],[33kV_OG2_O2RE19_Energy (KWh)]])</f>
        <v>0</v>
      </c>
      <c r="BL244" s="62" t="str">
        <f>IFERROR(RD[[#This Row],[33 kV Total Export (KWH)]]/RD[[#This Row],[Inv Total Gneration (MWh)]]-1,"")</f>
        <v/>
      </c>
      <c r="BM244" s="63">
        <f>IFERROR((RD[[#This Row],[Sunset Time (POA&lt;20 W/m2)]]-RD[[#This Row],[Sunrise Time (POA&gt;20 W/m2)]])*24,0)</f>
        <v>0</v>
      </c>
      <c r="BN244" s="64">
        <f>SUM(RD[[#This Row],[33kV_OG1_O2RE9_Energy (KWh)]],RD[[#This Row],[33kV_OG2_O2RE19_Energy (KWh)]])</f>
        <v>0</v>
      </c>
      <c r="BO244" s="64">
        <f>IFERROR(RD[[#This Row],[ Export (33 kV)]]*(1-RD[[#This Row],[33 kV Line Loss (%)]]),RD[[#This Row],[ Export (33 kV)]])</f>
        <v>0</v>
      </c>
      <c r="BP244" s="189"/>
      <c r="BQ244" s="189"/>
      <c r="BR244" s="189"/>
      <c r="BS244" t="str">
        <f>IFERROR(RD[[#This Row],[E_AC (WPR)]]/RD[[#This Row],[E_DC (WPR)]],"")</f>
        <v/>
      </c>
    </row>
    <row r="245" spans="1:71">
      <c r="A245" s="148">
        <f t="shared" si="75"/>
        <v>46079</v>
      </c>
      <c r="B245" s="70">
        <f>YEAR(RD[[#This Row],[Date]])+IF(MONTH(RD[[#This Row],[Date]])&gt;=4,1,0)</f>
        <v>2026</v>
      </c>
      <c r="C245" s="70">
        <f>YEAR(RD[[#This Row],[Date]])</f>
        <v>2026</v>
      </c>
      <c r="D245" s="65">
        <f t="shared" si="74"/>
        <v>46054</v>
      </c>
      <c r="E245" s="70">
        <f>DAY(EOMONTH(RD[[#This Row],[Date]],0))</f>
        <v>28</v>
      </c>
      <c r="F245" s="171"/>
      <c r="G245" s="17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170"/>
      <c r="AF245" s="170"/>
      <c r="AG245" s="170"/>
      <c r="AH245" s="170"/>
      <c r="AI245" s="170"/>
      <c r="AJ245" s="170"/>
      <c r="AK245" s="170"/>
      <c r="AL245" s="170"/>
      <c r="AM245" s="71"/>
      <c r="AN245" s="71"/>
      <c r="AO245" s="71"/>
      <c r="AP245" s="71"/>
      <c r="AQ245" s="71"/>
      <c r="AR245" s="71"/>
      <c r="AS245" s="71"/>
      <c r="AT245" s="71"/>
      <c r="AU245" s="72">
        <f>SUM(RD[[#This Row],[IS2Inv1M1]:[IS4Inv1M3]])</f>
        <v>0</v>
      </c>
      <c r="AV245" s="72">
        <f>SUM(RD[[#This Row],[IS5Inv1M1]:[IS5Inv2M3]])</f>
        <v>0</v>
      </c>
      <c r="AW245" s="72">
        <f>SUM(RD[[#This Row],[O2RE9]:[O2RE192]])</f>
        <v>0</v>
      </c>
      <c r="AX245" s="158"/>
      <c r="AY245" s="158"/>
      <c r="AZ245" s="158"/>
      <c r="BA245" s="158"/>
      <c r="BB245" s="158"/>
      <c r="BC245" s="158"/>
      <c r="BD245" s="156" t="str">
        <f>IF((RD[[#This Row],[33 kV_F1_Ex (O2RE9)]]-AX244)*225000&lt;=0,"",(RD[[#This Row],[33 kV_F1_Ex (O2RE9)]]-AX244)*225000)</f>
        <v/>
      </c>
      <c r="BE245" s="153">
        <f>IF((RD[[#This Row],[33kV_OG1_Ex (O2RE9)]]-AY244)*1000&lt;=0,0,(RD[[#This Row],[33kV_OG1_Ex (O2RE9)]]-AY244)*1000)</f>
        <v>0</v>
      </c>
      <c r="BF245" s="153"/>
      <c r="BG245" s="153" t="str">
        <f>IF((RD[[#This Row],[33 kV_F2_Ex (O2RE19)]]-BA244)*150000&lt;=0,"",(RD[[#This Row],[33 kV_F2_Ex (O2RE19)]]-BA244)*150000)</f>
        <v/>
      </c>
      <c r="BH245" s="153">
        <f>IF((RD[[#This Row],[33kV_OG2_Ex (O2RE19)]]-BB244)*1000&lt;=0,0,(RD[[#This Row],[33kV_OG2_Ex (O2RE19)]]-BB244)*1000)</f>
        <v>0</v>
      </c>
      <c r="BI245" s="153">
        <f>IF((RD[[#This Row],[33kV_Aux2_Im (O2RE19)]]-BC244)*1000&lt;0,"",(RD[[#This Row],[33kV_Aux2_Im (O2RE19)]]-BC244)*1000)</f>
        <v>0</v>
      </c>
      <c r="BJ245" s="153">
        <f>IF((RD[[#This Row],[33kV_Aux1_Im (O2RE9)]]-AZ244)*1000&lt;0,"",(RD[[#This Row],[33kV_Aux1_Im (O2RE9)]]-AZ244)*1000)</f>
        <v>0</v>
      </c>
      <c r="BK245" s="153">
        <f>SUM(RD[[#This Row],[33kV_OG1_O2RE9_Energy (KWh)]],RD[[#This Row],[33kV_OG2_O2RE19_Energy (KWh)]])</f>
        <v>0</v>
      </c>
      <c r="BL245" s="62" t="str">
        <f>IFERROR(RD[[#This Row],[33 kV Total Export (KWH)]]/RD[[#This Row],[Inv Total Gneration (MWh)]]-1,"")</f>
        <v/>
      </c>
      <c r="BM245" s="63">
        <f>IFERROR((RD[[#This Row],[Sunset Time (POA&lt;20 W/m2)]]-RD[[#This Row],[Sunrise Time (POA&gt;20 W/m2)]])*24,0)</f>
        <v>0</v>
      </c>
      <c r="BN245" s="64">
        <f>SUM(RD[[#This Row],[33kV_OG1_O2RE9_Energy (KWh)]],RD[[#This Row],[33kV_OG2_O2RE19_Energy (KWh)]])</f>
        <v>0</v>
      </c>
      <c r="BO245" s="64">
        <f>IFERROR(RD[[#This Row],[ Export (33 kV)]]*(1-RD[[#This Row],[33 kV Line Loss (%)]]),RD[[#This Row],[ Export (33 kV)]])</f>
        <v>0</v>
      </c>
      <c r="BP245" s="190"/>
      <c r="BQ245" s="190"/>
      <c r="BR245" s="190"/>
      <c r="BS245" t="str">
        <f>IFERROR(RD[[#This Row],[E_AC (WPR)]]/RD[[#This Row],[E_DC (WPR)]],"")</f>
        <v/>
      </c>
    </row>
    <row r="246" spans="1:71">
      <c r="A246" s="147">
        <f t="shared" si="75"/>
        <v>46080</v>
      </c>
      <c r="B246" s="150">
        <f>YEAR(RD[[#This Row],[Date]])+IF(MONTH(RD[[#This Row],[Date]])&gt;=4,1,0)</f>
        <v>2026</v>
      </c>
      <c r="C246" s="150">
        <f>YEAR(RD[[#This Row],[Date]])</f>
        <v>2026</v>
      </c>
      <c r="D246" s="65">
        <f t="shared" si="74"/>
        <v>46054</v>
      </c>
      <c r="E246" s="150">
        <f>DAY(EOMONTH(RD[[#This Row],[Date]],0))</f>
        <v>28</v>
      </c>
      <c r="F246" s="171"/>
      <c r="G246" s="171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68"/>
      <c r="AF246" s="168"/>
      <c r="AG246" s="168"/>
      <c r="AH246" s="168"/>
      <c r="AI246" s="168"/>
      <c r="AJ246" s="168"/>
      <c r="AK246" s="168"/>
      <c r="AL246" s="168"/>
      <c r="AM246" s="71"/>
      <c r="AN246" s="71"/>
      <c r="AO246" s="71"/>
      <c r="AP246" s="71"/>
      <c r="AQ246" s="71"/>
      <c r="AR246" s="71"/>
      <c r="AS246" s="71"/>
      <c r="AT246" s="71"/>
      <c r="AU246" s="69">
        <f>SUM(RD[[#This Row],[IS2Inv1M1]:[IS4Inv1M3]])</f>
        <v>0</v>
      </c>
      <c r="AV246" s="69">
        <f>SUM(RD[[#This Row],[IS5Inv1M1]:[IS5Inv2M3]])</f>
        <v>0</v>
      </c>
      <c r="AW246" s="69">
        <f>SUM(RD[[#This Row],[O2RE9]:[O2RE192]])</f>
        <v>0</v>
      </c>
      <c r="AX246" s="159"/>
      <c r="AY246" s="157"/>
      <c r="AZ246" s="149"/>
      <c r="BA246" s="149"/>
      <c r="BB246" s="149"/>
      <c r="BC246" s="149"/>
      <c r="BD246" s="156" t="str">
        <f>IF((RD[[#This Row],[33 kV_F1_Ex (O2RE9)]]-AX245)*225000&lt;=0,"",(RD[[#This Row],[33 kV_F1_Ex (O2RE9)]]-AX245)*225000)</f>
        <v/>
      </c>
      <c r="BE246" s="153">
        <f>IF((RD[[#This Row],[33kV_OG1_Ex (O2RE9)]]-AY245)*1000&lt;=0,0,(RD[[#This Row],[33kV_OG1_Ex (O2RE9)]]-AY245)*1000)</f>
        <v>0</v>
      </c>
      <c r="BF246" s="153"/>
      <c r="BG246" s="153" t="str">
        <f>IF((RD[[#This Row],[33 kV_F2_Ex (O2RE19)]]-BA245)*150000&lt;=0,"",(RD[[#This Row],[33 kV_F2_Ex (O2RE19)]]-BA245)*150000)</f>
        <v/>
      </c>
      <c r="BH246" s="153">
        <f>IF((RD[[#This Row],[33kV_OG2_Ex (O2RE19)]]-BB245)*1000&lt;=0,0,(RD[[#This Row],[33kV_OG2_Ex (O2RE19)]]-BB245)*1000)</f>
        <v>0</v>
      </c>
      <c r="BI246" s="153">
        <f>IF((RD[[#This Row],[33kV_Aux2_Im (O2RE19)]]-BC245)*1000&lt;0,"",(RD[[#This Row],[33kV_Aux2_Im (O2RE19)]]-BC245)*1000)</f>
        <v>0</v>
      </c>
      <c r="BJ246" s="153">
        <f>IF((RD[[#This Row],[33kV_Aux1_Im (O2RE9)]]-AZ245)*1000&lt;0,"",(RD[[#This Row],[33kV_Aux1_Im (O2RE9)]]-AZ245)*1000)</f>
        <v>0</v>
      </c>
      <c r="BK246" s="153">
        <f>SUM(RD[[#This Row],[33kV_OG1_O2RE9_Energy (KWh)]],RD[[#This Row],[33kV_OG2_O2RE19_Energy (KWh)]])</f>
        <v>0</v>
      </c>
      <c r="BL246" s="62" t="str">
        <f>IFERROR(RD[[#This Row],[33 kV Total Export (KWH)]]/RD[[#This Row],[Inv Total Gneration (MWh)]]-1,"")</f>
        <v/>
      </c>
      <c r="BM246" s="63">
        <f>IFERROR((RD[[#This Row],[Sunset Time (POA&lt;20 W/m2)]]-RD[[#This Row],[Sunrise Time (POA&gt;20 W/m2)]])*24,0)</f>
        <v>0</v>
      </c>
      <c r="BN246" s="64">
        <f>SUM(RD[[#This Row],[33kV_OG1_O2RE9_Energy (KWh)]],RD[[#This Row],[33kV_OG2_O2RE19_Energy (KWh)]])</f>
        <v>0</v>
      </c>
      <c r="BO246" s="64">
        <f>IFERROR(RD[[#This Row],[ Export (33 kV)]]*(1-RD[[#This Row],[33 kV Line Loss (%)]]),RD[[#This Row],[ Export (33 kV)]])</f>
        <v>0</v>
      </c>
      <c r="BP246" s="189"/>
      <c r="BQ246" s="189"/>
      <c r="BR246" s="189"/>
      <c r="BS246" t="str">
        <f>IFERROR(RD[[#This Row],[E_AC (WPR)]]/RD[[#This Row],[E_DC (WPR)]],"")</f>
        <v/>
      </c>
    </row>
    <row r="247" spans="1:71">
      <c r="A247" s="147">
        <f t="shared" si="75"/>
        <v>46081</v>
      </c>
      <c r="B247" s="150">
        <f>YEAR(RD[[#This Row],[Date]])+IF(MONTH(RD[[#This Row],[Date]])&gt;=4,1,0)</f>
        <v>2026</v>
      </c>
      <c r="C247" s="150">
        <f>YEAR(RD[[#This Row],[Date]])</f>
        <v>2026</v>
      </c>
      <c r="D247" s="65">
        <f t="shared" si="74"/>
        <v>46054</v>
      </c>
      <c r="E247" s="150">
        <f>DAY(EOMONTH(RD[[#This Row],[Date]],0))</f>
        <v>28</v>
      </c>
      <c r="F247" s="171"/>
      <c r="G247" s="171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68"/>
      <c r="AF247" s="168"/>
      <c r="AG247" s="168"/>
      <c r="AH247" s="168"/>
      <c r="AI247" s="168"/>
      <c r="AJ247" s="168"/>
      <c r="AK247" s="168"/>
      <c r="AL247" s="168"/>
      <c r="AM247" s="71"/>
      <c r="AN247" s="71"/>
      <c r="AO247" s="71"/>
      <c r="AP247" s="71"/>
      <c r="AQ247" s="71"/>
      <c r="AR247" s="71"/>
      <c r="AS247" s="71"/>
      <c r="AT247" s="71"/>
      <c r="AU247" s="69">
        <f>SUM(RD[[#This Row],[IS2Inv1M1]:[IS4Inv1M3]])</f>
        <v>0</v>
      </c>
      <c r="AV247" s="69">
        <f>SUM(RD[[#This Row],[IS5Inv1M1]:[IS5Inv2M3]])</f>
        <v>0</v>
      </c>
      <c r="AW247" s="69">
        <f>SUM(RD[[#This Row],[O2RE9]:[O2RE192]])</f>
        <v>0</v>
      </c>
      <c r="AX247" s="149"/>
      <c r="AY247" s="157"/>
      <c r="AZ247" s="149"/>
      <c r="BA247" s="149"/>
      <c r="BB247" s="149"/>
      <c r="BC247" s="149"/>
      <c r="BD247" s="156" t="str">
        <f>IF((RD[[#This Row],[33 kV_F1_Ex (O2RE9)]]-AX246)*225000&lt;=0,"",(RD[[#This Row],[33 kV_F1_Ex (O2RE9)]]-AX246)*225000)</f>
        <v/>
      </c>
      <c r="BE247" s="153">
        <f>IF((RD[[#This Row],[33kV_OG1_Ex (O2RE9)]]-AY246)*1000&lt;=0,0,(RD[[#This Row],[33kV_OG1_Ex (O2RE9)]]-AY246)*1000)</f>
        <v>0</v>
      </c>
      <c r="BF247" s="153"/>
      <c r="BG247" s="153" t="str">
        <f>IF((RD[[#This Row],[33 kV_F2_Ex (O2RE19)]]-BA246)*150000&lt;=0,"",(RD[[#This Row],[33 kV_F2_Ex (O2RE19)]]-BA246)*150000)</f>
        <v/>
      </c>
      <c r="BH247" s="153">
        <f>IF((RD[[#This Row],[33kV_OG2_Ex (O2RE19)]]-BB246)*1000&lt;=0,0,(RD[[#This Row],[33kV_OG2_Ex (O2RE19)]]-BB246)*1000)</f>
        <v>0</v>
      </c>
      <c r="BI247" s="153">
        <f>IF((RD[[#This Row],[33kV_Aux2_Im (O2RE19)]]-BC246)*1000&lt;0,"",(RD[[#This Row],[33kV_Aux2_Im (O2RE19)]]-BC246)*1000)</f>
        <v>0</v>
      </c>
      <c r="BJ247" s="153">
        <f>IF((RD[[#This Row],[33kV_Aux1_Im (O2RE9)]]-AZ246)*1000&lt;0,"",(RD[[#This Row],[33kV_Aux1_Im (O2RE9)]]-AZ246)*1000)</f>
        <v>0</v>
      </c>
      <c r="BK247" s="153">
        <f>SUM(RD[[#This Row],[33kV_OG1_O2RE9_Energy (KWh)]],RD[[#This Row],[33kV_OG2_O2RE19_Energy (KWh)]])</f>
        <v>0</v>
      </c>
      <c r="BL247" s="62" t="str">
        <f>IFERROR(RD[[#This Row],[33 kV Total Export (KWH)]]/RD[[#This Row],[Inv Total Gneration (MWh)]]-1,"")</f>
        <v/>
      </c>
      <c r="BM247" s="63">
        <f>IFERROR((RD[[#This Row],[Sunset Time (POA&lt;20 W/m2)]]-RD[[#This Row],[Sunrise Time (POA&gt;20 W/m2)]])*24,0)</f>
        <v>0</v>
      </c>
      <c r="BN247" s="64">
        <f>SUM(RD[[#This Row],[33kV_OG1_O2RE9_Energy (KWh)]],RD[[#This Row],[33kV_OG2_O2RE19_Energy (KWh)]])</f>
        <v>0</v>
      </c>
      <c r="BO247" s="64">
        <f>IFERROR(RD[[#This Row],[ Export (33 kV)]]*(1-RD[[#This Row],[33 kV Line Loss (%)]]),RD[[#This Row],[ Export (33 kV)]])</f>
        <v>0</v>
      </c>
      <c r="BP247" s="189"/>
      <c r="BQ247" s="189"/>
      <c r="BR247" s="189"/>
      <c r="BS247" t="str">
        <f>IFERROR(RD[[#This Row],[E_AC (WPR)]]/RD[[#This Row],[E_DC (WPR)]],"")</f>
        <v/>
      </c>
    </row>
    <row r="248" spans="1:71">
      <c r="A248" s="147">
        <f t="shared" si="75"/>
        <v>46082</v>
      </c>
      <c r="B248" s="150">
        <f>YEAR(RD[[#This Row],[Date]])+IF(MONTH(RD[[#This Row],[Date]])&gt;=4,1,0)</f>
        <v>2026</v>
      </c>
      <c r="C248" s="150">
        <f>YEAR(RD[[#This Row],[Date]])</f>
        <v>2026</v>
      </c>
      <c r="D248" s="65">
        <f t="shared" si="74"/>
        <v>46082</v>
      </c>
      <c r="E248" s="150">
        <f>DAY(EOMONTH(RD[[#This Row],[Date]],0))</f>
        <v>31</v>
      </c>
      <c r="F248" s="171"/>
      <c r="G248" s="171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69"/>
      <c r="AF248" s="169"/>
      <c r="AG248" s="169"/>
      <c r="AH248" s="169"/>
      <c r="AI248" s="169"/>
      <c r="AJ248" s="169"/>
      <c r="AK248" s="169"/>
      <c r="AL248" s="169"/>
      <c r="AM248" s="155"/>
      <c r="AN248" s="155"/>
      <c r="AO248" s="155"/>
      <c r="AP248" s="155"/>
      <c r="AQ248" s="155"/>
      <c r="AR248" s="155"/>
      <c r="AS248" s="155"/>
      <c r="AT248" s="155"/>
      <c r="AU248" s="69">
        <f>SUM(RD[[#This Row],[IS2Inv1M1]:[IS4Inv1M3]])</f>
        <v>0</v>
      </c>
      <c r="AV248" s="69">
        <f>SUM(RD[[#This Row],[IS5Inv1M1]:[IS5Inv2M3]])</f>
        <v>0</v>
      </c>
      <c r="AW248" s="69">
        <f>SUM(RD[[#This Row],[O2RE9]:[O2RE192]])</f>
        <v>0</v>
      </c>
      <c r="AX248" s="149"/>
      <c r="AY248" s="157"/>
      <c r="AZ248" s="149"/>
      <c r="BA248" s="149"/>
      <c r="BB248" s="149"/>
      <c r="BC248" s="149"/>
      <c r="BD248" s="156" t="str">
        <f>IF((RD[[#This Row],[33 kV_F1_Ex (O2RE9)]]-AX247)*225000&lt;=0,"",(RD[[#This Row],[33 kV_F1_Ex (O2RE9)]]-AX247)*225000)</f>
        <v/>
      </c>
      <c r="BE248" s="153">
        <f>IF((RD[[#This Row],[33kV_OG1_Ex (O2RE9)]]-AY247)*1000&lt;=0,0,(RD[[#This Row],[33kV_OG1_Ex (O2RE9)]]-AY247)*1000)</f>
        <v>0</v>
      </c>
      <c r="BF248" s="153"/>
      <c r="BG248" s="153" t="str">
        <f>IF((RD[[#This Row],[33 kV_F2_Ex (O2RE19)]]-BA247)*150000&lt;=0,"",(RD[[#This Row],[33 kV_F2_Ex (O2RE19)]]-BA247)*150000)</f>
        <v/>
      </c>
      <c r="BH248" s="153">
        <f>IF((RD[[#This Row],[33kV_OG2_Ex (O2RE19)]]-BB247)*1000&lt;=0,0,(RD[[#This Row],[33kV_OG2_Ex (O2RE19)]]-BB247)*1000)</f>
        <v>0</v>
      </c>
      <c r="BI248" s="153">
        <f>IF((RD[[#This Row],[33kV_Aux2_Im (O2RE19)]]-BC247)*1000&lt;0,"",(RD[[#This Row],[33kV_Aux2_Im (O2RE19)]]-BC247)*1000)</f>
        <v>0</v>
      </c>
      <c r="BJ248" s="153">
        <f>IF((RD[[#This Row],[33kV_Aux1_Im (O2RE9)]]-AZ247)*1000&lt;0,"",(RD[[#This Row],[33kV_Aux1_Im (O2RE9)]]-AZ247)*1000)</f>
        <v>0</v>
      </c>
      <c r="BK248" s="153">
        <f>SUM(RD[[#This Row],[33kV_OG1_O2RE9_Energy (KWh)]],RD[[#This Row],[33kV_OG2_O2RE19_Energy (KWh)]])</f>
        <v>0</v>
      </c>
      <c r="BL248" s="62" t="str">
        <f>IFERROR(RD[[#This Row],[33 kV Total Export (KWH)]]/RD[[#This Row],[Inv Total Gneration (MWh)]]-1,"")</f>
        <v/>
      </c>
      <c r="BM248" s="63">
        <f>IFERROR((RD[[#This Row],[Sunset Time (POA&lt;20 W/m2)]]-RD[[#This Row],[Sunrise Time (POA&gt;20 W/m2)]])*24,0)</f>
        <v>0</v>
      </c>
      <c r="BN248" s="64">
        <f>SUM(RD[[#This Row],[33kV_OG1_O2RE9_Energy (KWh)]],RD[[#This Row],[33kV_OG2_O2RE19_Energy (KWh)]])</f>
        <v>0</v>
      </c>
      <c r="BO248" s="64">
        <f>IFERROR(RD[[#This Row],[ Export (33 kV)]]*(1-RD[[#This Row],[33 kV Line Loss (%)]]),RD[[#This Row],[ Export (33 kV)]])</f>
        <v>0</v>
      </c>
      <c r="BP248" s="191"/>
      <c r="BQ248" s="191"/>
      <c r="BR248" s="191"/>
      <c r="BS248" t="str">
        <f>IFERROR(RD[[#This Row],[E_AC (WPR)]]/RD[[#This Row],[E_DC (WPR)]],"")</f>
        <v/>
      </c>
    </row>
    <row r="249" spans="1:71">
      <c r="A249" s="147">
        <f t="shared" si="75"/>
        <v>46083</v>
      </c>
      <c r="B249" s="150">
        <f>YEAR(RD[[#This Row],[Date]])+IF(MONTH(RD[[#This Row],[Date]])&gt;=4,1,0)</f>
        <v>2026</v>
      </c>
      <c r="C249" s="150">
        <f>YEAR(RD[[#This Row],[Date]])</f>
        <v>2026</v>
      </c>
      <c r="D249" s="65">
        <f t="shared" si="74"/>
        <v>46082</v>
      </c>
      <c r="E249" s="150">
        <f>DAY(EOMONTH(RD[[#This Row],[Date]],0))</f>
        <v>31</v>
      </c>
      <c r="F249" s="171"/>
      <c r="G249" s="171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69"/>
      <c r="AF249" s="169"/>
      <c r="AG249" s="169"/>
      <c r="AH249" s="169"/>
      <c r="AI249" s="169"/>
      <c r="AJ249" s="169"/>
      <c r="AK249" s="169"/>
      <c r="AL249" s="169"/>
      <c r="AM249" s="155"/>
      <c r="AN249" s="155"/>
      <c r="AO249" s="155"/>
      <c r="AP249" s="155"/>
      <c r="AQ249" s="155"/>
      <c r="AR249" s="155"/>
      <c r="AS249" s="155"/>
      <c r="AT249" s="155"/>
      <c r="AU249" s="69">
        <f>SUM(RD[[#This Row],[IS2Inv1M1]:[IS4Inv1M3]])</f>
        <v>0</v>
      </c>
      <c r="AV249" s="69">
        <f>SUM(RD[[#This Row],[IS5Inv1M1]:[IS5Inv2M3]])</f>
        <v>0</v>
      </c>
      <c r="AW249" s="69">
        <f>SUM(RD[[#This Row],[O2RE9]:[O2RE192]])</f>
        <v>0</v>
      </c>
      <c r="AX249" s="160"/>
      <c r="AY249" s="161"/>
      <c r="AZ249" s="160"/>
      <c r="BA249" s="160"/>
      <c r="BB249" s="160"/>
      <c r="BC249" s="160"/>
      <c r="BD249" s="156" t="str">
        <f>IF((RD[[#This Row],[33 kV_F1_Ex (O2RE9)]]-AX248)*225000&lt;=0,"",(RD[[#This Row],[33 kV_F1_Ex (O2RE9)]]-AX248)*225000)</f>
        <v/>
      </c>
      <c r="BE249" s="153">
        <f>IF((RD[[#This Row],[33kV_OG1_Ex (O2RE9)]]-AY248)*1000&lt;=0,0,(RD[[#This Row],[33kV_OG1_Ex (O2RE9)]]-AY248)*1000)</f>
        <v>0</v>
      </c>
      <c r="BF249" s="153"/>
      <c r="BG249" s="153" t="str">
        <f>IF((RD[[#This Row],[33 kV_F2_Ex (O2RE19)]]-BA248)*150000&lt;=0,"",(RD[[#This Row],[33 kV_F2_Ex (O2RE19)]]-BA248)*150000)</f>
        <v/>
      </c>
      <c r="BH249" s="153">
        <f>IF((RD[[#This Row],[33kV_OG2_Ex (O2RE19)]]-BB248)*1000&lt;=0,0,(RD[[#This Row],[33kV_OG2_Ex (O2RE19)]]-BB248)*1000)</f>
        <v>0</v>
      </c>
      <c r="BI249" s="153">
        <f>IF((RD[[#This Row],[33kV_Aux2_Im (O2RE19)]]-BC248)*1000&lt;0,"",(RD[[#This Row],[33kV_Aux2_Im (O2RE19)]]-BC248)*1000)</f>
        <v>0</v>
      </c>
      <c r="BJ249" s="153">
        <f>IF((RD[[#This Row],[33kV_Aux1_Im (O2RE9)]]-AZ248)*1000&lt;0,"",(RD[[#This Row],[33kV_Aux1_Im (O2RE9)]]-AZ248)*1000)</f>
        <v>0</v>
      </c>
      <c r="BK249" s="153">
        <f>SUM(RD[[#This Row],[33kV_OG1_O2RE9_Energy (KWh)]],RD[[#This Row],[33kV_OG2_O2RE19_Energy (KWh)]])</f>
        <v>0</v>
      </c>
      <c r="BL249" s="62" t="str">
        <f>IFERROR(RD[[#This Row],[33 kV Total Export (KWH)]]/RD[[#This Row],[Inv Total Gneration (MWh)]]-1,"")</f>
        <v/>
      </c>
      <c r="BM249" s="63">
        <f>IFERROR((RD[[#This Row],[Sunset Time (POA&lt;20 W/m2)]]-RD[[#This Row],[Sunrise Time (POA&gt;20 W/m2)]])*24,0)</f>
        <v>0</v>
      </c>
      <c r="BN249" s="64">
        <f>SUM(RD[[#This Row],[33kV_OG1_O2RE9_Energy (KWh)]],RD[[#This Row],[33kV_OG2_O2RE19_Energy (KWh)]])</f>
        <v>0</v>
      </c>
      <c r="BO249" s="64">
        <f>IFERROR(RD[[#This Row],[ Export (33 kV)]]*(1-RD[[#This Row],[33 kV Line Loss (%)]]),RD[[#This Row],[ Export (33 kV)]])</f>
        <v>0</v>
      </c>
      <c r="BP249" s="189"/>
      <c r="BQ249" s="189"/>
      <c r="BR249" s="189"/>
      <c r="BS249" t="str">
        <f>IFERROR(RD[[#This Row],[E_AC (WPR)]]/RD[[#This Row],[E_DC (WPR)]],"")</f>
        <v/>
      </c>
    </row>
    <row r="250" spans="1:71">
      <c r="A250" s="147">
        <f t="shared" si="75"/>
        <v>46084</v>
      </c>
      <c r="B250" s="150">
        <f>YEAR(RD[[#This Row],[Date]])+IF(MONTH(RD[[#This Row],[Date]])&gt;=4,1,0)</f>
        <v>2026</v>
      </c>
      <c r="C250" s="150">
        <f>YEAR(RD[[#This Row],[Date]])</f>
        <v>2026</v>
      </c>
      <c r="D250" s="65">
        <f t="shared" si="74"/>
        <v>46082</v>
      </c>
      <c r="E250" s="150">
        <f>DAY(EOMONTH(RD[[#This Row],[Date]],0))</f>
        <v>31</v>
      </c>
      <c r="F250" s="171"/>
      <c r="G250" s="171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68"/>
      <c r="AF250" s="168"/>
      <c r="AG250" s="168"/>
      <c r="AH250" s="168"/>
      <c r="AI250" s="168"/>
      <c r="AJ250" s="168"/>
      <c r="AK250" s="168"/>
      <c r="AL250" s="168"/>
      <c r="AM250" s="71"/>
      <c r="AN250" s="71"/>
      <c r="AO250" s="71"/>
      <c r="AP250" s="71"/>
      <c r="AQ250" s="71"/>
      <c r="AR250" s="71"/>
      <c r="AS250" s="71"/>
      <c r="AT250" s="71"/>
      <c r="AU250" s="69">
        <f>SUM(RD[[#This Row],[IS2Inv1M1]:[IS4Inv1M3]])</f>
        <v>0</v>
      </c>
      <c r="AV250" s="69">
        <f>SUM(RD[[#This Row],[IS5Inv1M1]:[IS5Inv2M3]])</f>
        <v>0</v>
      </c>
      <c r="AW250" s="69">
        <f>SUM(RD[[#This Row],[O2RE9]:[O2RE192]])</f>
        <v>0</v>
      </c>
      <c r="AX250" s="149"/>
      <c r="AY250" s="161"/>
      <c r="AZ250" s="149"/>
      <c r="BA250" s="149"/>
      <c r="BB250" s="149"/>
      <c r="BC250" s="149"/>
      <c r="BD250" s="156" t="str">
        <f>IF((RD[[#This Row],[33 kV_F1_Ex (O2RE9)]]-AX249)*225000&lt;=0,"",(RD[[#This Row],[33 kV_F1_Ex (O2RE9)]]-AX249)*225000)</f>
        <v/>
      </c>
      <c r="BE250" s="153">
        <f>IF((RD[[#This Row],[33kV_OG1_Ex (O2RE9)]]-AY249)*1000&lt;=0,0,(RD[[#This Row],[33kV_OG1_Ex (O2RE9)]]-AY249)*1000)</f>
        <v>0</v>
      </c>
      <c r="BF250" s="153"/>
      <c r="BG250" s="153" t="str">
        <f>IF((RD[[#This Row],[33 kV_F2_Ex (O2RE19)]]-BA249)*150000&lt;=0,"",(RD[[#This Row],[33 kV_F2_Ex (O2RE19)]]-BA249)*150000)</f>
        <v/>
      </c>
      <c r="BH250" s="153">
        <f>IF((RD[[#This Row],[33kV_OG2_Ex (O2RE19)]]-BB249)*1000&lt;=0,0,(RD[[#This Row],[33kV_OG2_Ex (O2RE19)]]-BB249)*1000)</f>
        <v>0</v>
      </c>
      <c r="BI250" s="153">
        <f>IF((RD[[#This Row],[33kV_Aux2_Im (O2RE19)]]-BC249)*1000&lt;0,"",(RD[[#This Row],[33kV_Aux2_Im (O2RE19)]]-BC249)*1000)</f>
        <v>0</v>
      </c>
      <c r="BJ250" s="153">
        <f>IF((RD[[#This Row],[33kV_Aux1_Im (O2RE9)]]-AZ249)*1000&lt;0,"",(RD[[#This Row],[33kV_Aux1_Im (O2RE9)]]-AZ249)*1000)</f>
        <v>0</v>
      </c>
      <c r="BK250" s="153">
        <f>SUM(RD[[#This Row],[33kV_OG1_O2RE9_Energy (KWh)]],RD[[#This Row],[33kV_OG2_O2RE19_Energy (KWh)]])</f>
        <v>0</v>
      </c>
      <c r="BL250" s="62" t="str">
        <f>IFERROR(RD[[#This Row],[33 kV Total Export (KWH)]]/RD[[#This Row],[Inv Total Gneration (MWh)]]-1,"")</f>
        <v/>
      </c>
      <c r="BM250" s="63">
        <f>IFERROR((RD[[#This Row],[Sunset Time (POA&lt;20 W/m2)]]-RD[[#This Row],[Sunrise Time (POA&gt;20 W/m2)]])*24,0)</f>
        <v>0</v>
      </c>
      <c r="BN250" s="64">
        <f>SUM(RD[[#This Row],[33kV_OG1_O2RE9_Energy (KWh)]],RD[[#This Row],[33kV_OG2_O2RE19_Energy (KWh)]])</f>
        <v>0</v>
      </c>
      <c r="BO250" s="64">
        <f>IFERROR(RD[[#This Row],[ Export (33 kV)]]*(1-RD[[#This Row],[33 kV Line Loss (%)]]),RD[[#This Row],[ Export (33 kV)]])</f>
        <v>0</v>
      </c>
      <c r="BP250" s="191"/>
      <c r="BQ250" s="191"/>
      <c r="BR250" s="191"/>
      <c r="BS250" t="str">
        <f>IFERROR(RD[[#This Row],[E_AC (WPR)]]/RD[[#This Row],[E_DC (WPR)]],"")</f>
        <v/>
      </c>
    </row>
    <row r="251" spans="1:71">
      <c r="A251" s="147">
        <f t="shared" si="75"/>
        <v>46085</v>
      </c>
      <c r="B251" s="150">
        <f>YEAR(RD[[#This Row],[Date]])+IF(MONTH(RD[[#This Row],[Date]])&gt;=4,1,0)</f>
        <v>2026</v>
      </c>
      <c r="C251" s="150">
        <f>YEAR(RD[[#This Row],[Date]])</f>
        <v>2026</v>
      </c>
      <c r="D251" s="65">
        <f t="shared" si="74"/>
        <v>46082</v>
      </c>
      <c r="E251" s="150">
        <f>DAY(EOMONTH(RD[[#This Row],[Date]],0))</f>
        <v>31</v>
      </c>
      <c r="F251" s="171"/>
      <c r="G251" s="171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68"/>
      <c r="AF251" s="168"/>
      <c r="AG251" s="168"/>
      <c r="AH251" s="168"/>
      <c r="AI251" s="168"/>
      <c r="AJ251" s="168"/>
      <c r="AK251" s="168"/>
      <c r="AL251" s="168"/>
      <c r="AM251" s="71"/>
      <c r="AN251" s="71"/>
      <c r="AO251" s="71"/>
      <c r="AP251" s="71"/>
      <c r="AQ251" s="71"/>
      <c r="AR251" s="71"/>
      <c r="AS251" s="71"/>
      <c r="AT251" s="71"/>
      <c r="AU251" s="69">
        <f>SUM(RD[[#This Row],[IS2Inv1M1]:[IS4Inv1M3]])</f>
        <v>0</v>
      </c>
      <c r="AV251" s="69">
        <f>SUM(RD[[#This Row],[IS5Inv1M1]:[IS5Inv2M3]])</f>
        <v>0</v>
      </c>
      <c r="AW251" s="69">
        <f>SUM(RD[[#This Row],[O2RE9]:[O2RE192]])</f>
        <v>0</v>
      </c>
      <c r="AX251" s="162"/>
      <c r="AY251" s="163"/>
      <c r="AZ251" s="162"/>
      <c r="BA251" s="309"/>
      <c r="BB251" s="309"/>
      <c r="BC251" s="309"/>
      <c r="BD251" s="156" t="str">
        <f>IF((RD[[#This Row],[33 kV_F1_Ex (O2RE9)]]-AX250)*225000&lt;=0,"",(RD[[#This Row],[33 kV_F1_Ex (O2RE9)]]-AX250)*225000)</f>
        <v/>
      </c>
      <c r="BE251" s="153">
        <f>IF((RD[[#This Row],[33kV_OG1_Ex (O2RE9)]]-AY250)*1000&lt;=0,0,(RD[[#This Row],[33kV_OG1_Ex (O2RE9)]]-AY250)*1000)</f>
        <v>0</v>
      </c>
      <c r="BF251" s="153"/>
      <c r="BG251" s="153" t="str">
        <f>IF((RD[[#This Row],[33 kV_F2_Ex (O2RE19)]]-BA250)*150000&lt;=0,"",(RD[[#This Row],[33 kV_F2_Ex (O2RE19)]]-BA250)*150000)</f>
        <v/>
      </c>
      <c r="BH251" s="153">
        <f>IF((RD[[#This Row],[33kV_OG2_Ex (O2RE19)]]-BB250)*1000&lt;=0,0,(RD[[#This Row],[33kV_OG2_Ex (O2RE19)]]-BB250)*1000)</f>
        <v>0</v>
      </c>
      <c r="BI251" s="153">
        <f>IF((RD[[#This Row],[33kV_Aux2_Im (O2RE19)]]-BC250)*1000&lt;0,"",(RD[[#This Row],[33kV_Aux2_Im (O2RE19)]]-BC250)*1000)</f>
        <v>0</v>
      </c>
      <c r="BJ251" s="153">
        <f>IF((RD[[#This Row],[33kV_Aux1_Im (O2RE9)]]-AZ250)*1000&lt;0,"",(RD[[#This Row],[33kV_Aux1_Im (O2RE9)]]-AZ250)*1000)</f>
        <v>0</v>
      </c>
      <c r="BK251" s="153">
        <f>SUM(RD[[#This Row],[33kV_OG1_O2RE9_Energy (KWh)]],RD[[#This Row],[33kV_OG2_O2RE19_Energy (KWh)]])</f>
        <v>0</v>
      </c>
      <c r="BL251" s="62" t="str">
        <f>IFERROR(RD[[#This Row],[33 kV Total Export (KWH)]]/RD[[#This Row],[Inv Total Gneration (MWh)]]-1,"")</f>
        <v/>
      </c>
      <c r="BM251" s="63">
        <f>IFERROR((RD[[#This Row],[Sunset Time (POA&lt;20 W/m2)]]-RD[[#This Row],[Sunrise Time (POA&gt;20 W/m2)]])*24,0)</f>
        <v>0</v>
      </c>
      <c r="BN251" s="64">
        <f>SUM(RD[[#This Row],[33kV_OG1_O2RE9_Energy (KWh)]],RD[[#This Row],[33kV_OG2_O2RE19_Energy (KWh)]])</f>
        <v>0</v>
      </c>
      <c r="BO251" s="64">
        <f>IFERROR(RD[[#This Row],[ Export (33 kV)]]*(1-RD[[#This Row],[33 kV Line Loss (%)]]),RD[[#This Row],[ Export (33 kV)]])</f>
        <v>0</v>
      </c>
      <c r="BP251" s="191"/>
      <c r="BQ251" s="191"/>
      <c r="BR251" s="191"/>
      <c r="BS251" t="str">
        <f>IFERROR(RD[[#This Row],[E_AC (WPR)]]/RD[[#This Row],[E_DC (WPR)]],"")</f>
        <v/>
      </c>
    </row>
    <row r="252" spans="1:71">
      <c r="A252" s="147">
        <f t="shared" si="75"/>
        <v>46086</v>
      </c>
      <c r="B252" s="150">
        <f>YEAR(RD[[#This Row],[Date]])+IF(MONTH(RD[[#This Row],[Date]])&gt;=4,1,0)</f>
        <v>2026</v>
      </c>
      <c r="C252" s="150">
        <f>YEAR(RD[[#This Row],[Date]])</f>
        <v>2026</v>
      </c>
      <c r="D252" s="65">
        <f t="shared" si="74"/>
        <v>46082</v>
      </c>
      <c r="E252" s="150">
        <f>DAY(EOMONTH(RD[[#This Row],[Date]],0))</f>
        <v>31</v>
      </c>
      <c r="F252" s="171"/>
      <c r="G252" s="171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68"/>
      <c r="AF252" s="168"/>
      <c r="AG252" s="168"/>
      <c r="AH252" s="168"/>
      <c r="AI252" s="168"/>
      <c r="AJ252" s="168"/>
      <c r="AK252" s="168"/>
      <c r="AL252" s="168"/>
      <c r="AM252" s="71"/>
      <c r="AN252" s="71"/>
      <c r="AO252" s="71"/>
      <c r="AP252" s="71"/>
      <c r="AQ252" s="71"/>
      <c r="AR252" s="71"/>
      <c r="AS252" s="71"/>
      <c r="AT252" s="71"/>
      <c r="AU252" s="69">
        <f>SUM(RD[[#This Row],[IS2Inv1M1]:[IS4Inv1M3]])</f>
        <v>0</v>
      </c>
      <c r="AV252" s="69">
        <f>SUM(RD[[#This Row],[IS5Inv1M1]:[IS5Inv2M3]])</f>
        <v>0</v>
      </c>
      <c r="AW252" s="69">
        <f>SUM(RD[[#This Row],[O2RE9]:[O2RE192]])</f>
        <v>0</v>
      </c>
      <c r="AX252" s="149"/>
      <c r="AY252" s="149"/>
      <c r="AZ252" s="149"/>
      <c r="BA252" s="149"/>
      <c r="BB252" s="149"/>
      <c r="BC252" s="149"/>
      <c r="BD252" s="156" t="str">
        <f>IF((RD[[#This Row],[33 kV_F1_Ex (O2RE9)]]-AX251)*225000&lt;=0,"",(RD[[#This Row],[33 kV_F1_Ex (O2RE9)]]-AX251)*225000)</f>
        <v/>
      </c>
      <c r="BE252" s="153">
        <f>IF((RD[[#This Row],[33kV_OG1_Ex (O2RE9)]]-AY251)*1000&lt;=0,0,(RD[[#This Row],[33kV_OG1_Ex (O2RE9)]]-AY251)*1000)</f>
        <v>0</v>
      </c>
      <c r="BF252" s="153"/>
      <c r="BG252" s="153" t="str">
        <f>IF((RD[[#This Row],[33 kV_F2_Ex (O2RE19)]]-BA251)*150000&lt;=0,"",(RD[[#This Row],[33 kV_F2_Ex (O2RE19)]]-BA251)*150000)</f>
        <v/>
      </c>
      <c r="BH252" s="153">
        <f>IF((RD[[#This Row],[33kV_OG2_Ex (O2RE19)]]-BB251)*1000&lt;=0,0,(RD[[#This Row],[33kV_OG2_Ex (O2RE19)]]-BB251)*1000)</f>
        <v>0</v>
      </c>
      <c r="BI252" s="153">
        <f>IF((RD[[#This Row],[33kV_Aux2_Im (O2RE19)]]-BC251)*1000&lt;0,"",(RD[[#This Row],[33kV_Aux2_Im (O2RE19)]]-BC251)*1000)</f>
        <v>0</v>
      </c>
      <c r="BJ252" s="153">
        <f>IF((RD[[#This Row],[33kV_Aux1_Im (O2RE9)]]-AZ251)*1000&lt;0,"",(RD[[#This Row],[33kV_Aux1_Im (O2RE9)]]-AZ251)*1000)</f>
        <v>0</v>
      </c>
      <c r="BK252" s="153">
        <f>SUM(RD[[#This Row],[33kV_OG1_O2RE9_Energy (KWh)]],RD[[#This Row],[33kV_OG2_O2RE19_Energy (KWh)]])</f>
        <v>0</v>
      </c>
      <c r="BL252" s="62" t="str">
        <f>IFERROR(RD[[#This Row],[33 kV Total Export (KWH)]]/RD[[#This Row],[Inv Total Gneration (MWh)]]-1,"")</f>
        <v/>
      </c>
      <c r="BM252" s="63">
        <f>IFERROR((RD[[#This Row],[Sunset Time (POA&lt;20 W/m2)]]-RD[[#This Row],[Sunrise Time (POA&gt;20 W/m2)]])*24,0)</f>
        <v>0</v>
      </c>
      <c r="BN252" s="64">
        <f>SUM(RD[[#This Row],[33kV_OG1_O2RE9_Energy (KWh)]],RD[[#This Row],[33kV_OG2_O2RE19_Energy (KWh)]])</f>
        <v>0</v>
      </c>
      <c r="BO252" s="64">
        <f>IFERROR(RD[[#This Row],[ Export (33 kV)]]*(1-RD[[#This Row],[33 kV Line Loss (%)]]),RD[[#This Row],[ Export (33 kV)]])</f>
        <v>0</v>
      </c>
      <c r="BP252" s="189"/>
      <c r="BQ252" s="189"/>
      <c r="BR252" s="189"/>
      <c r="BS252" t="str">
        <f>IFERROR(RD[[#This Row],[E_AC (WPR)]]/RD[[#This Row],[E_DC (WPR)]],"")</f>
        <v/>
      </c>
    </row>
    <row r="253" spans="1:71">
      <c r="A253" s="147">
        <f t="shared" si="75"/>
        <v>46087</v>
      </c>
      <c r="B253" s="150">
        <f>YEAR(RD[[#This Row],[Date]])+IF(MONTH(RD[[#This Row],[Date]])&gt;=4,1,0)</f>
        <v>2026</v>
      </c>
      <c r="C253" s="150">
        <f>YEAR(RD[[#This Row],[Date]])</f>
        <v>2026</v>
      </c>
      <c r="D253" s="65">
        <f t="shared" si="74"/>
        <v>46082</v>
      </c>
      <c r="E253" s="150">
        <f>DAY(EOMONTH(RD[[#This Row],[Date]],0))</f>
        <v>31</v>
      </c>
      <c r="F253" s="171"/>
      <c r="G253" s="171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68"/>
      <c r="AF253" s="168"/>
      <c r="AG253" s="168"/>
      <c r="AH253" s="168"/>
      <c r="AI253" s="168"/>
      <c r="AJ253" s="168"/>
      <c r="AK253" s="168"/>
      <c r="AL253" s="168"/>
      <c r="AM253" s="71"/>
      <c r="AN253" s="71"/>
      <c r="AO253" s="71"/>
      <c r="AP253" s="71"/>
      <c r="AQ253" s="71"/>
      <c r="AR253" s="71"/>
      <c r="AS253" s="71"/>
      <c r="AT253" s="71"/>
      <c r="AU253" s="69">
        <f>SUM(RD[[#This Row],[IS2Inv1M1]:[IS4Inv1M3]])</f>
        <v>0</v>
      </c>
      <c r="AV253" s="69">
        <f>SUM(RD[[#This Row],[IS5Inv1M1]:[IS5Inv2M3]])</f>
        <v>0</v>
      </c>
      <c r="AW253" s="69">
        <f>SUM(RD[[#This Row],[O2RE9]:[O2RE192]])</f>
        <v>0</v>
      </c>
      <c r="AX253" s="149"/>
      <c r="AY253" s="149"/>
      <c r="AZ253" s="149"/>
      <c r="BA253" s="149"/>
      <c r="BB253" s="149"/>
      <c r="BC253" s="149"/>
      <c r="BD253" s="156" t="str">
        <f>IF((RD[[#This Row],[33 kV_F1_Ex (O2RE9)]]-AX252)*225000&lt;=0,"",(RD[[#This Row],[33 kV_F1_Ex (O2RE9)]]-AX252)*225000)</f>
        <v/>
      </c>
      <c r="BE253" s="153">
        <f>IF((RD[[#This Row],[33kV_OG1_Ex (O2RE9)]]-AY252)*1000&lt;=0,0,(RD[[#This Row],[33kV_OG1_Ex (O2RE9)]]-AY252)*1000)</f>
        <v>0</v>
      </c>
      <c r="BF253" s="153"/>
      <c r="BG253" s="153" t="str">
        <f>IF((RD[[#This Row],[33 kV_F2_Ex (O2RE19)]]-BA252)*150000&lt;=0,"",(RD[[#This Row],[33 kV_F2_Ex (O2RE19)]]-BA252)*150000)</f>
        <v/>
      </c>
      <c r="BH253" s="153">
        <f>IF((RD[[#This Row],[33kV_OG2_Ex (O2RE19)]]-BB252)*1000&lt;=0,0,(RD[[#This Row],[33kV_OG2_Ex (O2RE19)]]-BB252)*1000)</f>
        <v>0</v>
      </c>
      <c r="BI253" s="153">
        <f>IF((RD[[#This Row],[33kV_Aux2_Im (O2RE19)]]-BC252)*1000&lt;0,"",(RD[[#This Row],[33kV_Aux2_Im (O2RE19)]]-BC252)*1000)</f>
        <v>0</v>
      </c>
      <c r="BJ253" s="153">
        <f>IF((RD[[#This Row],[33kV_Aux1_Im (O2RE9)]]-AZ252)*1000&lt;0,"",(RD[[#This Row],[33kV_Aux1_Im (O2RE9)]]-AZ252)*1000)</f>
        <v>0</v>
      </c>
      <c r="BK253" s="153">
        <f>SUM(RD[[#This Row],[33kV_OG1_O2RE9_Energy (KWh)]],RD[[#This Row],[33kV_OG2_O2RE19_Energy (KWh)]])</f>
        <v>0</v>
      </c>
      <c r="BL253" s="62" t="str">
        <f>IFERROR(RD[[#This Row],[33 kV Total Export (KWH)]]/RD[[#This Row],[Inv Total Gneration (MWh)]]-1,"")</f>
        <v/>
      </c>
      <c r="BM253" s="63">
        <f>IFERROR((RD[[#This Row],[Sunset Time (POA&lt;20 W/m2)]]-RD[[#This Row],[Sunrise Time (POA&gt;20 W/m2)]])*24,0)</f>
        <v>0</v>
      </c>
      <c r="BN253" s="64">
        <f>SUM(RD[[#This Row],[33kV_OG1_O2RE9_Energy (KWh)]],RD[[#This Row],[33kV_OG2_O2RE19_Energy (KWh)]])</f>
        <v>0</v>
      </c>
      <c r="BO253" s="64">
        <f>IFERROR(RD[[#This Row],[ Export (33 kV)]]*(1-RD[[#This Row],[33 kV Line Loss (%)]]),RD[[#This Row],[ Export (33 kV)]])</f>
        <v>0</v>
      </c>
      <c r="BP253" s="189"/>
      <c r="BQ253" s="189"/>
      <c r="BR253" s="189"/>
      <c r="BS253" t="str">
        <f>IFERROR(RD[[#This Row],[E_AC (WPR)]]/RD[[#This Row],[E_DC (WPR)]],"")</f>
        <v/>
      </c>
    </row>
    <row r="254" spans="1:71">
      <c r="A254" s="147">
        <f t="shared" si="75"/>
        <v>46088</v>
      </c>
      <c r="B254" s="150">
        <f>YEAR(RD[[#This Row],[Date]])+IF(MONTH(RD[[#This Row],[Date]])&gt;=4,1,0)</f>
        <v>2026</v>
      </c>
      <c r="C254" s="150">
        <f>YEAR(RD[[#This Row],[Date]])</f>
        <v>2026</v>
      </c>
      <c r="D254" s="65">
        <f t="shared" si="74"/>
        <v>46082</v>
      </c>
      <c r="E254" s="150">
        <f>DAY(EOMONTH(RD[[#This Row],[Date]],0))</f>
        <v>31</v>
      </c>
      <c r="F254" s="171"/>
      <c r="G254" s="171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68"/>
      <c r="AF254" s="168"/>
      <c r="AG254" s="168"/>
      <c r="AH254" s="168"/>
      <c r="AI254" s="168"/>
      <c r="AJ254" s="168"/>
      <c r="AK254" s="168"/>
      <c r="AL254" s="168"/>
      <c r="AM254" s="71"/>
      <c r="AN254" s="71"/>
      <c r="AO254" s="71"/>
      <c r="AP254" s="71"/>
      <c r="AQ254" s="71"/>
      <c r="AR254" s="71"/>
      <c r="AS254" s="71"/>
      <c r="AT254" s="71"/>
      <c r="AU254" s="69">
        <f>SUM(RD[[#This Row],[IS2Inv1M1]:[IS4Inv1M3]])</f>
        <v>0</v>
      </c>
      <c r="AV254" s="69">
        <f>SUM(RD[[#This Row],[IS5Inv1M1]:[IS5Inv2M3]])</f>
        <v>0</v>
      </c>
      <c r="AW254" s="69">
        <f>SUM(RD[[#This Row],[O2RE9]:[O2RE192]])</f>
        <v>0</v>
      </c>
      <c r="AX254" s="149"/>
      <c r="AY254" s="149"/>
      <c r="AZ254" s="149"/>
      <c r="BA254" s="149"/>
      <c r="BB254" s="149"/>
      <c r="BC254" s="149"/>
      <c r="BD254" s="156" t="str">
        <f>IF((RD[[#This Row],[33 kV_F1_Ex (O2RE9)]]-AX253)*225000&lt;=0,"",(RD[[#This Row],[33 kV_F1_Ex (O2RE9)]]-AX253)*225000)</f>
        <v/>
      </c>
      <c r="BE254" s="153">
        <f>IF((RD[[#This Row],[33kV_OG1_Ex (O2RE9)]]-AY253)*1000&lt;=0,0,(RD[[#This Row],[33kV_OG1_Ex (O2RE9)]]-AY253)*1000)</f>
        <v>0</v>
      </c>
      <c r="BF254" s="153"/>
      <c r="BG254" s="153" t="str">
        <f>IF((RD[[#This Row],[33 kV_F2_Ex (O2RE19)]]-BA253)*150000&lt;=0,"",(RD[[#This Row],[33 kV_F2_Ex (O2RE19)]]-BA253)*150000)</f>
        <v/>
      </c>
      <c r="BH254" s="153">
        <f>IF((RD[[#This Row],[33kV_OG2_Ex (O2RE19)]]-BB253)*1000&lt;=0,0,(RD[[#This Row],[33kV_OG2_Ex (O2RE19)]]-BB253)*1000)</f>
        <v>0</v>
      </c>
      <c r="BI254" s="153">
        <f>IF((RD[[#This Row],[33kV_Aux2_Im (O2RE19)]]-BC253)*1000&lt;0,"",(RD[[#This Row],[33kV_Aux2_Im (O2RE19)]]-BC253)*1000)</f>
        <v>0</v>
      </c>
      <c r="BJ254" s="153">
        <f>IF((RD[[#This Row],[33kV_Aux1_Im (O2RE9)]]-AZ253)*1000&lt;0,"",(RD[[#This Row],[33kV_Aux1_Im (O2RE9)]]-AZ253)*1000)</f>
        <v>0</v>
      </c>
      <c r="BK254" s="153">
        <f>SUM(RD[[#This Row],[33kV_OG1_O2RE9_Energy (KWh)]],RD[[#This Row],[33kV_OG2_O2RE19_Energy (KWh)]])</f>
        <v>0</v>
      </c>
      <c r="BL254" s="62" t="str">
        <f>IFERROR(RD[[#This Row],[33 kV Total Export (KWH)]]/RD[[#This Row],[Inv Total Gneration (MWh)]]-1,"")</f>
        <v/>
      </c>
      <c r="BM254" s="63">
        <f>IFERROR((RD[[#This Row],[Sunset Time (POA&lt;20 W/m2)]]-RD[[#This Row],[Sunrise Time (POA&gt;20 W/m2)]])*24,0)</f>
        <v>0</v>
      </c>
      <c r="BN254" s="64">
        <f>SUM(RD[[#This Row],[33kV_OG1_O2RE9_Energy (KWh)]],RD[[#This Row],[33kV_OG2_O2RE19_Energy (KWh)]])</f>
        <v>0</v>
      </c>
      <c r="BO254" s="64">
        <f>IFERROR(RD[[#This Row],[ Export (33 kV)]]*(1-RD[[#This Row],[33 kV Line Loss (%)]]),RD[[#This Row],[ Export (33 kV)]])</f>
        <v>0</v>
      </c>
      <c r="BP254" s="189"/>
      <c r="BQ254" s="189"/>
      <c r="BR254" s="189"/>
      <c r="BS254" t="str">
        <f>IFERROR(RD[[#This Row],[E_AC (WPR)]]/RD[[#This Row],[E_DC (WPR)]],"")</f>
        <v/>
      </c>
    </row>
    <row r="255" spans="1:71">
      <c r="A255" s="147">
        <f t="shared" si="75"/>
        <v>46089</v>
      </c>
      <c r="B255" s="150">
        <f>YEAR(RD[[#This Row],[Date]])+IF(MONTH(RD[[#This Row],[Date]])&gt;=4,1,0)</f>
        <v>2026</v>
      </c>
      <c r="C255" s="150">
        <f>YEAR(RD[[#This Row],[Date]])</f>
        <v>2026</v>
      </c>
      <c r="D255" s="65">
        <f t="shared" si="74"/>
        <v>46082</v>
      </c>
      <c r="E255" s="150">
        <f>DAY(EOMONTH(RD[[#This Row],[Date]],0))</f>
        <v>31</v>
      </c>
      <c r="F255" s="171"/>
      <c r="G255" s="171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68"/>
      <c r="AF255" s="168"/>
      <c r="AG255" s="168"/>
      <c r="AH255" s="168"/>
      <c r="AI255" s="168"/>
      <c r="AJ255" s="168"/>
      <c r="AK255" s="168"/>
      <c r="AL255" s="168"/>
      <c r="AM255" s="71"/>
      <c r="AN255" s="71"/>
      <c r="AO255" s="71"/>
      <c r="AP255" s="71"/>
      <c r="AQ255" s="71"/>
      <c r="AR255" s="71"/>
      <c r="AS255" s="71"/>
      <c r="AT255" s="71"/>
      <c r="AU255" s="69">
        <f>SUM(RD[[#This Row],[IS2Inv1M1]:[IS4Inv1M3]])</f>
        <v>0</v>
      </c>
      <c r="AV255" s="69">
        <f>SUM(RD[[#This Row],[IS5Inv1M1]:[IS5Inv2M3]])</f>
        <v>0</v>
      </c>
      <c r="AW255" s="69">
        <f>SUM(RD[[#This Row],[O2RE9]:[O2RE192]])</f>
        <v>0</v>
      </c>
      <c r="AX255" s="149"/>
      <c r="AY255" s="149"/>
      <c r="AZ255" s="149"/>
      <c r="BA255" s="149"/>
      <c r="BB255" s="149"/>
      <c r="BC255" s="149"/>
      <c r="BD255" s="156" t="str">
        <f>IF((RD[[#This Row],[33 kV_F1_Ex (O2RE9)]]-AX254)*225000&lt;=0,"",(RD[[#This Row],[33 kV_F1_Ex (O2RE9)]]-AX254)*225000)</f>
        <v/>
      </c>
      <c r="BE255" s="153">
        <f>IF((RD[[#This Row],[33kV_OG1_Ex (O2RE9)]]-AY254)*1000&lt;=0,0,(RD[[#This Row],[33kV_OG1_Ex (O2RE9)]]-AY254)*1000)</f>
        <v>0</v>
      </c>
      <c r="BF255" s="153"/>
      <c r="BG255" s="153" t="str">
        <f>IF((RD[[#This Row],[33 kV_F2_Ex (O2RE19)]]-BA254)*150000&lt;=0,"",(RD[[#This Row],[33 kV_F2_Ex (O2RE19)]]-BA254)*150000)</f>
        <v/>
      </c>
      <c r="BH255" s="153">
        <f>IF((RD[[#This Row],[33kV_OG2_Ex (O2RE19)]]-BB254)*1000&lt;=0,0,(RD[[#This Row],[33kV_OG2_Ex (O2RE19)]]-BB254)*1000)</f>
        <v>0</v>
      </c>
      <c r="BI255" s="153">
        <f>IF((RD[[#This Row],[33kV_Aux2_Im (O2RE19)]]-BC254)*1000&lt;0,"",(RD[[#This Row],[33kV_Aux2_Im (O2RE19)]]-BC254)*1000)</f>
        <v>0</v>
      </c>
      <c r="BJ255" s="153">
        <f>IF((RD[[#This Row],[33kV_Aux1_Im (O2RE9)]]-AZ254)*1000&lt;0,"",(RD[[#This Row],[33kV_Aux1_Im (O2RE9)]]-AZ254)*1000)</f>
        <v>0</v>
      </c>
      <c r="BK255" s="153">
        <f>SUM(RD[[#This Row],[33kV_OG1_O2RE9_Energy (KWh)]],RD[[#This Row],[33kV_OG2_O2RE19_Energy (KWh)]])</f>
        <v>0</v>
      </c>
      <c r="BL255" s="62" t="str">
        <f>IFERROR(RD[[#This Row],[33 kV Total Export (KWH)]]/RD[[#This Row],[Inv Total Gneration (MWh)]]-1,"")</f>
        <v/>
      </c>
      <c r="BM255" s="63">
        <f>IFERROR((RD[[#This Row],[Sunset Time (POA&lt;20 W/m2)]]-RD[[#This Row],[Sunrise Time (POA&gt;20 W/m2)]])*24,0)</f>
        <v>0</v>
      </c>
      <c r="BN255" s="64">
        <f>SUM(RD[[#This Row],[33kV_OG1_O2RE9_Energy (KWh)]],RD[[#This Row],[33kV_OG2_O2RE19_Energy (KWh)]])</f>
        <v>0</v>
      </c>
      <c r="BO255" s="64">
        <f>IFERROR(RD[[#This Row],[ Export (33 kV)]]*(1-RD[[#This Row],[33 kV Line Loss (%)]]),RD[[#This Row],[ Export (33 kV)]])</f>
        <v>0</v>
      </c>
      <c r="BP255" s="189"/>
      <c r="BQ255" s="189"/>
      <c r="BR255" s="189"/>
      <c r="BS255" t="str">
        <f>IFERROR(RD[[#This Row],[E_AC (WPR)]]/RD[[#This Row],[E_DC (WPR)]],"")</f>
        <v/>
      </c>
    </row>
    <row r="256" spans="1:71">
      <c r="A256" s="147">
        <f t="shared" si="75"/>
        <v>46090</v>
      </c>
      <c r="B256" s="150">
        <f>YEAR(RD[[#This Row],[Date]])+IF(MONTH(RD[[#This Row],[Date]])&gt;=4,1,0)</f>
        <v>2026</v>
      </c>
      <c r="C256" s="150">
        <f>YEAR(RD[[#This Row],[Date]])</f>
        <v>2026</v>
      </c>
      <c r="D256" s="65">
        <f t="shared" si="74"/>
        <v>46082</v>
      </c>
      <c r="E256" s="150">
        <f>DAY(EOMONTH(RD[[#This Row],[Date]],0))</f>
        <v>31</v>
      </c>
      <c r="F256" s="171"/>
      <c r="G256" s="171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68"/>
      <c r="AF256" s="168"/>
      <c r="AG256" s="168"/>
      <c r="AH256" s="168"/>
      <c r="AI256" s="168"/>
      <c r="AJ256" s="168"/>
      <c r="AK256" s="168"/>
      <c r="AL256" s="168"/>
      <c r="AM256" s="71"/>
      <c r="AN256" s="71"/>
      <c r="AO256" s="71"/>
      <c r="AP256" s="71"/>
      <c r="AQ256" s="71"/>
      <c r="AR256" s="71"/>
      <c r="AS256" s="71"/>
      <c r="AT256" s="71"/>
      <c r="AU256" s="69">
        <f>SUM(RD[[#This Row],[IS2Inv1M1]:[IS4Inv1M3]])</f>
        <v>0</v>
      </c>
      <c r="AV256" s="69">
        <f>SUM(RD[[#This Row],[IS5Inv1M1]:[IS5Inv2M3]])</f>
        <v>0</v>
      </c>
      <c r="AW256" s="69">
        <f>SUM(RD[[#This Row],[O2RE9]:[O2RE192]])</f>
        <v>0</v>
      </c>
      <c r="AX256" s="149"/>
      <c r="AY256" s="149"/>
      <c r="AZ256" s="149"/>
      <c r="BA256" s="149"/>
      <c r="BB256" s="149"/>
      <c r="BC256" s="149"/>
      <c r="BD256" s="156" t="str">
        <f>IF((RD[[#This Row],[33 kV_F1_Ex (O2RE9)]]-AX255)*225000&lt;=0,"",(RD[[#This Row],[33 kV_F1_Ex (O2RE9)]]-AX255)*225000)</f>
        <v/>
      </c>
      <c r="BE256" s="153">
        <f>IF((RD[[#This Row],[33kV_OG1_Ex (O2RE9)]]-AY255)*1000&lt;=0,0,(RD[[#This Row],[33kV_OG1_Ex (O2RE9)]]-AY255)*1000)</f>
        <v>0</v>
      </c>
      <c r="BF256" s="153"/>
      <c r="BG256" s="153" t="str">
        <f>IF((RD[[#This Row],[33 kV_F2_Ex (O2RE19)]]-BA255)*150000&lt;=0,"",(RD[[#This Row],[33 kV_F2_Ex (O2RE19)]]-BA255)*150000)</f>
        <v/>
      </c>
      <c r="BH256" s="153">
        <f>IF((RD[[#This Row],[33kV_OG2_Ex (O2RE19)]]-BB255)*1000&lt;=0,0,(RD[[#This Row],[33kV_OG2_Ex (O2RE19)]]-BB255)*1000)</f>
        <v>0</v>
      </c>
      <c r="BI256" s="153">
        <f>IF((RD[[#This Row],[33kV_Aux2_Im (O2RE19)]]-BC255)*1000&lt;0,"",(RD[[#This Row],[33kV_Aux2_Im (O2RE19)]]-BC255)*1000)</f>
        <v>0</v>
      </c>
      <c r="BJ256" s="153">
        <f>IF((RD[[#This Row],[33kV_Aux1_Im (O2RE9)]]-AZ255)*1000&lt;0,"",(RD[[#This Row],[33kV_Aux1_Im (O2RE9)]]-AZ255)*1000)</f>
        <v>0</v>
      </c>
      <c r="BK256" s="153">
        <f>SUM(RD[[#This Row],[33kV_OG1_O2RE9_Energy (KWh)]],RD[[#This Row],[33kV_OG2_O2RE19_Energy (KWh)]])</f>
        <v>0</v>
      </c>
      <c r="BL256" s="62" t="str">
        <f>IFERROR(RD[[#This Row],[33 kV Total Export (KWH)]]/RD[[#This Row],[Inv Total Gneration (MWh)]]-1,"")</f>
        <v/>
      </c>
      <c r="BM256" s="63">
        <f>IFERROR((RD[[#This Row],[Sunset Time (POA&lt;20 W/m2)]]-RD[[#This Row],[Sunrise Time (POA&gt;20 W/m2)]])*24,0)</f>
        <v>0</v>
      </c>
      <c r="BN256" s="64">
        <f>SUM(RD[[#This Row],[33kV_OG1_O2RE9_Energy (KWh)]],RD[[#This Row],[33kV_OG2_O2RE19_Energy (KWh)]])</f>
        <v>0</v>
      </c>
      <c r="BO256" s="64">
        <f>IFERROR(RD[[#This Row],[ Export (33 kV)]]*(1-RD[[#This Row],[33 kV Line Loss (%)]]),RD[[#This Row],[ Export (33 kV)]])</f>
        <v>0</v>
      </c>
      <c r="BP256" s="189"/>
      <c r="BQ256" s="189"/>
      <c r="BR256" s="189"/>
      <c r="BS256" t="str">
        <f>IFERROR(RD[[#This Row],[E_AC (WPR)]]/RD[[#This Row],[E_DC (WPR)]],"")</f>
        <v/>
      </c>
    </row>
    <row r="257" spans="1:71">
      <c r="A257" s="147">
        <f t="shared" si="75"/>
        <v>46091</v>
      </c>
      <c r="B257" s="150">
        <f>YEAR(RD[[#This Row],[Date]])+IF(MONTH(RD[[#This Row],[Date]])&gt;=4,1,0)</f>
        <v>2026</v>
      </c>
      <c r="C257" s="150">
        <f>YEAR(RD[[#This Row],[Date]])</f>
        <v>2026</v>
      </c>
      <c r="D257" s="65">
        <f t="shared" si="74"/>
        <v>46082</v>
      </c>
      <c r="E257" s="150">
        <f>DAY(EOMONTH(RD[[#This Row],[Date]],0))</f>
        <v>31</v>
      </c>
      <c r="F257" s="171"/>
      <c r="G257" s="171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68"/>
      <c r="AF257" s="168"/>
      <c r="AG257" s="168"/>
      <c r="AH257" s="168"/>
      <c r="AI257" s="168"/>
      <c r="AJ257" s="168"/>
      <c r="AK257" s="168"/>
      <c r="AL257" s="168"/>
      <c r="AM257" s="71"/>
      <c r="AN257" s="71"/>
      <c r="AO257" s="71"/>
      <c r="AP257" s="71"/>
      <c r="AQ257" s="71"/>
      <c r="AR257" s="71"/>
      <c r="AS257" s="71"/>
      <c r="AT257" s="71"/>
      <c r="AU257" s="69">
        <f>SUM(RD[[#This Row],[IS2Inv1M1]:[IS4Inv1M3]])</f>
        <v>0</v>
      </c>
      <c r="AV257" s="69">
        <f>SUM(RD[[#This Row],[IS5Inv1M1]:[IS5Inv2M3]])</f>
        <v>0</v>
      </c>
      <c r="AW257" s="69">
        <f>SUM(RD[[#This Row],[O2RE9]:[O2RE192]])</f>
        <v>0</v>
      </c>
      <c r="AX257" s="149"/>
      <c r="AY257" s="149"/>
      <c r="AZ257" s="149"/>
      <c r="BA257" s="149"/>
      <c r="BB257" s="149"/>
      <c r="BC257" s="149"/>
      <c r="BD257" s="156" t="str">
        <f>IF((RD[[#This Row],[33 kV_F1_Ex (O2RE9)]]-AX256)*225000&lt;=0,"",(RD[[#This Row],[33 kV_F1_Ex (O2RE9)]]-AX256)*225000)</f>
        <v/>
      </c>
      <c r="BE257" s="153">
        <f>IF((RD[[#This Row],[33kV_OG1_Ex (O2RE9)]]-AY256)*1000&lt;=0,0,(RD[[#This Row],[33kV_OG1_Ex (O2RE9)]]-AY256)*1000)</f>
        <v>0</v>
      </c>
      <c r="BF257" s="153"/>
      <c r="BG257" s="153" t="str">
        <f>IF((RD[[#This Row],[33 kV_F2_Ex (O2RE19)]]-BA256)*150000&lt;=0,"",(RD[[#This Row],[33 kV_F2_Ex (O2RE19)]]-BA256)*150000)</f>
        <v/>
      </c>
      <c r="BH257" s="153">
        <f>IF((RD[[#This Row],[33kV_OG2_Ex (O2RE19)]]-BB256)*1000&lt;=0,0,(RD[[#This Row],[33kV_OG2_Ex (O2RE19)]]-BB256)*1000)</f>
        <v>0</v>
      </c>
      <c r="BI257" s="153">
        <f>IF((RD[[#This Row],[33kV_Aux2_Im (O2RE19)]]-BC256)*1000&lt;0,"",(RD[[#This Row],[33kV_Aux2_Im (O2RE19)]]-BC256)*1000)</f>
        <v>0</v>
      </c>
      <c r="BJ257" s="153">
        <f>IF((RD[[#This Row],[33kV_Aux1_Im (O2RE9)]]-AZ256)*1000&lt;0,"",(RD[[#This Row],[33kV_Aux1_Im (O2RE9)]]-AZ256)*1000)</f>
        <v>0</v>
      </c>
      <c r="BK257" s="153">
        <f>SUM(RD[[#This Row],[33kV_OG1_O2RE9_Energy (KWh)]],RD[[#This Row],[33kV_OG2_O2RE19_Energy (KWh)]])</f>
        <v>0</v>
      </c>
      <c r="BL257" s="62" t="str">
        <f>IFERROR(RD[[#This Row],[33 kV Total Export (KWH)]]/RD[[#This Row],[Inv Total Gneration (MWh)]]-1,"")</f>
        <v/>
      </c>
      <c r="BM257" s="63">
        <f>IFERROR((RD[[#This Row],[Sunset Time (POA&lt;20 W/m2)]]-RD[[#This Row],[Sunrise Time (POA&gt;20 W/m2)]])*24,0)</f>
        <v>0</v>
      </c>
      <c r="BN257" s="64">
        <f>SUM(RD[[#This Row],[33kV_OG1_O2RE9_Energy (KWh)]],RD[[#This Row],[33kV_OG2_O2RE19_Energy (KWh)]])</f>
        <v>0</v>
      </c>
      <c r="BO257" s="64">
        <f>IFERROR(RD[[#This Row],[ Export (33 kV)]]*(1-RD[[#This Row],[33 kV Line Loss (%)]]),RD[[#This Row],[ Export (33 kV)]])</f>
        <v>0</v>
      </c>
      <c r="BP257" s="189"/>
      <c r="BQ257" s="189"/>
      <c r="BR257" s="189"/>
      <c r="BS257" t="str">
        <f>IFERROR(RD[[#This Row],[E_AC (WPR)]]/RD[[#This Row],[E_DC (WPR)]],"")</f>
        <v/>
      </c>
    </row>
    <row r="258" spans="1:71">
      <c r="A258" s="147">
        <f t="shared" si="75"/>
        <v>46092</v>
      </c>
      <c r="B258" s="150">
        <f>YEAR(RD[[#This Row],[Date]])+IF(MONTH(RD[[#This Row],[Date]])&gt;=4,1,0)</f>
        <v>2026</v>
      </c>
      <c r="C258" s="150">
        <f>YEAR(RD[[#This Row],[Date]])</f>
        <v>2026</v>
      </c>
      <c r="D258" s="65">
        <f t="shared" si="74"/>
        <v>46082</v>
      </c>
      <c r="E258" s="150">
        <f>DAY(EOMONTH(RD[[#This Row],[Date]],0))</f>
        <v>31</v>
      </c>
      <c r="F258" s="171"/>
      <c r="G258" s="171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68"/>
      <c r="AF258" s="168"/>
      <c r="AG258" s="168"/>
      <c r="AH258" s="168"/>
      <c r="AI258" s="168"/>
      <c r="AJ258" s="168"/>
      <c r="AK258" s="168"/>
      <c r="AL258" s="168"/>
      <c r="AM258" s="71"/>
      <c r="AN258" s="71"/>
      <c r="AO258" s="71"/>
      <c r="AP258" s="71"/>
      <c r="AQ258" s="71"/>
      <c r="AR258" s="71"/>
      <c r="AS258" s="71"/>
      <c r="AT258" s="71"/>
      <c r="AU258" s="69">
        <f>SUM(RD[[#This Row],[IS2Inv1M1]:[IS4Inv1M3]])</f>
        <v>0</v>
      </c>
      <c r="AV258" s="69">
        <f>SUM(RD[[#This Row],[IS5Inv1M1]:[IS5Inv2M3]])</f>
        <v>0</v>
      </c>
      <c r="AW258" s="69">
        <f>SUM(RD[[#This Row],[O2RE9]:[O2RE192]])</f>
        <v>0</v>
      </c>
      <c r="AX258" s="149"/>
      <c r="AY258" s="149"/>
      <c r="AZ258" s="149"/>
      <c r="BA258" s="149"/>
      <c r="BB258" s="149"/>
      <c r="BC258" s="149"/>
      <c r="BD258" s="156" t="str">
        <f>IF((RD[[#This Row],[33 kV_F1_Ex (O2RE9)]]-AX257)*225000&lt;=0,"",(RD[[#This Row],[33 kV_F1_Ex (O2RE9)]]-AX257)*225000)</f>
        <v/>
      </c>
      <c r="BE258" s="153">
        <f>IF((RD[[#This Row],[33kV_OG1_Ex (O2RE9)]]-AY257)*1000&lt;=0,0,(RD[[#This Row],[33kV_OG1_Ex (O2RE9)]]-AY257)*1000)</f>
        <v>0</v>
      </c>
      <c r="BF258" s="153"/>
      <c r="BG258" s="153" t="str">
        <f>IF((RD[[#This Row],[33 kV_F2_Ex (O2RE19)]]-BA257)*150000&lt;=0,"",(RD[[#This Row],[33 kV_F2_Ex (O2RE19)]]-BA257)*150000)</f>
        <v/>
      </c>
      <c r="BH258" s="153">
        <f>IF((RD[[#This Row],[33kV_OG2_Ex (O2RE19)]]-BB257)*1000&lt;=0,0,(RD[[#This Row],[33kV_OG2_Ex (O2RE19)]]-BB257)*1000)</f>
        <v>0</v>
      </c>
      <c r="BI258" s="153">
        <f>IF((RD[[#This Row],[33kV_Aux2_Im (O2RE19)]]-BC257)*1000&lt;0,"",(RD[[#This Row],[33kV_Aux2_Im (O2RE19)]]-BC257)*1000)</f>
        <v>0</v>
      </c>
      <c r="BJ258" s="153">
        <f>IF((RD[[#This Row],[33kV_Aux1_Im (O2RE9)]]-AZ257)*1000&lt;0,"",(RD[[#This Row],[33kV_Aux1_Im (O2RE9)]]-AZ257)*1000)</f>
        <v>0</v>
      </c>
      <c r="BK258" s="153">
        <f>SUM(RD[[#This Row],[33kV_OG1_O2RE9_Energy (KWh)]],RD[[#This Row],[33kV_OG2_O2RE19_Energy (KWh)]])</f>
        <v>0</v>
      </c>
      <c r="BL258" s="62" t="str">
        <f>IFERROR(RD[[#This Row],[33 kV Total Export (KWH)]]/RD[[#This Row],[Inv Total Gneration (MWh)]]-1,"")</f>
        <v/>
      </c>
      <c r="BM258" s="63">
        <f>IFERROR((RD[[#This Row],[Sunset Time (POA&lt;20 W/m2)]]-RD[[#This Row],[Sunrise Time (POA&gt;20 W/m2)]])*24,0)</f>
        <v>0</v>
      </c>
      <c r="BN258" s="64">
        <f>SUM(RD[[#This Row],[33kV_OG1_O2RE9_Energy (KWh)]],RD[[#This Row],[33kV_OG2_O2RE19_Energy (KWh)]])</f>
        <v>0</v>
      </c>
      <c r="BO258" s="64">
        <f>IFERROR(RD[[#This Row],[ Export (33 kV)]]*(1-RD[[#This Row],[33 kV Line Loss (%)]]),RD[[#This Row],[ Export (33 kV)]])</f>
        <v>0</v>
      </c>
      <c r="BP258" s="189"/>
      <c r="BQ258" s="189"/>
      <c r="BR258" s="189"/>
      <c r="BS258" t="str">
        <f>IFERROR(RD[[#This Row],[E_AC (WPR)]]/RD[[#This Row],[E_DC (WPR)]],"")</f>
        <v/>
      </c>
    </row>
    <row r="259" spans="1:71">
      <c r="A259" s="147">
        <f t="shared" si="75"/>
        <v>46093</v>
      </c>
      <c r="B259" s="150">
        <f>YEAR(RD[[#This Row],[Date]])+IF(MONTH(RD[[#This Row],[Date]])&gt;=4,1,0)</f>
        <v>2026</v>
      </c>
      <c r="C259" s="150">
        <f>YEAR(RD[[#This Row],[Date]])</f>
        <v>2026</v>
      </c>
      <c r="D259" s="65">
        <f t="shared" si="74"/>
        <v>46082</v>
      </c>
      <c r="E259" s="150">
        <f>DAY(EOMONTH(RD[[#This Row],[Date]],0))</f>
        <v>31</v>
      </c>
      <c r="F259" s="171"/>
      <c r="G259" s="171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68"/>
      <c r="AF259" s="168"/>
      <c r="AG259" s="168"/>
      <c r="AH259" s="168"/>
      <c r="AI259" s="168"/>
      <c r="AJ259" s="168"/>
      <c r="AK259" s="168"/>
      <c r="AL259" s="168"/>
      <c r="AM259" s="71"/>
      <c r="AN259" s="71"/>
      <c r="AO259" s="71"/>
      <c r="AP259" s="71"/>
      <c r="AQ259" s="71"/>
      <c r="AR259" s="71"/>
      <c r="AS259" s="71"/>
      <c r="AT259" s="71"/>
      <c r="AU259" s="69">
        <f>SUM(RD[[#This Row],[IS2Inv1M1]:[IS4Inv1M3]])</f>
        <v>0</v>
      </c>
      <c r="AV259" s="69">
        <f>SUM(RD[[#This Row],[IS5Inv1M1]:[IS5Inv2M3]])</f>
        <v>0</v>
      </c>
      <c r="AW259" s="69">
        <f>SUM(RD[[#This Row],[O2RE9]:[O2RE192]])</f>
        <v>0</v>
      </c>
      <c r="AX259" s="149"/>
      <c r="AY259" s="149"/>
      <c r="AZ259" s="149"/>
      <c r="BA259" s="149"/>
      <c r="BB259" s="149"/>
      <c r="BC259" s="149"/>
      <c r="BD259" s="156" t="str">
        <f>IF((RD[[#This Row],[33 kV_F1_Ex (O2RE9)]]-AX258)*225000&lt;=0,"",(RD[[#This Row],[33 kV_F1_Ex (O2RE9)]]-AX258)*225000)</f>
        <v/>
      </c>
      <c r="BE259" s="153">
        <f>IF((RD[[#This Row],[33kV_OG1_Ex (O2RE9)]]-AY258)*1000&lt;=0,0,(RD[[#This Row],[33kV_OG1_Ex (O2RE9)]]-AY258)*1000)</f>
        <v>0</v>
      </c>
      <c r="BF259" s="153"/>
      <c r="BG259" s="153" t="str">
        <f>IF((RD[[#This Row],[33 kV_F2_Ex (O2RE19)]]-BA258)*150000&lt;=0,"",(RD[[#This Row],[33 kV_F2_Ex (O2RE19)]]-BA258)*150000)</f>
        <v/>
      </c>
      <c r="BH259" s="153">
        <f>IF((RD[[#This Row],[33kV_OG2_Ex (O2RE19)]]-BB258)*1000&lt;=0,0,(RD[[#This Row],[33kV_OG2_Ex (O2RE19)]]-BB258)*1000)</f>
        <v>0</v>
      </c>
      <c r="BI259" s="153">
        <f>IF((RD[[#This Row],[33kV_Aux2_Im (O2RE19)]]-BC258)*1000&lt;0,"",(RD[[#This Row],[33kV_Aux2_Im (O2RE19)]]-BC258)*1000)</f>
        <v>0</v>
      </c>
      <c r="BJ259" s="153">
        <f>IF((RD[[#This Row],[33kV_Aux1_Im (O2RE9)]]-AZ258)*1000&lt;0,"",(RD[[#This Row],[33kV_Aux1_Im (O2RE9)]]-AZ258)*1000)</f>
        <v>0</v>
      </c>
      <c r="BK259" s="153">
        <f>SUM(RD[[#This Row],[33kV_OG1_O2RE9_Energy (KWh)]],RD[[#This Row],[33kV_OG2_O2RE19_Energy (KWh)]])</f>
        <v>0</v>
      </c>
      <c r="BL259" s="62" t="str">
        <f>IFERROR(RD[[#This Row],[33 kV Total Export (KWH)]]/RD[[#This Row],[Inv Total Gneration (MWh)]]-1,"")</f>
        <v/>
      </c>
      <c r="BM259" s="63">
        <f>IFERROR((RD[[#This Row],[Sunset Time (POA&lt;20 W/m2)]]-RD[[#This Row],[Sunrise Time (POA&gt;20 W/m2)]])*24,0)</f>
        <v>0</v>
      </c>
      <c r="BN259" s="64">
        <f>SUM(RD[[#This Row],[33kV_OG1_O2RE9_Energy (KWh)]],RD[[#This Row],[33kV_OG2_O2RE19_Energy (KWh)]])</f>
        <v>0</v>
      </c>
      <c r="BO259" s="64">
        <f>IFERROR(RD[[#This Row],[ Export (33 kV)]]*(1-RD[[#This Row],[33 kV Line Loss (%)]]),RD[[#This Row],[ Export (33 kV)]])</f>
        <v>0</v>
      </c>
      <c r="BP259" s="189"/>
      <c r="BQ259" s="189"/>
      <c r="BR259" s="189"/>
      <c r="BS259" t="str">
        <f>IFERROR(RD[[#This Row],[E_AC (WPR)]]/RD[[#This Row],[E_DC (WPR)]],"")</f>
        <v/>
      </c>
    </row>
    <row r="260" spans="1:71">
      <c r="A260" s="147">
        <f t="shared" si="75"/>
        <v>46094</v>
      </c>
      <c r="B260" s="150">
        <f>YEAR(RD[[#This Row],[Date]])+IF(MONTH(RD[[#This Row],[Date]])&gt;=4,1,0)</f>
        <v>2026</v>
      </c>
      <c r="C260" s="150">
        <f>YEAR(RD[[#This Row],[Date]])</f>
        <v>2026</v>
      </c>
      <c r="D260" s="65">
        <f t="shared" si="74"/>
        <v>46082</v>
      </c>
      <c r="E260" s="150">
        <f>DAY(EOMONTH(RD[[#This Row],[Date]],0))</f>
        <v>31</v>
      </c>
      <c r="F260" s="171"/>
      <c r="G260" s="171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68"/>
      <c r="AF260" s="168"/>
      <c r="AG260" s="168"/>
      <c r="AH260" s="168"/>
      <c r="AI260" s="168"/>
      <c r="AJ260" s="168"/>
      <c r="AK260" s="168"/>
      <c r="AL260" s="168"/>
      <c r="AM260" s="71"/>
      <c r="AN260" s="71"/>
      <c r="AO260" s="71"/>
      <c r="AP260" s="71"/>
      <c r="AQ260" s="71"/>
      <c r="AR260" s="71"/>
      <c r="AS260" s="71"/>
      <c r="AT260" s="71"/>
      <c r="AU260" s="69">
        <f>SUM(RD[[#This Row],[IS2Inv1M1]:[IS4Inv1M3]])</f>
        <v>0</v>
      </c>
      <c r="AV260" s="69">
        <f>SUM(RD[[#This Row],[IS5Inv1M1]:[IS5Inv2M3]])</f>
        <v>0</v>
      </c>
      <c r="AW260" s="69">
        <f>SUM(RD[[#This Row],[O2RE9]:[O2RE192]])</f>
        <v>0</v>
      </c>
      <c r="AX260" s="149"/>
      <c r="AY260" s="149"/>
      <c r="AZ260" s="149"/>
      <c r="BA260" s="149"/>
      <c r="BB260" s="149"/>
      <c r="BC260" s="149"/>
      <c r="BD260" s="156" t="str">
        <f>IF((RD[[#This Row],[33 kV_F1_Ex (O2RE9)]]-AX259)*225000&lt;=0,"",(RD[[#This Row],[33 kV_F1_Ex (O2RE9)]]-AX259)*225000)</f>
        <v/>
      </c>
      <c r="BE260" s="153">
        <f>IF((RD[[#This Row],[33kV_OG1_Ex (O2RE9)]]-AY259)*1000&lt;=0,0,(RD[[#This Row],[33kV_OG1_Ex (O2RE9)]]-AY259)*1000)</f>
        <v>0</v>
      </c>
      <c r="BF260" s="153"/>
      <c r="BG260" s="153" t="str">
        <f>IF((RD[[#This Row],[33 kV_F2_Ex (O2RE19)]]-BA259)*150000&lt;=0,"",(RD[[#This Row],[33 kV_F2_Ex (O2RE19)]]-BA259)*150000)</f>
        <v/>
      </c>
      <c r="BH260" s="153">
        <f>IF((RD[[#This Row],[33kV_OG2_Ex (O2RE19)]]-BB259)*1000&lt;=0,0,(RD[[#This Row],[33kV_OG2_Ex (O2RE19)]]-BB259)*1000)</f>
        <v>0</v>
      </c>
      <c r="BI260" s="153">
        <f>IF((RD[[#This Row],[33kV_Aux2_Im (O2RE19)]]-BC259)*1000&lt;0,"",(RD[[#This Row],[33kV_Aux2_Im (O2RE19)]]-BC259)*1000)</f>
        <v>0</v>
      </c>
      <c r="BJ260" s="153">
        <f>IF((RD[[#This Row],[33kV_Aux1_Im (O2RE9)]]-AZ259)*1000&lt;0,"",(RD[[#This Row],[33kV_Aux1_Im (O2RE9)]]-AZ259)*1000)</f>
        <v>0</v>
      </c>
      <c r="BK260" s="153">
        <f>SUM(RD[[#This Row],[33kV_OG1_O2RE9_Energy (KWh)]],RD[[#This Row],[33kV_OG2_O2RE19_Energy (KWh)]])</f>
        <v>0</v>
      </c>
      <c r="BL260" s="62" t="str">
        <f>IFERROR(RD[[#This Row],[33 kV Total Export (KWH)]]/RD[[#This Row],[Inv Total Gneration (MWh)]]-1,"")</f>
        <v/>
      </c>
      <c r="BM260" s="63">
        <f>IFERROR((RD[[#This Row],[Sunset Time (POA&lt;20 W/m2)]]-RD[[#This Row],[Sunrise Time (POA&gt;20 W/m2)]])*24,0)</f>
        <v>0</v>
      </c>
      <c r="BN260" s="64">
        <f>SUM(RD[[#This Row],[33kV_OG1_O2RE9_Energy (KWh)]],RD[[#This Row],[33kV_OG2_O2RE19_Energy (KWh)]])</f>
        <v>0</v>
      </c>
      <c r="BO260" s="64">
        <f>IFERROR(RD[[#This Row],[ Export (33 kV)]]*(1-RD[[#This Row],[33 kV Line Loss (%)]]),RD[[#This Row],[ Export (33 kV)]])</f>
        <v>0</v>
      </c>
      <c r="BP260" s="189"/>
      <c r="BQ260" s="189"/>
      <c r="BR260" s="189"/>
      <c r="BS260" t="str">
        <f>IFERROR(RD[[#This Row],[E_AC (WPR)]]/RD[[#This Row],[E_DC (WPR)]],"")</f>
        <v/>
      </c>
    </row>
    <row r="261" spans="1:71">
      <c r="A261" s="147">
        <f t="shared" si="75"/>
        <v>46095</v>
      </c>
      <c r="B261" s="150">
        <f>YEAR(RD[[#This Row],[Date]])+IF(MONTH(RD[[#This Row],[Date]])&gt;=4,1,0)</f>
        <v>2026</v>
      </c>
      <c r="C261" s="150">
        <f>YEAR(RD[[#This Row],[Date]])</f>
        <v>2026</v>
      </c>
      <c r="D261" s="65">
        <f t="shared" si="74"/>
        <v>46082</v>
      </c>
      <c r="E261" s="150">
        <f>DAY(EOMONTH(RD[[#This Row],[Date]],0))</f>
        <v>31</v>
      </c>
      <c r="F261" s="171"/>
      <c r="G261" s="171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68"/>
      <c r="AF261" s="168"/>
      <c r="AG261" s="168"/>
      <c r="AH261" s="168"/>
      <c r="AI261" s="168"/>
      <c r="AJ261" s="168"/>
      <c r="AK261" s="168"/>
      <c r="AL261" s="168"/>
      <c r="AM261" s="71"/>
      <c r="AN261" s="71"/>
      <c r="AO261" s="71"/>
      <c r="AP261" s="71"/>
      <c r="AQ261" s="71"/>
      <c r="AR261" s="71"/>
      <c r="AS261" s="71"/>
      <c r="AT261" s="71"/>
      <c r="AU261" s="69">
        <f>SUM(RD[[#This Row],[IS2Inv1M1]:[IS4Inv1M3]])</f>
        <v>0</v>
      </c>
      <c r="AV261" s="69">
        <f>SUM(RD[[#This Row],[IS5Inv1M1]:[IS5Inv2M3]])</f>
        <v>0</v>
      </c>
      <c r="AW261" s="69">
        <f>SUM(RD[[#This Row],[O2RE9]:[O2RE192]])</f>
        <v>0</v>
      </c>
      <c r="AX261" s="149"/>
      <c r="AY261" s="149"/>
      <c r="AZ261" s="149"/>
      <c r="BA261" s="149"/>
      <c r="BB261" s="149"/>
      <c r="BC261" s="149"/>
      <c r="BD261" s="156" t="str">
        <f>IF((RD[[#This Row],[33 kV_F1_Ex (O2RE9)]]-AX260)*225000&lt;=0,"",(RD[[#This Row],[33 kV_F1_Ex (O2RE9)]]-AX260)*225000)</f>
        <v/>
      </c>
      <c r="BE261" s="153">
        <f>IF((RD[[#This Row],[33kV_OG1_Ex (O2RE9)]]-AY260)*1000&lt;=0,0,(RD[[#This Row],[33kV_OG1_Ex (O2RE9)]]-AY260)*1000)</f>
        <v>0</v>
      </c>
      <c r="BF261" s="153"/>
      <c r="BG261" s="153" t="str">
        <f>IF((RD[[#This Row],[33 kV_F2_Ex (O2RE19)]]-BA260)*150000&lt;=0,"",(RD[[#This Row],[33 kV_F2_Ex (O2RE19)]]-BA260)*150000)</f>
        <v/>
      </c>
      <c r="BH261" s="153">
        <f>IF((RD[[#This Row],[33kV_OG2_Ex (O2RE19)]]-BB260)*1000&lt;=0,0,(RD[[#This Row],[33kV_OG2_Ex (O2RE19)]]-BB260)*1000)</f>
        <v>0</v>
      </c>
      <c r="BI261" s="153">
        <f>IF((RD[[#This Row],[33kV_Aux2_Im (O2RE19)]]-BC260)*1000&lt;0,"",(RD[[#This Row],[33kV_Aux2_Im (O2RE19)]]-BC260)*1000)</f>
        <v>0</v>
      </c>
      <c r="BJ261" s="153">
        <f>IF((RD[[#This Row],[33kV_Aux1_Im (O2RE9)]]-AZ260)*1000&lt;0,"",(RD[[#This Row],[33kV_Aux1_Im (O2RE9)]]-AZ260)*1000)</f>
        <v>0</v>
      </c>
      <c r="BK261" s="153">
        <f>SUM(RD[[#This Row],[33kV_OG1_O2RE9_Energy (KWh)]],RD[[#This Row],[33kV_OG2_O2RE19_Energy (KWh)]])</f>
        <v>0</v>
      </c>
      <c r="BL261" s="62" t="str">
        <f>IFERROR(RD[[#This Row],[33 kV Total Export (KWH)]]/RD[[#This Row],[Inv Total Gneration (MWh)]]-1,"")</f>
        <v/>
      </c>
      <c r="BM261" s="63">
        <f>IFERROR((RD[[#This Row],[Sunset Time (POA&lt;20 W/m2)]]-RD[[#This Row],[Sunrise Time (POA&gt;20 W/m2)]])*24,0)</f>
        <v>0</v>
      </c>
      <c r="BN261" s="64">
        <f>SUM(RD[[#This Row],[33kV_OG1_O2RE9_Energy (KWh)]],RD[[#This Row],[33kV_OG2_O2RE19_Energy (KWh)]])</f>
        <v>0</v>
      </c>
      <c r="BO261" s="64">
        <f>IFERROR(RD[[#This Row],[ Export (33 kV)]]*(1-RD[[#This Row],[33 kV Line Loss (%)]]),RD[[#This Row],[ Export (33 kV)]])</f>
        <v>0</v>
      </c>
      <c r="BP261" s="189"/>
      <c r="BQ261" s="189"/>
      <c r="BR261" s="189"/>
      <c r="BS261" t="str">
        <f>IFERROR(RD[[#This Row],[E_AC (WPR)]]/RD[[#This Row],[E_DC (WPR)]],"")</f>
        <v/>
      </c>
    </row>
    <row r="262" spans="1:71">
      <c r="A262" s="147">
        <f t="shared" si="75"/>
        <v>46096</v>
      </c>
      <c r="B262" s="150">
        <f>YEAR(RD[[#This Row],[Date]])+IF(MONTH(RD[[#This Row],[Date]])&gt;=4,1,0)</f>
        <v>2026</v>
      </c>
      <c r="C262" s="150">
        <f>YEAR(RD[[#This Row],[Date]])</f>
        <v>2026</v>
      </c>
      <c r="D262" s="65">
        <f t="shared" si="74"/>
        <v>46082</v>
      </c>
      <c r="E262" s="150">
        <f>DAY(EOMONTH(RD[[#This Row],[Date]],0))</f>
        <v>31</v>
      </c>
      <c r="F262" s="171"/>
      <c r="G262" s="171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68"/>
      <c r="AF262" s="168"/>
      <c r="AG262" s="168"/>
      <c r="AH262" s="168"/>
      <c r="AI262" s="168"/>
      <c r="AJ262" s="168"/>
      <c r="AK262" s="168"/>
      <c r="AL262" s="168"/>
      <c r="AM262" s="71"/>
      <c r="AN262" s="71"/>
      <c r="AO262" s="71"/>
      <c r="AP262" s="71"/>
      <c r="AQ262" s="71"/>
      <c r="AR262" s="71"/>
      <c r="AS262" s="71"/>
      <c r="AT262" s="71"/>
      <c r="AU262" s="69">
        <f>SUM(RD[[#This Row],[IS2Inv1M1]:[IS4Inv1M3]])</f>
        <v>0</v>
      </c>
      <c r="AV262" s="69">
        <f>SUM(RD[[#This Row],[IS5Inv1M1]:[IS5Inv2M3]])</f>
        <v>0</v>
      </c>
      <c r="AW262" s="69">
        <f>SUM(RD[[#This Row],[O2RE9]:[O2RE192]])</f>
        <v>0</v>
      </c>
      <c r="AX262" s="149"/>
      <c r="AY262" s="149"/>
      <c r="AZ262" s="149"/>
      <c r="BA262" s="149"/>
      <c r="BB262" s="149"/>
      <c r="BC262" s="149"/>
      <c r="BD262" s="156" t="str">
        <f>IF((RD[[#This Row],[33 kV_F1_Ex (O2RE9)]]-AX261)*225000&lt;=0,"",(RD[[#This Row],[33 kV_F1_Ex (O2RE9)]]-AX261)*225000)</f>
        <v/>
      </c>
      <c r="BE262" s="153">
        <f>IF((RD[[#This Row],[33kV_OG1_Ex (O2RE9)]]-AY261)*1000&lt;=0,0,(RD[[#This Row],[33kV_OG1_Ex (O2RE9)]]-AY261)*1000)</f>
        <v>0</v>
      </c>
      <c r="BF262" s="153"/>
      <c r="BG262" s="153" t="str">
        <f>IF((RD[[#This Row],[33 kV_F2_Ex (O2RE19)]]-BA261)*150000&lt;=0,"",(RD[[#This Row],[33 kV_F2_Ex (O2RE19)]]-BA261)*150000)</f>
        <v/>
      </c>
      <c r="BH262" s="153">
        <f>IF((RD[[#This Row],[33kV_OG2_Ex (O2RE19)]]-BB261)*1000&lt;=0,0,(RD[[#This Row],[33kV_OG2_Ex (O2RE19)]]-BB261)*1000)</f>
        <v>0</v>
      </c>
      <c r="BI262" s="153">
        <f>IF((RD[[#This Row],[33kV_Aux2_Im (O2RE19)]]-BC261)*1000&lt;0,"",(RD[[#This Row],[33kV_Aux2_Im (O2RE19)]]-BC261)*1000)</f>
        <v>0</v>
      </c>
      <c r="BJ262" s="153">
        <f>IF((RD[[#This Row],[33kV_Aux1_Im (O2RE9)]]-AZ261)*1000&lt;0,"",(RD[[#This Row],[33kV_Aux1_Im (O2RE9)]]-AZ261)*1000)</f>
        <v>0</v>
      </c>
      <c r="BK262" s="153">
        <f>SUM(RD[[#This Row],[33kV_OG1_O2RE9_Energy (KWh)]],RD[[#This Row],[33kV_OG2_O2RE19_Energy (KWh)]])</f>
        <v>0</v>
      </c>
      <c r="BL262" s="62" t="str">
        <f>IFERROR(RD[[#This Row],[33 kV Total Export (KWH)]]/RD[[#This Row],[Inv Total Gneration (MWh)]]-1,"")</f>
        <v/>
      </c>
      <c r="BM262" s="63">
        <f>IFERROR((RD[[#This Row],[Sunset Time (POA&lt;20 W/m2)]]-RD[[#This Row],[Sunrise Time (POA&gt;20 W/m2)]])*24,0)</f>
        <v>0</v>
      </c>
      <c r="BN262" s="64">
        <f>SUM(RD[[#This Row],[33kV_OG1_O2RE9_Energy (KWh)]],RD[[#This Row],[33kV_OG2_O2RE19_Energy (KWh)]])</f>
        <v>0</v>
      </c>
      <c r="BO262" s="64">
        <f>IFERROR(RD[[#This Row],[ Export (33 kV)]]*(1-RD[[#This Row],[33 kV Line Loss (%)]]),RD[[#This Row],[ Export (33 kV)]])</f>
        <v>0</v>
      </c>
      <c r="BP262" s="189"/>
      <c r="BQ262" s="189"/>
      <c r="BR262" s="189"/>
      <c r="BS262" t="str">
        <f>IFERROR(RD[[#This Row],[E_AC (WPR)]]/RD[[#This Row],[E_DC (WPR)]],"")</f>
        <v/>
      </c>
    </row>
    <row r="263" spans="1:71">
      <c r="A263" s="147">
        <f t="shared" si="75"/>
        <v>46097</v>
      </c>
      <c r="B263" s="150">
        <f>YEAR(RD[[#This Row],[Date]])+IF(MONTH(RD[[#This Row],[Date]])&gt;=4,1,0)</f>
        <v>2026</v>
      </c>
      <c r="C263" s="150">
        <f>YEAR(RD[[#This Row],[Date]])</f>
        <v>2026</v>
      </c>
      <c r="D263" s="65">
        <f t="shared" si="74"/>
        <v>46082</v>
      </c>
      <c r="E263" s="150">
        <f>DAY(EOMONTH(RD[[#This Row],[Date]],0))</f>
        <v>31</v>
      </c>
      <c r="F263" s="171"/>
      <c r="G263" s="171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68"/>
      <c r="AF263" s="168"/>
      <c r="AG263" s="168"/>
      <c r="AH263" s="168"/>
      <c r="AI263" s="168"/>
      <c r="AJ263" s="168"/>
      <c r="AK263" s="168"/>
      <c r="AL263" s="168"/>
      <c r="AM263" s="71"/>
      <c r="AN263" s="71"/>
      <c r="AO263" s="71"/>
      <c r="AP263" s="71"/>
      <c r="AQ263" s="71"/>
      <c r="AR263" s="71"/>
      <c r="AS263" s="71"/>
      <c r="AT263" s="71"/>
      <c r="AU263" s="69">
        <f>SUM(RD[[#This Row],[IS2Inv1M1]:[IS4Inv1M3]])</f>
        <v>0</v>
      </c>
      <c r="AV263" s="69">
        <f>SUM(RD[[#This Row],[IS5Inv1M1]:[IS5Inv2M3]])</f>
        <v>0</v>
      </c>
      <c r="AW263" s="69">
        <f>SUM(RD[[#This Row],[O2RE9]:[O2RE192]])</f>
        <v>0</v>
      </c>
      <c r="AX263" s="149"/>
      <c r="AY263" s="149"/>
      <c r="AZ263" s="149"/>
      <c r="BA263" s="149"/>
      <c r="BB263" s="149"/>
      <c r="BC263" s="149"/>
      <c r="BD263" s="156" t="str">
        <f>IF((RD[[#This Row],[33 kV_F1_Ex (O2RE9)]]-AX262)*225000&lt;=0,"",(RD[[#This Row],[33 kV_F1_Ex (O2RE9)]]-AX262)*225000)</f>
        <v/>
      </c>
      <c r="BE263" s="153">
        <f>IF((RD[[#This Row],[33kV_OG1_Ex (O2RE9)]]-AY262)*1000&lt;=0,0,(RD[[#This Row],[33kV_OG1_Ex (O2RE9)]]-AY262)*1000)</f>
        <v>0</v>
      </c>
      <c r="BF263" s="153"/>
      <c r="BG263" s="153" t="str">
        <f>IF((RD[[#This Row],[33 kV_F2_Ex (O2RE19)]]-BA262)*150000&lt;=0,"",(RD[[#This Row],[33 kV_F2_Ex (O2RE19)]]-BA262)*150000)</f>
        <v/>
      </c>
      <c r="BH263" s="153">
        <f>IF((RD[[#This Row],[33kV_OG2_Ex (O2RE19)]]-BB262)*1000&lt;=0,0,(RD[[#This Row],[33kV_OG2_Ex (O2RE19)]]-BB262)*1000)</f>
        <v>0</v>
      </c>
      <c r="BI263" s="153">
        <f>IF((RD[[#This Row],[33kV_Aux2_Im (O2RE19)]]-BC262)*1000&lt;0,"",(RD[[#This Row],[33kV_Aux2_Im (O2RE19)]]-BC262)*1000)</f>
        <v>0</v>
      </c>
      <c r="BJ263" s="153">
        <f>IF((RD[[#This Row],[33kV_Aux1_Im (O2RE9)]]-AZ262)*1000&lt;0,"",(RD[[#This Row],[33kV_Aux1_Im (O2RE9)]]-AZ262)*1000)</f>
        <v>0</v>
      </c>
      <c r="BK263" s="153">
        <f>SUM(RD[[#This Row],[33kV_OG1_O2RE9_Energy (KWh)]],RD[[#This Row],[33kV_OG2_O2RE19_Energy (KWh)]])</f>
        <v>0</v>
      </c>
      <c r="BL263" s="62" t="str">
        <f>IFERROR(RD[[#This Row],[33 kV Total Export (KWH)]]/RD[[#This Row],[Inv Total Gneration (MWh)]]-1,"")</f>
        <v/>
      </c>
      <c r="BM263" s="63">
        <f>IFERROR((RD[[#This Row],[Sunset Time (POA&lt;20 W/m2)]]-RD[[#This Row],[Sunrise Time (POA&gt;20 W/m2)]])*24,0)</f>
        <v>0</v>
      </c>
      <c r="BN263" s="64">
        <f>SUM(RD[[#This Row],[33kV_OG1_O2RE9_Energy (KWh)]],RD[[#This Row],[33kV_OG2_O2RE19_Energy (KWh)]])</f>
        <v>0</v>
      </c>
      <c r="BO263" s="64">
        <f>IFERROR(RD[[#This Row],[ Export (33 kV)]]*(1-RD[[#This Row],[33 kV Line Loss (%)]]),RD[[#This Row],[ Export (33 kV)]])</f>
        <v>0</v>
      </c>
      <c r="BP263" s="189"/>
      <c r="BQ263" s="189"/>
      <c r="BR263" s="189"/>
      <c r="BS263" t="str">
        <f>IFERROR(RD[[#This Row],[E_AC (WPR)]]/RD[[#This Row],[E_DC (WPR)]],"")</f>
        <v/>
      </c>
    </row>
    <row r="264" spans="1:71">
      <c r="A264" s="147">
        <f t="shared" si="75"/>
        <v>46098</v>
      </c>
      <c r="B264" s="150">
        <f>YEAR(RD[[#This Row],[Date]])+IF(MONTH(RD[[#This Row],[Date]])&gt;=4,1,0)</f>
        <v>2026</v>
      </c>
      <c r="C264" s="150">
        <f>YEAR(RD[[#This Row],[Date]])</f>
        <v>2026</v>
      </c>
      <c r="D264" s="65">
        <f t="shared" si="74"/>
        <v>46082</v>
      </c>
      <c r="E264" s="150">
        <f>DAY(EOMONTH(RD[[#This Row],[Date]],0))</f>
        <v>31</v>
      </c>
      <c r="F264" s="171"/>
      <c r="G264" s="171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68"/>
      <c r="AF264" s="168"/>
      <c r="AG264" s="168"/>
      <c r="AH264" s="168"/>
      <c r="AI264" s="168"/>
      <c r="AJ264" s="168"/>
      <c r="AK264" s="168"/>
      <c r="AL264" s="168"/>
      <c r="AM264" s="71"/>
      <c r="AN264" s="71"/>
      <c r="AO264" s="71"/>
      <c r="AP264" s="71"/>
      <c r="AQ264" s="71"/>
      <c r="AR264" s="71"/>
      <c r="AS264" s="71"/>
      <c r="AT264" s="71"/>
      <c r="AU264" s="69">
        <f>SUM(RD[[#This Row],[IS2Inv1M1]:[IS4Inv1M3]])</f>
        <v>0</v>
      </c>
      <c r="AV264" s="69">
        <f>SUM(RD[[#This Row],[IS5Inv1M1]:[IS5Inv2M3]])</f>
        <v>0</v>
      </c>
      <c r="AW264" s="69">
        <f>SUM(RD[[#This Row],[O2RE9]:[O2RE192]])</f>
        <v>0</v>
      </c>
      <c r="AX264" s="149"/>
      <c r="AY264" s="149"/>
      <c r="AZ264" s="149"/>
      <c r="BA264" s="149"/>
      <c r="BB264" s="149"/>
      <c r="BC264" s="149"/>
      <c r="BD264" s="156" t="str">
        <f>IF((RD[[#This Row],[33 kV_F1_Ex (O2RE9)]]-AX263)*225000&lt;=0,"",(RD[[#This Row],[33 kV_F1_Ex (O2RE9)]]-AX263)*225000)</f>
        <v/>
      </c>
      <c r="BE264" s="153">
        <f>IF((RD[[#This Row],[33kV_OG1_Ex (O2RE9)]]-AY263)*1000&lt;=0,0,(RD[[#This Row],[33kV_OG1_Ex (O2RE9)]]-AY263)*1000)</f>
        <v>0</v>
      </c>
      <c r="BF264" s="153"/>
      <c r="BG264" s="153" t="str">
        <f>IF((RD[[#This Row],[33 kV_F2_Ex (O2RE19)]]-BA263)*150000&lt;=0,"",(RD[[#This Row],[33 kV_F2_Ex (O2RE19)]]-BA263)*150000)</f>
        <v/>
      </c>
      <c r="BH264" s="153">
        <f>IF((RD[[#This Row],[33kV_OG2_Ex (O2RE19)]]-BB263)*1000&lt;=0,0,(RD[[#This Row],[33kV_OG2_Ex (O2RE19)]]-BB263)*1000)</f>
        <v>0</v>
      </c>
      <c r="BI264" s="153">
        <f>IF((RD[[#This Row],[33kV_Aux2_Im (O2RE19)]]-BC263)*1000&lt;0,"",(RD[[#This Row],[33kV_Aux2_Im (O2RE19)]]-BC263)*1000)</f>
        <v>0</v>
      </c>
      <c r="BJ264" s="153">
        <f>IF((RD[[#This Row],[33kV_Aux1_Im (O2RE9)]]-AZ263)*1000&lt;0,"",(RD[[#This Row],[33kV_Aux1_Im (O2RE9)]]-AZ263)*1000)</f>
        <v>0</v>
      </c>
      <c r="BK264" s="153">
        <f>SUM(RD[[#This Row],[33kV_OG1_O2RE9_Energy (KWh)]],RD[[#This Row],[33kV_OG2_O2RE19_Energy (KWh)]])</f>
        <v>0</v>
      </c>
      <c r="BL264" s="62" t="str">
        <f>IFERROR(RD[[#This Row],[33 kV Total Export (KWH)]]/RD[[#This Row],[Inv Total Gneration (MWh)]]-1,"")</f>
        <v/>
      </c>
      <c r="BM264" s="63">
        <f>IFERROR((RD[[#This Row],[Sunset Time (POA&lt;20 W/m2)]]-RD[[#This Row],[Sunrise Time (POA&gt;20 W/m2)]])*24,0)</f>
        <v>0</v>
      </c>
      <c r="BN264" s="64">
        <f>SUM(RD[[#This Row],[33kV_OG1_O2RE9_Energy (KWh)]],RD[[#This Row],[33kV_OG2_O2RE19_Energy (KWh)]])</f>
        <v>0</v>
      </c>
      <c r="BO264" s="64">
        <f>IFERROR(RD[[#This Row],[ Export (33 kV)]]*(1-RD[[#This Row],[33 kV Line Loss (%)]]),RD[[#This Row],[ Export (33 kV)]])</f>
        <v>0</v>
      </c>
      <c r="BP264" s="189"/>
      <c r="BQ264" s="189"/>
      <c r="BR264" s="189"/>
      <c r="BS264" t="str">
        <f>IFERROR(RD[[#This Row],[E_AC (WPR)]]/RD[[#This Row],[E_DC (WPR)]],"")</f>
        <v/>
      </c>
    </row>
    <row r="265" spans="1:71">
      <c r="A265" s="147">
        <f t="shared" si="75"/>
        <v>46099</v>
      </c>
      <c r="B265" s="150">
        <f>YEAR(RD[[#This Row],[Date]])+IF(MONTH(RD[[#This Row],[Date]])&gt;=4,1,0)</f>
        <v>2026</v>
      </c>
      <c r="C265" s="150">
        <f>YEAR(RD[[#This Row],[Date]])</f>
        <v>2026</v>
      </c>
      <c r="D265" s="65">
        <f t="shared" si="74"/>
        <v>46082</v>
      </c>
      <c r="E265" s="150">
        <f>DAY(EOMONTH(RD[[#This Row],[Date]],0))</f>
        <v>31</v>
      </c>
      <c r="F265" s="171"/>
      <c r="G265" s="171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68"/>
      <c r="AF265" s="168"/>
      <c r="AG265" s="168"/>
      <c r="AH265" s="168"/>
      <c r="AI265" s="168"/>
      <c r="AJ265" s="168"/>
      <c r="AK265" s="168"/>
      <c r="AL265" s="168"/>
      <c r="AM265" s="71"/>
      <c r="AN265" s="71"/>
      <c r="AO265" s="71"/>
      <c r="AP265" s="71"/>
      <c r="AQ265" s="71"/>
      <c r="AR265" s="71"/>
      <c r="AS265" s="71"/>
      <c r="AT265" s="71"/>
      <c r="AU265" s="69">
        <f>SUM(RD[[#This Row],[IS2Inv1M1]:[IS4Inv1M3]])</f>
        <v>0</v>
      </c>
      <c r="AV265" s="69">
        <f>SUM(RD[[#This Row],[IS5Inv1M1]:[IS5Inv2M3]])</f>
        <v>0</v>
      </c>
      <c r="AW265" s="69">
        <f>SUM(RD[[#This Row],[O2RE9]:[O2RE192]])</f>
        <v>0</v>
      </c>
      <c r="AX265" s="149"/>
      <c r="AY265" s="149"/>
      <c r="AZ265" s="149"/>
      <c r="BA265" s="149"/>
      <c r="BB265" s="149"/>
      <c r="BC265" s="149"/>
      <c r="BD265" s="156" t="str">
        <f>IF((RD[[#This Row],[33 kV_F1_Ex (O2RE9)]]-AX264)*225000&lt;=0,"",(RD[[#This Row],[33 kV_F1_Ex (O2RE9)]]-AX264)*225000)</f>
        <v/>
      </c>
      <c r="BE265" s="153">
        <f>IF((RD[[#This Row],[33kV_OG1_Ex (O2RE9)]]-AY264)*1000&lt;=0,0,(RD[[#This Row],[33kV_OG1_Ex (O2RE9)]]-AY264)*1000)</f>
        <v>0</v>
      </c>
      <c r="BF265" s="153"/>
      <c r="BG265" s="153" t="str">
        <f>IF((RD[[#This Row],[33 kV_F2_Ex (O2RE19)]]-BA264)*150000&lt;=0,"",(RD[[#This Row],[33 kV_F2_Ex (O2RE19)]]-BA264)*150000)</f>
        <v/>
      </c>
      <c r="BH265" s="153">
        <f>IF((RD[[#This Row],[33kV_OG2_Ex (O2RE19)]]-BB264)*1000&lt;=0,0,(RD[[#This Row],[33kV_OG2_Ex (O2RE19)]]-BB264)*1000)</f>
        <v>0</v>
      </c>
      <c r="BI265" s="153">
        <f>IF((RD[[#This Row],[33kV_Aux2_Im (O2RE19)]]-BC264)*1000&lt;0,"",(RD[[#This Row],[33kV_Aux2_Im (O2RE19)]]-BC264)*1000)</f>
        <v>0</v>
      </c>
      <c r="BJ265" s="153">
        <f>IF((RD[[#This Row],[33kV_Aux1_Im (O2RE9)]]-AZ264)*1000&lt;0,"",(RD[[#This Row],[33kV_Aux1_Im (O2RE9)]]-AZ264)*1000)</f>
        <v>0</v>
      </c>
      <c r="BK265" s="153">
        <f>SUM(RD[[#This Row],[33kV_OG1_O2RE9_Energy (KWh)]],RD[[#This Row],[33kV_OG2_O2RE19_Energy (KWh)]])</f>
        <v>0</v>
      </c>
      <c r="BL265" s="62" t="str">
        <f>IFERROR(RD[[#This Row],[33 kV Total Export (KWH)]]/RD[[#This Row],[Inv Total Gneration (MWh)]]-1,"")</f>
        <v/>
      </c>
      <c r="BM265" s="63">
        <f>IFERROR((RD[[#This Row],[Sunset Time (POA&lt;20 W/m2)]]-RD[[#This Row],[Sunrise Time (POA&gt;20 W/m2)]])*24,0)</f>
        <v>0</v>
      </c>
      <c r="BN265" s="64">
        <f>SUM(RD[[#This Row],[33kV_OG1_O2RE9_Energy (KWh)]],RD[[#This Row],[33kV_OG2_O2RE19_Energy (KWh)]])</f>
        <v>0</v>
      </c>
      <c r="BO265" s="64">
        <f>IFERROR(RD[[#This Row],[ Export (33 kV)]]*(1-RD[[#This Row],[33 kV Line Loss (%)]]),RD[[#This Row],[ Export (33 kV)]])</f>
        <v>0</v>
      </c>
      <c r="BP265" s="189"/>
      <c r="BQ265" s="189"/>
      <c r="BR265" s="189"/>
      <c r="BS265" t="str">
        <f>IFERROR(RD[[#This Row],[E_AC (WPR)]]/RD[[#This Row],[E_DC (WPR)]],"")</f>
        <v/>
      </c>
    </row>
    <row r="266" spans="1:71">
      <c r="A266" s="147">
        <f t="shared" si="75"/>
        <v>46100</v>
      </c>
      <c r="B266" s="150">
        <f>YEAR(RD[[#This Row],[Date]])+IF(MONTH(RD[[#This Row],[Date]])&gt;=4,1,0)</f>
        <v>2026</v>
      </c>
      <c r="C266" s="150">
        <f>YEAR(RD[[#This Row],[Date]])</f>
        <v>2026</v>
      </c>
      <c r="D266" s="65">
        <f t="shared" si="74"/>
        <v>46082</v>
      </c>
      <c r="E266" s="150">
        <f>DAY(EOMONTH(RD[[#This Row],[Date]],0))</f>
        <v>31</v>
      </c>
      <c r="F266" s="171"/>
      <c r="G266" s="171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68"/>
      <c r="AF266" s="168"/>
      <c r="AG266" s="168"/>
      <c r="AH266" s="168"/>
      <c r="AI266" s="168"/>
      <c r="AJ266" s="168"/>
      <c r="AK266" s="168"/>
      <c r="AL266" s="168"/>
      <c r="AM266" s="71"/>
      <c r="AN266" s="71"/>
      <c r="AO266" s="71"/>
      <c r="AP266" s="71"/>
      <c r="AQ266" s="71"/>
      <c r="AR266" s="71"/>
      <c r="AS266" s="71"/>
      <c r="AT266" s="71"/>
      <c r="AU266" s="69">
        <f>SUM(RD[[#This Row],[IS2Inv1M1]:[IS4Inv1M3]])</f>
        <v>0</v>
      </c>
      <c r="AV266" s="69">
        <f>SUM(RD[[#This Row],[IS5Inv1M1]:[IS5Inv2M3]])</f>
        <v>0</v>
      </c>
      <c r="AW266" s="69">
        <f>SUM(RD[[#This Row],[O2RE9]:[O2RE192]])</f>
        <v>0</v>
      </c>
      <c r="AX266" s="149"/>
      <c r="AY266" s="149"/>
      <c r="AZ266" s="149"/>
      <c r="BA266" s="149"/>
      <c r="BB266" s="149"/>
      <c r="BC266" s="149"/>
      <c r="BD266" s="156" t="str">
        <f>IF((RD[[#This Row],[33 kV_F1_Ex (O2RE9)]]-AX265)*225000&lt;=0,"",(RD[[#This Row],[33 kV_F1_Ex (O2RE9)]]-AX265)*225000)</f>
        <v/>
      </c>
      <c r="BE266" s="153">
        <f>IF((RD[[#This Row],[33kV_OG1_Ex (O2RE9)]]-AY265)*1000&lt;=0,0,(RD[[#This Row],[33kV_OG1_Ex (O2RE9)]]-AY265)*1000)</f>
        <v>0</v>
      </c>
      <c r="BF266" s="153"/>
      <c r="BG266" s="153" t="str">
        <f>IF((RD[[#This Row],[33 kV_F2_Ex (O2RE19)]]-BA265)*150000&lt;=0,"",(RD[[#This Row],[33 kV_F2_Ex (O2RE19)]]-BA265)*150000)</f>
        <v/>
      </c>
      <c r="BH266" s="153">
        <f>IF((RD[[#This Row],[33kV_OG2_Ex (O2RE19)]]-BB265)*1000&lt;=0,0,(RD[[#This Row],[33kV_OG2_Ex (O2RE19)]]-BB265)*1000)</f>
        <v>0</v>
      </c>
      <c r="BI266" s="153">
        <f>IF((RD[[#This Row],[33kV_Aux2_Im (O2RE19)]]-BC265)*1000&lt;0,"",(RD[[#This Row],[33kV_Aux2_Im (O2RE19)]]-BC265)*1000)</f>
        <v>0</v>
      </c>
      <c r="BJ266" s="153">
        <f>IF((RD[[#This Row],[33kV_Aux1_Im (O2RE9)]]-AZ265)*1000&lt;0,"",(RD[[#This Row],[33kV_Aux1_Im (O2RE9)]]-AZ265)*1000)</f>
        <v>0</v>
      </c>
      <c r="BK266" s="153">
        <f>SUM(RD[[#This Row],[33kV_OG1_O2RE9_Energy (KWh)]],RD[[#This Row],[33kV_OG2_O2RE19_Energy (KWh)]])</f>
        <v>0</v>
      </c>
      <c r="BL266" s="62" t="str">
        <f>IFERROR(RD[[#This Row],[33 kV Total Export (KWH)]]/RD[[#This Row],[Inv Total Gneration (MWh)]]-1,"")</f>
        <v/>
      </c>
      <c r="BM266" s="63">
        <f>IFERROR((RD[[#This Row],[Sunset Time (POA&lt;20 W/m2)]]-RD[[#This Row],[Sunrise Time (POA&gt;20 W/m2)]])*24,0)</f>
        <v>0</v>
      </c>
      <c r="BN266" s="64">
        <f>SUM(RD[[#This Row],[33kV_OG1_O2RE9_Energy (KWh)]],RD[[#This Row],[33kV_OG2_O2RE19_Energy (KWh)]])</f>
        <v>0</v>
      </c>
      <c r="BO266" s="64">
        <f>IFERROR(RD[[#This Row],[ Export (33 kV)]]*(1-RD[[#This Row],[33 kV Line Loss (%)]]),RD[[#This Row],[ Export (33 kV)]])</f>
        <v>0</v>
      </c>
      <c r="BP266" s="189"/>
      <c r="BQ266" s="189"/>
      <c r="BR266" s="189"/>
      <c r="BS266" t="str">
        <f>IFERROR(RD[[#This Row],[E_AC (WPR)]]/RD[[#This Row],[E_DC (WPR)]],"")</f>
        <v/>
      </c>
    </row>
    <row r="267" spans="1:71">
      <c r="A267" s="147">
        <f t="shared" si="75"/>
        <v>46101</v>
      </c>
      <c r="B267" s="150">
        <f>YEAR(RD[[#This Row],[Date]])+IF(MONTH(RD[[#This Row],[Date]])&gt;=4,1,0)</f>
        <v>2026</v>
      </c>
      <c r="C267" s="150">
        <f>YEAR(RD[[#This Row],[Date]])</f>
        <v>2026</v>
      </c>
      <c r="D267" s="65">
        <f t="shared" si="74"/>
        <v>46082</v>
      </c>
      <c r="E267" s="150">
        <f>DAY(EOMONTH(RD[[#This Row],[Date]],0))</f>
        <v>31</v>
      </c>
      <c r="F267" s="171"/>
      <c r="G267" s="171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68"/>
      <c r="AF267" s="168"/>
      <c r="AG267" s="168"/>
      <c r="AH267" s="168"/>
      <c r="AI267" s="168"/>
      <c r="AJ267" s="168"/>
      <c r="AK267" s="168"/>
      <c r="AL267" s="168"/>
      <c r="AM267" s="71"/>
      <c r="AN267" s="71"/>
      <c r="AO267" s="71"/>
      <c r="AP267" s="71"/>
      <c r="AQ267" s="71"/>
      <c r="AR267" s="71"/>
      <c r="AS267" s="71"/>
      <c r="AT267" s="71"/>
      <c r="AU267" s="69">
        <f>SUM(RD[[#This Row],[IS2Inv1M1]:[IS4Inv1M3]])</f>
        <v>0</v>
      </c>
      <c r="AV267" s="69">
        <f>SUM(RD[[#This Row],[IS5Inv1M1]:[IS5Inv2M3]])</f>
        <v>0</v>
      </c>
      <c r="AW267" s="69">
        <f>SUM(RD[[#This Row],[O2RE9]:[O2RE192]])</f>
        <v>0</v>
      </c>
      <c r="AX267" s="149"/>
      <c r="AY267" s="149"/>
      <c r="AZ267" s="149"/>
      <c r="BA267" s="149"/>
      <c r="BB267" s="149"/>
      <c r="BC267" s="149"/>
      <c r="BD267" s="156" t="str">
        <f>IF((RD[[#This Row],[33 kV_F1_Ex (O2RE9)]]-AX266)*225000&lt;=0,"",(RD[[#This Row],[33 kV_F1_Ex (O2RE9)]]-AX266)*225000)</f>
        <v/>
      </c>
      <c r="BE267" s="153">
        <f>IF((RD[[#This Row],[33kV_OG1_Ex (O2RE9)]]-AY266)*1000&lt;=0,0,(RD[[#This Row],[33kV_OG1_Ex (O2RE9)]]-AY266)*1000)</f>
        <v>0</v>
      </c>
      <c r="BF267" s="153"/>
      <c r="BG267" s="153" t="str">
        <f>IF((RD[[#This Row],[33 kV_F2_Ex (O2RE19)]]-BA266)*150000&lt;=0,"",(RD[[#This Row],[33 kV_F2_Ex (O2RE19)]]-BA266)*150000)</f>
        <v/>
      </c>
      <c r="BH267" s="153">
        <f>IF((RD[[#This Row],[33kV_OG2_Ex (O2RE19)]]-BB266)*1000&lt;=0,0,(RD[[#This Row],[33kV_OG2_Ex (O2RE19)]]-BB266)*1000)</f>
        <v>0</v>
      </c>
      <c r="BI267" s="153">
        <f>IF((RD[[#This Row],[33kV_Aux2_Im (O2RE19)]]-BC266)*1000&lt;0,"",(RD[[#This Row],[33kV_Aux2_Im (O2RE19)]]-BC266)*1000)</f>
        <v>0</v>
      </c>
      <c r="BJ267" s="153">
        <f>IF((RD[[#This Row],[33kV_Aux1_Im (O2RE9)]]-AZ266)*1000&lt;0,"",(RD[[#This Row],[33kV_Aux1_Im (O2RE9)]]-AZ266)*1000)</f>
        <v>0</v>
      </c>
      <c r="BK267" s="153">
        <f>SUM(RD[[#This Row],[33kV_OG1_O2RE9_Energy (KWh)]],RD[[#This Row],[33kV_OG2_O2RE19_Energy (KWh)]])</f>
        <v>0</v>
      </c>
      <c r="BL267" s="62" t="str">
        <f>IFERROR(RD[[#This Row],[33 kV Total Export (KWH)]]/RD[[#This Row],[Inv Total Gneration (MWh)]]-1,"")</f>
        <v/>
      </c>
      <c r="BM267" s="63">
        <f>IFERROR((RD[[#This Row],[Sunset Time (POA&lt;20 W/m2)]]-RD[[#This Row],[Sunrise Time (POA&gt;20 W/m2)]])*24,0)</f>
        <v>0</v>
      </c>
      <c r="BN267" s="64">
        <f>SUM(RD[[#This Row],[33kV_OG1_O2RE9_Energy (KWh)]],RD[[#This Row],[33kV_OG2_O2RE19_Energy (KWh)]])</f>
        <v>0</v>
      </c>
      <c r="BO267" s="64">
        <f>IFERROR(RD[[#This Row],[ Export (33 kV)]]*(1-RD[[#This Row],[33 kV Line Loss (%)]]),RD[[#This Row],[ Export (33 kV)]])</f>
        <v>0</v>
      </c>
      <c r="BP267" s="189"/>
      <c r="BQ267" s="189"/>
      <c r="BR267" s="189"/>
      <c r="BS267" t="str">
        <f>IFERROR(RD[[#This Row],[E_AC (WPR)]]/RD[[#This Row],[E_DC (WPR)]],"")</f>
        <v/>
      </c>
    </row>
    <row r="268" spans="1:71">
      <c r="A268" s="147">
        <f t="shared" si="75"/>
        <v>46102</v>
      </c>
      <c r="B268" s="150">
        <f>YEAR(RD[[#This Row],[Date]])+IF(MONTH(RD[[#This Row],[Date]])&gt;=4,1,0)</f>
        <v>2026</v>
      </c>
      <c r="C268" s="150">
        <f>YEAR(RD[[#This Row],[Date]])</f>
        <v>2026</v>
      </c>
      <c r="D268" s="65">
        <f t="shared" si="74"/>
        <v>46082</v>
      </c>
      <c r="E268" s="150">
        <f>DAY(EOMONTH(RD[[#This Row],[Date]],0))</f>
        <v>31</v>
      </c>
      <c r="F268" s="171"/>
      <c r="G268" s="171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68"/>
      <c r="AF268" s="168"/>
      <c r="AG268" s="168"/>
      <c r="AH268" s="168"/>
      <c r="AI268" s="168"/>
      <c r="AJ268" s="168"/>
      <c r="AK268" s="168"/>
      <c r="AL268" s="168"/>
      <c r="AM268" s="71"/>
      <c r="AN268" s="71"/>
      <c r="AO268" s="71"/>
      <c r="AP268" s="71"/>
      <c r="AQ268" s="71"/>
      <c r="AR268" s="71"/>
      <c r="AS268" s="71"/>
      <c r="AT268" s="71"/>
      <c r="AU268" s="69">
        <f>SUM(RD[[#This Row],[IS2Inv1M1]:[IS4Inv1M3]])</f>
        <v>0</v>
      </c>
      <c r="AV268" s="69">
        <f>SUM(RD[[#This Row],[IS5Inv1M1]:[IS5Inv2M3]])</f>
        <v>0</v>
      </c>
      <c r="AW268" s="69">
        <f>SUM(RD[[#This Row],[O2RE9]:[O2RE192]])</f>
        <v>0</v>
      </c>
      <c r="AX268" s="149"/>
      <c r="AY268" s="149"/>
      <c r="AZ268" s="149"/>
      <c r="BA268" s="149"/>
      <c r="BB268" s="149"/>
      <c r="BC268" s="149"/>
      <c r="BD268" s="156" t="str">
        <f>IF((RD[[#This Row],[33 kV_F1_Ex (O2RE9)]]-AX267)*225000&lt;=0,"",(RD[[#This Row],[33 kV_F1_Ex (O2RE9)]]-AX267)*225000)</f>
        <v/>
      </c>
      <c r="BE268" s="153">
        <f>IF((RD[[#This Row],[33kV_OG1_Ex (O2RE9)]]-AY267)*1000&lt;=0,0,(RD[[#This Row],[33kV_OG1_Ex (O2RE9)]]-AY267)*1000)</f>
        <v>0</v>
      </c>
      <c r="BF268" s="153"/>
      <c r="BG268" s="153" t="str">
        <f>IF((RD[[#This Row],[33 kV_F2_Ex (O2RE19)]]-BA267)*150000&lt;=0,"",(RD[[#This Row],[33 kV_F2_Ex (O2RE19)]]-BA267)*150000)</f>
        <v/>
      </c>
      <c r="BH268" s="153">
        <f>IF((RD[[#This Row],[33kV_OG2_Ex (O2RE19)]]-BB267)*1000&lt;=0,0,(RD[[#This Row],[33kV_OG2_Ex (O2RE19)]]-BB267)*1000)</f>
        <v>0</v>
      </c>
      <c r="BI268" s="153">
        <f>IF((RD[[#This Row],[33kV_Aux2_Im (O2RE19)]]-BC267)*1000&lt;0,"",(RD[[#This Row],[33kV_Aux2_Im (O2RE19)]]-BC267)*1000)</f>
        <v>0</v>
      </c>
      <c r="BJ268" s="153">
        <f>IF((RD[[#This Row],[33kV_Aux1_Im (O2RE9)]]-AZ267)*1000&lt;0,"",(RD[[#This Row],[33kV_Aux1_Im (O2RE9)]]-AZ267)*1000)</f>
        <v>0</v>
      </c>
      <c r="BK268" s="153">
        <f>SUM(RD[[#This Row],[33kV_OG1_O2RE9_Energy (KWh)]],RD[[#This Row],[33kV_OG2_O2RE19_Energy (KWh)]])</f>
        <v>0</v>
      </c>
      <c r="BL268" s="62" t="str">
        <f>IFERROR(RD[[#This Row],[33 kV Total Export (KWH)]]/RD[[#This Row],[Inv Total Gneration (MWh)]]-1,"")</f>
        <v/>
      </c>
      <c r="BM268" s="63">
        <f>IFERROR((RD[[#This Row],[Sunset Time (POA&lt;20 W/m2)]]-RD[[#This Row],[Sunrise Time (POA&gt;20 W/m2)]])*24,0)</f>
        <v>0</v>
      </c>
      <c r="BN268" s="64">
        <f>SUM(RD[[#This Row],[33kV_OG1_O2RE9_Energy (KWh)]],RD[[#This Row],[33kV_OG2_O2RE19_Energy (KWh)]])</f>
        <v>0</v>
      </c>
      <c r="BO268" s="64">
        <f>IFERROR(RD[[#This Row],[ Export (33 kV)]]*(1-RD[[#This Row],[33 kV Line Loss (%)]]),RD[[#This Row],[ Export (33 kV)]])</f>
        <v>0</v>
      </c>
      <c r="BP268" s="189"/>
      <c r="BQ268" s="189"/>
      <c r="BR268" s="189"/>
      <c r="BS268" t="str">
        <f>IFERROR(RD[[#This Row],[E_AC (WPR)]]/RD[[#This Row],[E_DC (WPR)]],"")</f>
        <v/>
      </c>
    </row>
    <row r="269" spans="1:71">
      <c r="A269" s="147">
        <f t="shared" si="75"/>
        <v>46103</v>
      </c>
      <c r="B269" s="150">
        <f>YEAR(RD[[#This Row],[Date]])+IF(MONTH(RD[[#This Row],[Date]])&gt;=4,1,0)</f>
        <v>2026</v>
      </c>
      <c r="C269" s="150">
        <f>YEAR(RD[[#This Row],[Date]])</f>
        <v>2026</v>
      </c>
      <c r="D269" s="65">
        <f t="shared" ref="D269:D282" si="76">A269-DAY(A269)+1</f>
        <v>46082</v>
      </c>
      <c r="E269" s="150">
        <f>DAY(EOMONTH(RD[[#This Row],[Date]],0))</f>
        <v>31</v>
      </c>
      <c r="F269" s="171"/>
      <c r="G269" s="171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68"/>
      <c r="AF269" s="168"/>
      <c r="AG269" s="168"/>
      <c r="AH269" s="168"/>
      <c r="AI269" s="168"/>
      <c r="AJ269" s="168"/>
      <c r="AK269" s="168"/>
      <c r="AL269" s="168"/>
      <c r="AM269" s="71"/>
      <c r="AN269" s="71"/>
      <c r="AO269" s="71"/>
      <c r="AP269" s="71"/>
      <c r="AQ269" s="71"/>
      <c r="AR269" s="71"/>
      <c r="AS269" s="71"/>
      <c r="AT269" s="71"/>
      <c r="AU269" s="69">
        <f>SUM(RD[[#This Row],[IS2Inv1M1]:[IS4Inv1M3]])</f>
        <v>0</v>
      </c>
      <c r="AV269" s="69">
        <f>SUM(RD[[#This Row],[IS5Inv1M1]:[IS5Inv2M3]])</f>
        <v>0</v>
      </c>
      <c r="AW269" s="69">
        <f>SUM(RD[[#This Row],[O2RE9]:[O2RE192]])</f>
        <v>0</v>
      </c>
      <c r="AX269" s="122"/>
      <c r="AY269" s="122"/>
      <c r="AZ269" s="122"/>
      <c r="BA269" s="308"/>
      <c r="BB269" s="308"/>
      <c r="BC269" s="308"/>
      <c r="BD269" s="156" t="str">
        <f>IF((RD[[#This Row],[33 kV_F1_Ex (O2RE9)]]-AX268)*225000&lt;=0,"",(RD[[#This Row],[33 kV_F1_Ex (O2RE9)]]-AX268)*225000)</f>
        <v/>
      </c>
      <c r="BE269" s="153">
        <f>IF((RD[[#This Row],[33kV_OG1_Ex (O2RE9)]]-AY268)*1000&lt;=0,0,(RD[[#This Row],[33kV_OG1_Ex (O2RE9)]]-AY268)*1000)</f>
        <v>0</v>
      </c>
      <c r="BF269" s="153"/>
      <c r="BG269" s="153" t="str">
        <f>IF((RD[[#This Row],[33 kV_F2_Ex (O2RE19)]]-BA268)*150000&lt;=0,"",(RD[[#This Row],[33 kV_F2_Ex (O2RE19)]]-BA268)*150000)</f>
        <v/>
      </c>
      <c r="BH269" s="153">
        <f>IF((RD[[#This Row],[33kV_OG2_Ex (O2RE19)]]-BB268)*1000&lt;=0,0,(RD[[#This Row],[33kV_OG2_Ex (O2RE19)]]-BB268)*1000)</f>
        <v>0</v>
      </c>
      <c r="BI269" s="153">
        <f>IF((RD[[#This Row],[33kV_Aux2_Im (O2RE19)]]-BC268)*1000&lt;0,"",(RD[[#This Row],[33kV_Aux2_Im (O2RE19)]]-BC268)*1000)</f>
        <v>0</v>
      </c>
      <c r="BJ269" s="153">
        <f>IF((RD[[#This Row],[33kV_Aux1_Im (O2RE9)]]-AZ268)*1000&lt;0,"",(RD[[#This Row],[33kV_Aux1_Im (O2RE9)]]-AZ268)*1000)</f>
        <v>0</v>
      </c>
      <c r="BK269" s="153">
        <f>SUM(RD[[#This Row],[33kV_OG1_O2RE9_Energy (KWh)]],RD[[#This Row],[33kV_OG2_O2RE19_Energy (KWh)]])</f>
        <v>0</v>
      </c>
      <c r="BL269" s="62" t="str">
        <f>IFERROR(RD[[#This Row],[33 kV Total Export (KWH)]]/RD[[#This Row],[Inv Total Gneration (MWh)]]-1,"")</f>
        <v/>
      </c>
      <c r="BM269" s="63">
        <f>IFERROR((RD[[#This Row],[Sunset Time (POA&lt;20 W/m2)]]-RD[[#This Row],[Sunrise Time (POA&gt;20 W/m2)]])*24,0)</f>
        <v>0</v>
      </c>
      <c r="BN269" s="64">
        <f>SUM(RD[[#This Row],[33kV_OG1_O2RE9_Energy (KWh)]],RD[[#This Row],[33kV_OG2_O2RE19_Energy (KWh)]])</f>
        <v>0</v>
      </c>
      <c r="BO269" s="64">
        <f>IFERROR(RD[[#This Row],[ Export (33 kV)]]*(1-RD[[#This Row],[33 kV Line Loss (%)]]),RD[[#This Row],[ Export (33 kV)]])</f>
        <v>0</v>
      </c>
      <c r="BP269" s="189"/>
      <c r="BQ269" s="189"/>
      <c r="BR269" s="189"/>
      <c r="BS269" t="str">
        <f>IFERROR(RD[[#This Row],[E_AC (WPR)]]/RD[[#This Row],[E_DC (WPR)]],"")</f>
        <v/>
      </c>
    </row>
    <row r="270" spans="1:71">
      <c r="A270" s="147">
        <f t="shared" si="75"/>
        <v>46104</v>
      </c>
      <c r="B270" s="150">
        <f>YEAR(RD[[#This Row],[Date]])+IF(MONTH(RD[[#This Row],[Date]])&gt;=4,1,0)</f>
        <v>2026</v>
      </c>
      <c r="C270" s="150">
        <f>YEAR(RD[[#This Row],[Date]])</f>
        <v>2026</v>
      </c>
      <c r="D270" s="65">
        <f t="shared" si="76"/>
        <v>46082</v>
      </c>
      <c r="E270" s="150">
        <f>DAY(EOMONTH(RD[[#This Row],[Date]],0))</f>
        <v>31</v>
      </c>
      <c r="F270" s="171"/>
      <c r="G270" s="171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68"/>
      <c r="AF270" s="168"/>
      <c r="AG270" s="168"/>
      <c r="AH270" s="168"/>
      <c r="AI270" s="168"/>
      <c r="AJ270" s="168"/>
      <c r="AK270" s="168"/>
      <c r="AL270" s="168"/>
      <c r="AM270" s="71"/>
      <c r="AN270" s="71"/>
      <c r="AO270" s="71"/>
      <c r="AP270" s="71"/>
      <c r="AQ270" s="71"/>
      <c r="AR270" s="71"/>
      <c r="AS270" s="71"/>
      <c r="AT270" s="71"/>
      <c r="AU270" s="69">
        <f>SUM(RD[[#This Row],[IS2Inv1M1]:[IS4Inv1M3]])</f>
        <v>0</v>
      </c>
      <c r="AV270" s="69">
        <f>SUM(RD[[#This Row],[IS5Inv1M1]:[IS5Inv2M3]])</f>
        <v>0</v>
      </c>
      <c r="AW270" s="69">
        <f>SUM(RD[[#This Row],[O2RE9]:[O2RE192]])</f>
        <v>0</v>
      </c>
      <c r="AX270" s="149"/>
      <c r="AY270" s="149"/>
      <c r="AZ270" s="149"/>
      <c r="BA270" s="149"/>
      <c r="BB270" s="149"/>
      <c r="BC270" s="149"/>
      <c r="BD270" s="156" t="str">
        <f>IF((RD[[#This Row],[33 kV_F1_Ex (O2RE9)]]-AX269)*225000&lt;=0,"",(RD[[#This Row],[33 kV_F1_Ex (O2RE9)]]-AX269)*225000)</f>
        <v/>
      </c>
      <c r="BE270" s="153">
        <f>IF((RD[[#This Row],[33kV_OG1_Ex (O2RE9)]]-AY269)*1000&lt;=0,0,(RD[[#This Row],[33kV_OG1_Ex (O2RE9)]]-AY269)*1000)</f>
        <v>0</v>
      </c>
      <c r="BF270" s="153"/>
      <c r="BG270" s="153" t="str">
        <f>IF((RD[[#This Row],[33 kV_F2_Ex (O2RE19)]]-BA269)*150000&lt;=0,"",(RD[[#This Row],[33 kV_F2_Ex (O2RE19)]]-BA269)*150000)</f>
        <v/>
      </c>
      <c r="BH270" s="153">
        <f>IF((RD[[#This Row],[33kV_OG2_Ex (O2RE19)]]-BB269)*1000&lt;=0,0,(RD[[#This Row],[33kV_OG2_Ex (O2RE19)]]-BB269)*1000)</f>
        <v>0</v>
      </c>
      <c r="BI270" s="153">
        <f>IF((RD[[#This Row],[33kV_Aux2_Im (O2RE19)]]-BC269)*1000&lt;0,"",(RD[[#This Row],[33kV_Aux2_Im (O2RE19)]]-BC269)*1000)</f>
        <v>0</v>
      </c>
      <c r="BJ270" s="153">
        <f>IF((RD[[#This Row],[33kV_Aux1_Im (O2RE9)]]-AZ269)*1000&lt;0,"",(RD[[#This Row],[33kV_Aux1_Im (O2RE9)]]-AZ269)*1000)</f>
        <v>0</v>
      </c>
      <c r="BK270" s="153">
        <f>SUM(RD[[#This Row],[33kV_OG1_O2RE9_Energy (KWh)]],RD[[#This Row],[33kV_OG2_O2RE19_Energy (KWh)]])</f>
        <v>0</v>
      </c>
      <c r="BL270" s="62" t="str">
        <f>IFERROR(RD[[#This Row],[33 kV Total Export (KWH)]]/RD[[#This Row],[Inv Total Gneration (MWh)]]-1,"")</f>
        <v/>
      </c>
      <c r="BM270" s="63">
        <f>IFERROR((RD[[#This Row],[Sunset Time (POA&lt;20 W/m2)]]-RD[[#This Row],[Sunrise Time (POA&gt;20 W/m2)]])*24,0)</f>
        <v>0</v>
      </c>
      <c r="BN270" s="64">
        <f>SUM(RD[[#This Row],[33kV_OG1_O2RE9_Energy (KWh)]],RD[[#This Row],[33kV_OG2_O2RE19_Energy (KWh)]])</f>
        <v>0</v>
      </c>
      <c r="BO270" s="64">
        <f>IFERROR(RD[[#This Row],[ Export (33 kV)]]*(1-RD[[#This Row],[33 kV Line Loss (%)]]),RD[[#This Row],[ Export (33 kV)]])</f>
        <v>0</v>
      </c>
      <c r="BP270" s="189"/>
      <c r="BQ270" s="189"/>
      <c r="BR270" s="189"/>
      <c r="BS270" t="str">
        <f>IFERROR(RD[[#This Row],[E_AC (WPR)]]/RD[[#This Row],[E_DC (WPR)]],"")</f>
        <v/>
      </c>
    </row>
    <row r="271" spans="1:71">
      <c r="A271" s="147">
        <f t="shared" ref="A271:A282" si="77">A270+1</f>
        <v>46105</v>
      </c>
      <c r="B271" s="150">
        <f>YEAR(RD[[#This Row],[Date]])+IF(MONTH(RD[[#This Row],[Date]])&gt;=4,1,0)</f>
        <v>2026</v>
      </c>
      <c r="C271" s="150">
        <f>YEAR(RD[[#This Row],[Date]])</f>
        <v>2026</v>
      </c>
      <c r="D271" s="65">
        <f t="shared" si="76"/>
        <v>46082</v>
      </c>
      <c r="E271" s="150">
        <f>DAY(EOMONTH(RD[[#This Row],[Date]],0))</f>
        <v>31</v>
      </c>
      <c r="F271" s="171"/>
      <c r="G271" s="171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68"/>
      <c r="AF271" s="168"/>
      <c r="AG271" s="168"/>
      <c r="AH271" s="168"/>
      <c r="AI271" s="168"/>
      <c r="AJ271" s="168"/>
      <c r="AK271" s="168"/>
      <c r="AL271" s="168"/>
      <c r="AM271" s="71"/>
      <c r="AN271" s="71"/>
      <c r="AO271" s="71"/>
      <c r="AP271" s="71"/>
      <c r="AQ271" s="71"/>
      <c r="AR271" s="71"/>
      <c r="AS271" s="71"/>
      <c r="AT271" s="71"/>
      <c r="AU271" s="69">
        <f>SUM(RD[[#This Row],[IS2Inv1M1]:[IS4Inv1M3]])</f>
        <v>0</v>
      </c>
      <c r="AV271" s="69">
        <f>SUM(RD[[#This Row],[IS5Inv1M1]:[IS5Inv2M3]])</f>
        <v>0</v>
      </c>
      <c r="AW271" s="69">
        <f>SUM(RD[[#This Row],[O2RE9]:[O2RE192]])</f>
        <v>0</v>
      </c>
      <c r="AX271" s="149"/>
      <c r="AY271" s="149"/>
      <c r="AZ271" s="149"/>
      <c r="BA271" s="149"/>
      <c r="BB271" s="149"/>
      <c r="BC271" s="149"/>
      <c r="BD271" s="156" t="str">
        <f>IF((RD[[#This Row],[33 kV_F1_Ex (O2RE9)]]-AX270)*225000&lt;=0,"",(RD[[#This Row],[33 kV_F1_Ex (O2RE9)]]-AX270)*225000)</f>
        <v/>
      </c>
      <c r="BE271" s="153">
        <f>IF((RD[[#This Row],[33kV_OG1_Ex (O2RE9)]]-AY270)*1000&lt;=0,0,(RD[[#This Row],[33kV_OG1_Ex (O2RE9)]]-AY270)*1000)</f>
        <v>0</v>
      </c>
      <c r="BF271" s="153"/>
      <c r="BG271" s="153" t="str">
        <f>IF((RD[[#This Row],[33 kV_F2_Ex (O2RE19)]]-BA270)*150000&lt;=0,"",(RD[[#This Row],[33 kV_F2_Ex (O2RE19)]]-BA270)*150000)</f>
        <v/>
      </c>
      <c r="BH271" s="153">
        <f>IF((RD[[#This Row],[33kV_OG2_Ex (O2RE19)]]-BB270)*1000&lt;=0,0,(RD[[#This Row],[33kV_OG2_Ex (O2RE19)]]-BB270)*1000)</f>
        <v>0</v>
      </c>
      <c r="BI271" s="153">
        <f>IF((RD[[#This Row],[33kV_Aux2_Im (O2RE19)]]-BC270)*1000&lt;0,"",(RD[[#This Row],[33kV_Aux2_Im (O2RE19)]]-BC270)*1000)</f>
        <v>0</v>
      </c>
      <c r="BJ271" s="153">
        <f>IF((RD[[#This Row],[33kV_Aux1_Im (O2RE9)]]-AZ270)*1000&lt;0,"",(RD[[#This Row],[33kV_Aux1_Im (O2RE9)]]-AZ270)*1000)</f>
        <v>0</v>
      </c>
      <c r="BK271" s="153">
        <f>SUM(RD[[#This Row],[33kV_OG1_O2RE9_Energy (KWh)]],RD[[#This Row],[33kV_OG2_O2RE19_Energy (KWh)]])</f>
        <v>0</v>
      </c>
      <c r="BL271" s="62" t="str">
        <f>IFERROR(RD[[#This Row],[33 kV Total Export (KWH)]]/RD[[#This Row],[Inv Total Gneration (MWh)]]-1,"")</f>
        <v/>
      </c>
      <c r="BM271" s="63">
        <f>IFERROR((RD[[#This Row],[Sunset Time (POA&lt;20 W/m2)]]-RD[[#This Row],[Sunrise Time (POA&gt;20 W/m2)]])*24,0)</f>
        <v>0</v>
      </c>
      <c r="BN271" s="64">
        <f>SUM(RD[[#This Row],[33kV_OG1_O2RE9_Energy (KWh)]],RD[[#This Row],[33kV_OG2_O2RE19_Energy (KWh)]])</f>
        <v>0</v>
      </c>
      <c r="BO271" s="64">
        <f>IFERROR(RD[[#This Row],[ Export (33 kV)]]*(1-RD[[#This Row],[33 kV Line Loss (%)]]),RD[[#This Row],[ Export (33 kV)]])</f>
        <v>0</v>
      </c>
      <c r="BP271" s="189"/>
      <c r="BQ271" s="189"/>
      <c r="BR271" s="189"/>
      <c r="BS271" t="str">
        <f>IFERROR(RD[[#This Row],[E_AC (WPR)]]/RD[[#This Row],[E_DC (WPR)]],"")</f>
        <v/>
      </c>
    </row>
    <row r="272" spans="1:71">
      <c r="A272" s="147">
        <f t="shared" si="77"/>
        <v>46106</v>
      </c>
      <c r="B272" s="150">
        <f>YEAR(RD[[#This Row],[Date]])+IF(MONTH(RD[[#This Row],[Date]])&gt;=4,1,0)</f>
        <v>2026</v>
      </c>
      <c r="C272" s="150">
        <f>YEAR(RD[[#This Row],[Date]])</f>
        <v>2026</v>
      </c>
      <c r="D272" s="65">
        <f t="shared" si="76"/>
        <v>46082</v>
      </c>
      <c r="E272" s="150">
        <f>DAY(EOMONTH(RD[[#This Row],[Date]],0))</f>
        <v>31</v>
      </c>
      <c r="F272" s="171"/>
      <c r="G272" s="171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68"/>
      <c r="AF272" s="168"/>
      <c r="AG272" s="168"/>
      <c r="AH272" s="168"/>
      <c r="AI272" s="168"/>
      <c r="AJ272" s="168"/>
      <c r="AK272" s="168"/>
      <c r="AL272" s="168"/>
      <c r="AM272" s="71"/>
      <c r="AN272" s="71"/>
      <c r="AO272" s="71"/>
      <c r="AP272" s="71"/>
      <c r="AQ272" s="71"/>
      <c r="AR272" s="71"/>
      <c r="AS272" s="71"/>
      <c r="AT272" s="71"/>
      <c r="AU272" s="69">
        <f>SUM(RD[[#This Row],[IS2Inv1M1]:[IS4Inv1M3]])</f>
        <v>0</v>
      </c>
      <c r="AV272" s="69">
        <f>SUM(RD[[#This Row],[IS5Inv1M1]:[IS5Inv2M3]])</f>
        <v>0</v>
      </c>
      <c r="AW272" s="69">
        <f>SUM(RD[[#This Row],[O2RE9]:[O2RE192]])</f>
        <v>0</v>
      </c>
      <c r="AX272" s="149"/>
      <c r="AY272" s="149"/>
      <c r="AZ272" s="149"/>
      <c r="BA272" s="149"/>
      <c r="BB272" s="149"/>
      <c r="BC272" s="149"/>
      <c r="BD272" s="156" t="str">
        <f>IF((RD[[#This Row],[33 kV_F1_Ex (O2RE9)]]-AX271)*225000&lt;=0,"",(RD[[#This Row],[33 kV_F1_Ex (O2RE9)]]-AX271)*225000)</f>
        <v/>
      </c>
      <c r="BE272" s="153">
        <f>IF((RD[[#This Row],[33kV_OG1_Ex (O2RE9)]]-AY271)*1000&lt;=0,0,(RD[[#This Row],[33kV_OG1_Ex (O2RE9)]]-AY271)*1000)</f>
        <v>0</v>
      </c>
      <c r="BF272" s="153"/>
      <c r="BG272" s="153" t="str">
        <f>IF((RD[[#This Row],[33 kV_F2_Ex (O2RE19)]]-BA271)*150000&lt;=0,"",(RD[[#This Row],[33 kV_F2_Ex (O2RE19)]]-BA271)*150000)</f>
        <v/>
      </c>
      <c r="BH272" s="153">
        <f>IF((RD[[#This Row],[33kV_OG2_Ex (O2RE19)]]-BB271)*1000&lt;=0,0,(RD[[#This Row],[33kV_OG2_Ex (O2RE19)]]-BB271)*1000)</f>
        <v>0</v>
      </c>
      <c r="BI272" s="153">
        <f>IF((RD[[#This Row],[33kV_Aux2_Im (O2RE19)]]-BC271)*1000&lt;0,"",(RD[[#This Row],[33kV_Aux2_Im (O2RE19)]]-BC271)*1000)</f>
        <v>0</v>
      </c>
      <c r="BJ272" s="153">
        <f>IF((RD[[#This Row],[33kV_Aux1_Im (O2RE9)]]-AZ271)*1000&lt;0,"",(RD[[#This Row],[33kV_Aux1_Im (O2RE9)]]-AZ271)*1000)</f>
        <v>0</v>
      </c>
      <c r="BK272" s="153">
        <f>SUM(RD[[#This Row],[33kV_OG1_O2RE9_Energy (KWh)]],RD[[#This Row],[33kV_OG2_O2RE19_Energy (KWh)]])</f>
        <v>0</v>
      </c>
      <c r="BL272" s="62" t="str">
        <f>IFERROR(RD[[#This Row],[33 kV Total Export (KWH)]]/RD[[#This Row],[Inv Total Gneration (MWh)]]-1,"")</f>
        <v/>
      </c>
      <c r="BM272" s="63">
        <f>IFERROR((RD[[#This Row],[Sunset Time (POA&lt;20 W/m2)]]-RD[[#This Row],[Sunrise Time (POA&gt;20 W/m2)]])*24,0)</f>
        <v>0</v>
      </c>
      <c r="BN272" s="64">
        <f>SUM(RD[[#This Row],[33kV_OG1_O2RE9_Energy (KWh)]],RD[[#This Row],[33kV_OG2_O2RE19_Energy (KWh)]])</f>
        <v>0</v>
      </c>
      <c r="BO272" s="64">
        <f>IFERROR(RD[[#This Row],[ Export (33 kV)]]*(1-RD[[#This Row],[33 kV Line Loss (%)]]),RD[[#This Row],[ Export (33 kV)]])</f>
        <v>0</v>
      </c>
      <c r="BP272" s="189"/>
      <c r="BQ272" s="189"/>
      <c r="BR272" s="189"/>
      <c r="BS272" t="str">
        <f>IFERROR(RD[[#This Row],[E_AC (WPR)]]/RD[[#This Row],[E_DC (WPR)]],"")</f>
        <v/>
      </c>
    </row>
    <row r="273" spans="1:71">
      <c r="A273" s="147">
        <f t="shared" si="77"/>
        <v>46107</v>
      </c>
      <c r="B273" s="150">
        <f>YEAR(RD[[#This Row],[Date]])+IF(MONTH(RD[[#This Row],[Date]])&gt;=4,1,0)</f>
        <v>2026</v>
      </c>
      <c r="C273" s="150">
        <f>YEAR(RD[[#This Row],[Date]])</f>
        <v>2026</v>
      </c>
      <c r="D273" s="65">
        <f t="shared" si="76"/>
        <v>46082</v>
      </c>
      <c r="E273" s="150">
        <f>DAY(EOMONTH(RD[[#This Row],[Date]],0))</f>
        <v>31</v>
      </c>
      <c r="F273" s="171"/>
      <c r="G273" s="171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68"/>
      <c r="AF273" s="168"/>
      <c r="AG273" s="168"/>
      <c r="AH273" s="168"/>
      <c r="AI273" s="168"/>
      <c r="AJ273" s="168"/>
      <c r="AK273" s="168"/>
      <c r="AL273" s="168"/>
      <c r="AM273" s="71"/>
      <c r="AN273" s="71"/>
      <c r="AO273" s="71"/>
      <c r="AP273" s="71"/>
      <c r="AQ273" s="71"/>
      <c r="AR273" s="71"/>
      <c r="AS273" s="71"/>
      <c r="AT273" s="71"/>
      <c r="AU273" s="69">
        <f>SUM(RD[[#This Row],[IS2Inv1M1]:[IS4Inv1M3]])</f>
        <v>0</v>
      </c>
      <c r="AV273" s="69">
        <f>SUM(RD[[#This Row],[IS5Inv1M1]:[IS5Inv2M3]])</f>
        <v>0</v>
      </c>
      <c r="AW273" s="69">
        <f>SUM(RD[[#This Row],[O2RE9]:[O2RE192]])</f>
        <v>0</v>
      </c>
      <c r="AX273" s="149"/>
      <c r="AY273" s="149"/>
      <c r="AZ273" s="149"/>
      <c r="BA273" s="149"/>
      <c r="BB273" s="149"/>
      <c r="BC273" s="149"/>
      <c r="BD273" s="156" t="str">
        <f>IF((RD[[#This Row],[33 kV_F1_Ex (O2RE9)]]-AX272)*225000&lt;=0,"",(RD[[#This Row],[33 kV_F1_Ex (O2RE9)]]-AX272)*225000)</f>
        <v/>
      </c>
      <c r="BE273" s="153">
        <f>IF((RD[[#This Row],[33kV_OG1_Ex (O2RE9)]]-AY272)*1000&lt;=0,0,(RD[[#This Row],[33kV_OG1_Ex (O2RE9)]]-AY272)*1000)</f>
        <v>0</v>
      </c>
      <c r="BF273" s="153"/>
      <c r="BG273" s="153" t="str">
        <f>IF((RD[[#This Row],[33 kV_F2_Ex (O2RE19)]]-BA272)*150000&lt;=0,"",(RD[[#This Row],[33 kV_F2_Ex (O2RE19)]]-BA272)*150000)</f>
        <v/>
      </c>
      <c r="BH273" s="153">
        <f>IF((RD[[#This Row],[33kV_OG2_Ex (O2RE19)]]-BB272)*1000&lt;=0,0,(RD[[#This Row],[33kV_OG2_Ex (O2RE19)]]-BB272)*1000)</f>
        <v>0</v>
      </c>
      <c r="BI273" s="153">
        <f>IF((RD[[#This Row],[33kV_Aux2_Im (O2RE19)]]-BC272)*1000&lt;0,"",(RD[[#This Row],[33kV_Aux2_Im (O2RE19)]]-BC272)*1000)</f>
        <v>0</v>
      </c>
      <c r="BJ273" s="153">
        <f>IF((RD[[#This Row],[33kV_Aux1_Im (O2RE9)]]-AZ272)*1000&lt;0,"",(RD[[#This Row],[33kV_Aux1_Im (O2RE9)]]-AZ272)*1000)</f>
        <v>0</v>
      </c>
      <c r="BK273" s="153">
        <f>SUM(RD[[#This Row],[33kV_OG1_O2RE9_Energy (KWh)]],RD[[#This Row],[33kV_OG2_O2RE19_Energy (KWh)]])</f>
        <v>0</v>
      </c>
      <c r="BL273" s="62" t="str">
        <f>IFERROR(RD[[#This Row],[33 kV Total Export (KWH)]]/RD[[#This Row],[Inv Total Gneration (MWh)]]-1,"")</f>
        <v/>
      </c>
      <c r="BM273" s="63">
        <f>IFERROR((RD[[#This Row],[Sunset Time (POA&lt;20 W/m2)]]-RD[[#This Row],[Sunrise Time (POA&gt;20 W/m2)]])*24,0)</f>
        <v>0</v>
      </c>
      <c r="BN273" s="64">
        <f>SUM(RD[[#This Row],[33kV_OG1_O2RE9_Energy (KWh)]],RD[[#This Row],[33kV_OG2_O2RE19_Energy (KWh)]])</f>
        <v>0</v>
      </c>
      <c r="BO273" s="64">
        <f>IFERROR(RD[[#This Row],[ Export (33 kV)]]*(1-RD[[#This Row],[33 kV Line Loss (%)]]),RD[[#This Row],[ Export (33 kV)]])</f>
        <v>0</v>
      </c>
      <c r="BP273" s="189"/>
      <c r="BQ273" s="189"/>
      <c r="BR273" s="189"/>
      <c r="BS273" t="str">
        <f>IFERROR(RD[[#This Row],[E_AC (WPR)]]/RD[[#This Row],[E_DC (WPR)]],"")</f>
        <v/>
      </c>
    </row>
    <row r="274" spans="1:71">
      <c r="A274" s="147">
        <f t="shared" si="77"/>
        <v>46108</v>
      </c>
      <c r="B274" s="150">
        <f>YEAR(RD[[#This Row],[Date]])+IF(MONTH(RD[[#This Row],[Date]])&gt;=4,1,0)</f>
        <v>2026</v>
      </c>
      <c r="C274" s="150">
        <f>YEAR(RD[[#This Row],[Date]])</f>
        <v>2026</v>
      </c>
      <c r="D274" s="65">
        <f t="shared" si="76"/>
        <v>46082</v>
      </c>
      <c r="E274" s="150">
        <f>DAY(EOMONTH(RD[[#This Row],[Date]],0))</f>
        <v>31</v>
      </c>
      <c r="F274" s="171"/>
      <c r="G274" s="171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68"/>
      <c r="AF274" s="168"/>
      <c r="AG274" s="168"/>
      <c r="AH274" s="168"/>
      <c r="AI274" s="168"/>
      <c r="AJ274" s="168"/>
      <c r="AK274" s="168"/>
      <c r="AL274" s="168"/>
      <c r="AM274" s="71"/>
      <c r="AN274" s="71"/>
      <c r="AO274" s="71"/>
      <c r="AP274" s="71"/>
      <c r="AQ274" s="71"/>
      <c r="AR274" s="71"/>
      <c r="AS274" s="71"/>
      <c r="AT274" s="71"/>
      <c r="AU274" s="69">
        <f>SUM(RD[[#This Row],[IS2Inv1M1]:[IS4Inv1M3]])</f>
        <v>0</v>
      </c>
      <c r="AV274" s="69">
        <f>SUM(RD[[#This Row],[IS5Inv1M1]:[IS5Inv2M3]])</f>
        <v>0</v>
      </c>
      <c r="AW274" s="69">
        <f>SUM(RD[[#This Row],[O2RE9]:[O2RE192]])</f>
        <v>0</v>
      </c>
      <c r="AX274" s="149"/>
      <c r="AY274" s="149"/>
      <c r="AZ274" s="149"/>
      <c r="BA274" s="149"/>
      <c r="BB274" s="149"/>
      <c r="BC274" s="149"/>
      <c r="BD274" s="156" t="str">
        <f>IF((RD[[#This Row],[33 kV_F1_Ex (O2RE9)]]-AX273)*225000&lt;=0,"",(RD[[#This Row],[33 kV_F1_Ex (O2RE9)]]-AX273)*225000)</f>
        <v/>
      </c>
      <c r="BE274" s="153">
        <f>IF((RD[[#This Row],[33kV_OG1_Ex (O2RE9)]]-AY273)*1000&lt;=0,0,(RD[[#This Row],[33kV_OG1_Ex (O2RE9)]]-AY273)*1000)</f>
        <v>0</v>
      </c>
      <c r="BF274" s="153"/>
      <c r="BG274" s="153" t="str">
        <f>IF((RD[[#This Row],[33 kV_F2_Ex (O2RE19)]]-BA273)*150000&lt;=0,"",(RD[[#This Row],[33 kV_F2_Ex (O2RE19)]]-BA273)*150000)</f>
        <v/>
      </c>
      <c r="BH274" s="153">
        <f>IF((RD[[#This Row],[33kV_OG2_Ex (O2RE19)]]-BB273)*1000&lt;=0,0,(RD[[#This Row],[33kV_OG2_Ex (O2RE19)]]-BB273)*1000)</f>
        <v>0</v>
      </c>
      <c r="BI274" s="153">
        <f>IF((RD[[#This Row],[33kV_Aux2_Im (O2RE19)]]-BC273)*1000&lt;0,"",(RD[[#This Row],[33kV_Aux2_Im (O2RE19)]]-BC273)*1000)</f>
        <v>0</v>
      </c>
      <c r="BJ274" s="153">
        <f>IF((RD[[#This Row],[33kV_Aux1_Im (O2RE9)]]-AZ273)*1000&lt;0,"",(RD[[#This Row],[33kV_Aux1_Im (O2RE9)]]-AZ273)*1000)</f>
        <v>0</v>
      </c>
      <c r="BK274" s="153">
        <f>SUM(RD[[#This Row],[33kV_OG1_O2RE9_Energy (KWh)]],RD[[#This Row],[33kV_OG2_O2RE19_Energy (KWh)]])</f>
        <v>0</v>
      </c>
      <c r="BL274" s="62" t="str">
        <f>IFERROR(RD[[#This Row],[33 kV Total Export (KWH)]]/RD[[#This Row],[Inv Total Gneration (MWh)]]-1,"")</f>
        <v/>
      </c>
      <c r="BM274" s="63">
        <f>IFERROR((RD[[#This Row],[Sunset Time (POA&lt;20 W/m2)]]-RD[[#This Row],[Sunrise Time (POA&gt;20 W/m2)]])*24,0)</f>
        <v>0</v>
      </c>
      <c r="BN274" s="64">
        <f>SUM(RD[[#This Row],[33kV_OG1_O2RE9_Energy (KWh)]],RD[[#This Row],[33kV_OG2_O2RE19_Energy (KWh)]])</f>
        <v>0</v>
      </c>
      <c r="BO274" s="64">
        <f>IFERROR(RD[[#This Row],[ Export (33 kV)]]*(1-RD[[#This Row],[33 kV Line Loss (%)]]),RD[[#This Row],[ Export (33 kV)]])</f>
        <v>0</v>
      </c>
      <c r="BP274" s="189"/>
      <c r="BQ274" s="189"/>
      <c r="BR274" s="189"/>
      <c r="BS274" t="str">
        <f>IFERROR(RD[[#This Row],[E_AC (WPR)]]/RD[[#This Row],[E_DC (WPR)]],"")</f>
        <v/>
      </c>
    </row>
    <row r="275" spans="1:71">
      <c r="A275" s="147">
        <f t="shared" si="77"/>
        <v>46109</v>
      </c>
      <c r="B275" s="150">
        <f>YEAR(RD[[#This Row],[Date]])+IF(MONTH(RD[[#This Row],[Date]])&gt;=4,1,0)</f>
        <v>2026</v>
      </c>
      <c r="C275" s="150">
        <f>YEAR(RD[[#This Row],[Date]])</f>
        <v>2026</v>
      </c>
      <c r="D275" s="65">
        <f t="shared" si="76"/>
        <v>46082</v>
      </c>
      <c r="E275" s="150">
        <f>DAY(EOMONTH(RD[[#This Row],[Date]],0))</f>
        <v>31</v>
      </c>
      <c r="F275" s="171"/>
      <c r="G275" s="171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68"/>
      <c r="AF275" s="168"/>
      <c r="AG275" s="168"/>
      <c r="AH275" s="168"/>
      <c r="AI275" s="168"/>
      <c r="AJ275" s="168"/>
      <c r="AK275" s="168"/>
      <c r="AL275" s="168"/>
      <c r="AM275" s="71"/>
      <c r="AN275" s="71"/>
      <c r="AO275" s="71"/>
      <c r="AP275" s="71"/>
      <c r="AQ275" s="71"/>
      <c r="AR275" s="71"/>
      <c r="AS275" s="71"/>
      <c r="AT275" s="71"/>
      <c r="AU275" s="69">
        <f>SUM(RD[[#This Row],[IS2Inv1M1]:[IS4Inv1M3]])</f>
        <v>0</v>
      </c>
      <c r="AV275" s="69">
        <f>SUM(RD[[#This Row],[IS5Inv1M1]:[IS5Inv2M3]])</f>
        <v>0</v>
      </c>
      <c r="AW275" s="69">
        <f>SUM(RD[[#This Row],[O2RE9]:[O2RE192]])</f>
        <v>0</v>
      </c>
      <c r="AX275" s="149"/>
      <c r="AY275" s="149"/>
      <c r="AZ275" s="149"/>
      <c r="BA275" s="149"/>
      <c r="BB275" s="149"/>
      <c r="BC275" s="149"/>
      <c r="BD275" s="156" t="str">
        <f>IF((RD[[#This Row],[33 kV_F1_Ex (O2RE9)]]-AX274)*225000&lt;=0,"",(RD[[#This Row],[33 kV_F1_Ex (O2RE9)]]-AX274)*225000)</f>
        <v/>
      </c>
      <c r="BE275" s="153">
        <f>IF((RD[[#This Row],[33kV_OG1_Ex (O2RE9)]]-AY274)*1000&lt;=0,0,(RD[[#This Row],[33kV_OG1_Ex (O2RE9)]]-AY274)*1000)</f>
        <v>0</v>
      </c>
      <c r="BF275" s="153"/>
      <c r="BG275" s="153" t="str">
        <f>IF((RD[[#This Row],[33 kV_F2_Ex (O2RE19)]]-BA274)*150000&lt;=0,"",(RD[[#This Row],[33 kV_F2_Ex (O2RE19)]]-BA274)*150000)</f>
        <v/>
      </c>
      <c r="BH275" s="153">
        <f>IF((RD[[#This Row],[33kV_OG2_Ex (O2RE19)]]-BB274)*1000&lt;=0,0,(RD[[#This Row],[33kV_OG2_Ex (O2RE19)]]-BB274)*1000)</f>
        <v>0</v>
      </c>
      <c r="BI275" s="153">
        <f>IF((RD[[#This Row],[33kV_Aux2_Im (O2RE19)]]-BC274)*1000&lt;0,"",(RD[[#This Row],[33kV_Aux2_Im (O2RE19)]]-BC274)*1000)</f>
        <v>0</v>
      </c>
      <c r="BJ275" s="153">
        <f>IF((RD[[#This Row],[33kV_Aux1_Im (O2RE9)]]-AZ274)*1000&lt;0,"",(RD[[#This Row],[33kV_Aux1_Im (O2RE9)]]-AZ274)*1000)</f>
        <v>0</v>
      </c>
      <c r="BK275" s="153">
        <f>SUM(RD[[#This Row],[33kV_OG1_O2RE9_Energy (KWh)]],RD[[#This Row],[33kV_OG2_O2RE19_Energy (KWh)]])</f>
        <v>0</v>
      </c>
      <c r="BL275" s="62" t="str">
        <f>IFERROR(RD[[#This Row],[33 kV Total Export (KWH)]]/RD[[#This Row],[Inv Total Gneration (MWh)]]-1,"")</f>
        <v/>
      </c>
      <c r="BM275" s="63">
        <f>IFERROR((RD[[#This Row],[Sunset Time (POA&lt;20 W/m2)]]-RD[[#This Row],[Sunrise Time (POA&gt;20 W/m2)]])*24,0)</f>
        <v>0</v>
      </c>
      <c r="BN275" s="64">
        <f>SUM(RD[[#This Row],[33kV_OG1_O2RE9_Energy (KWh)]],RD[[#This Row],[33kV_OG2_O2RE19_Energy (KWh)]])</f>
        <v>0</v>
      </c>
      <c r="BO275" s="64">
        <f>IFERROR(RD[[#This Row],[ Export (33 kV)]]*(1-RD[[#This Row],[33 kV Line Loss (%)]]),RD[[#This Row],[ Export (33 kV)]])</f>
        <v>0</v>
      </c>
      <c r="BP275" s="189"/>
      <c r="BQ275" s="189"/>
      <c r="BR275" s="189"/>
      <c r="BS275" t="str">
        <f>IFERROR(RD[[#This Row],[E_AC (WPR)]]/RD[[#This Row],[E_DC (WPR)]],"")</f>
        <v/>
      </c>
    </row>
    <row r="276" spans="1:71">
      <c r="A276" s="147">
        <f t="shared" si="77"/>
        <v>46110</v>
      </c>
      <c r="B276" s="150">
        <f>YEAR(RD[[#This Row],[Date]])+IF(MONTH(RD[[#This Row],[Date]])&gt;=4,1,0)</f>
        <v>2026</v>
      </c>
      <c r="C276" s="150">
        <f>YEAR(RD[[#This Row],[Date]])</f>
        <v>2026</v>
      </c>
      <c r="D276" s="65">
        <f t="shared" si="76"/>
        <v>46082</v>
      </c>
      <c r="E276" s="150">
        <f>DAY(EOMONTH(RD[[#This Row],[Date]],0))</f>
        <v>31</v>
      </c>
      <c r="F276" s="171"/>
      <c r="G276" s="171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68"/>
      <c r="AF276" s="168"/>
      <c r="AG276" s="168"/>
      <c r="AH276" s="168"/>
      <c r="AI276" s="168"/>
      <c r="AJ276" s="168"/>
      <c r="AK276" s="168"/>
      <c r="AL276" s="168"/>
      <c r="AM276" s="71"/>
      <c r="AN276" s="71"/>
      <c r="AO276" s="71"/>
      <c r="AP276" s="71"/>
      <c r="AQ276" s="71"/>
      <c r="AR276" s="71"/>
      <c r="AS276" s="71"/>
      <c r="AT276" s="71"/>
      <c r="AU276" s="69">
        <f>SUM(RD[[#This Row],[IS2Inv1M1]:[IS4Inv1M3]])</f>
        <v>0</v>
      </c>
      <c r="AV276" s="69">
        <f>SUM(RD[[#This Row],[IS5Inv1M1]:[IS5Inv2M3]])</f>
        <v>0</v>
      </c>
      <c r="AW276" s="69">
        <f>SUM(RD[[#This Row],[O2RE9]:[O2RE192]])</f>
        <v>0</v>
      </c>
      <c r="AX276" s="149"/>
      <c r="AY276" s="149"/>
      <c r="AZ276" s="149"/>
      <c r="BA276" s="149"/>
      <c r="BB276" s="149"/>
      <c r="BC276" s="149"/>
      <c r="BD276" s="156" t="str">
        <f>IF((RD[[#This Row],[33 kV_F1_Ex (O2RE9)]]-AX275)*225000&lt;=0,"",(RD[[#This Row],[33 kV_F1_Ex (O2RE9)]]-AX275)*225000)</f>
        <v/>
      </c>
      <c r="BE276" s="153">
        <f>IF((RD[[#This Row],[33kV_OG1_Ex (O2RE9)]]-AY275)*1000&lt;=0,0,(RD[[#This Row],[33kV_OG1_Ex (O2RE9)]]-AY275)*1000)</f>
        <v>0</v>
      </c>
      <c r="BF276" s="153"/>
      <c r="BG276" s="153" t="str">
        <f>IF((RD[[#This Row],[33 kV_F2_Ex (O2RE19)]]-BA275)*150000&lt;=0,"",(RD[[#This Row],[33 kV_F2_Ex (O2RE19)]]-BA275)*150000)</f>
        <v/>
      </c>
      <c r="BH276" s="153">
        <f>IF((RD[[#This Row],[33kV_OG2_Ex (O2RE19)]]-BB275)*1000&lt;=0,0,(RD[[#This Row],[33kV_OG2_Ex (O2RE19)]]-BB275)*1000)</f>
        <v>0</v>
      </c>
      <c r="BI276" s="153">
        <f>IF((RD[[#This Row],[33kV_Aux2_Im (O2RE19)]]-BC275)*1000&lt;0,"",(RD[[#This Row],[33kV_Aux2_Im (O2RE19)]]-BC275)*1000)</f>
        <v>0</v>
      </c>
      <c r="BJ276" s="153">
        <f>IF((RD[[#This Row],[33kV_Aux1_Im (O2RE9)]]-AZ275)*1000&lt;0,"",(RD[[#This Row],[33kV_Aux1_Im (O2RE9)]]-AZ275)*1000)</f>
        <v>0</v>
      </c>
      <c r="BK276" s="153">
        <f>SUM(RD[[#This Row],[33kV_OG1_O2RE9_Energy (KWh)]],RD[[#This Row],[33kV_OG2_O2RE19_Energy (KWh)]])</f>
        <v>0</v>
      </c>
      <c r="BL276" s="62" t="str">
        <f>IFERROR(RD[[#This Row],[33 kV Total Export (KWH)]]/RD[[#This Row],[Inv Total Gneration (MWh)]]-1,"")</f>
        <v/>
      </c>
      <c r="BM276" s="63">
        <f>IFERROR((RD[[#This Row],[Sunset Time (POA&lt;20 W/m2)]]-RD[[#This Row],[Sunrise Time (POA&gt;20 W/m2)]])*24,0)</f>
        <v>0</v>
      </c>
      <c r="BN276" s="64">
        <f>SUM(RD[[#This Row],[33kV_OG1_O2RE9_Energy (KWh)]],RD[[#This Row],[33kV_OG2_O2RE19_Energy (KWh)]])</f>
        <v>0</v>
      </c>
      <c r="BO276" s="64">
        <f>IFERROR(RD[[#This Row],[ Export (33 kV)]]*(1-RD[[#This Row],[33 kV Line Loss (%)]]),RD[[#This Row],[ Export (33 kV)]])</f>
        <v>0</v>
      </c>
      <c r="BP276" s="189"/>
      <c r="BQ276" s="189"/>
      <c r="BR276" s="189"/>
      <c r="BS276" t="str">
        <f>IFERROR(RD[[#This Row],[E_AC (WPR)]]/RD[[#This Row],[E_DC (WPR)]],"")</f>
        <v/>
      </c>
    </row>
    <row r="277" spans="1:71">
      <c r="A277" s="147">
        <f t="shared" si="77"/>
        <v>46111</v>
      </c>
      <c r="B277" s="150">
        <f>YEAR(RD[[#This Row],[Date]])+IF(MONTH(RD[[#This Row],[Date]])&gt;=4,1,0)</f>
        <v>2026</v>
      </c>
      <c r="C277" s="150">
        <f>YEAR(RD[[#This Row],[Date]])</f>
        <v>2026</v>
      </c>
      <c r="D277" s="65">
        <f t="shared" si="76"/>
        <v>46082</v>
      </c>
      <c r="E277" s="150">
        <f>DAY(EOMONTH(RD[[#This Row],[Date]],0))</f>
        <v>31</v>
      </c>
      <c r="F277" s="171"/>
      <c r="G277" s="171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68"/>
      <c r="AF277" s="168"/>
      <c r="AG277" s="168"/>
      <c r="AH277" s="168"/>
      <c r="AI277" s="168"/>
      <c r="AJ277" s="168"/>
      <c r="AK277" s="168"/>
      <c r="AL277" s="168"/>
      <c r="AM277" s="71"/>
      <c r="AN277" s="71"/>
      <c r="AO277" s="71"/>
      <c r="AP277" s="71"/>
      <c r="AQ277" s="71"/>
      <c r="AR277" s="71"/>
      <c r="AS277" s="71"/>
      <c r="AT277" s="71"/>
      <c r="AU277" s="69">
        <f>SUM(RD[[#This Row],[IS2Inv1M1]:[IS4Inv1M3]])</f>
        <v>0</v>
      </c>
      <c r="AV277" s="69">
        <f>SUM(RD[[#This Row],[IS5Inv1M1]:[IS5Inv2M3]])</f>
        <v>0</v>
      </c>
      <c r="AW277" s="69">
        <f>SUM(RD[[#This Row],[O2RE9]:[O2RE192]])</f>
        <v>0</v>
      </c>
      <c r="AX277" s="149"/>
      <c r="AY277" s="149"/>
      <c r="AZ277" s="149"/>
      <c r="BA277" s="149"/>
      <c r="BB277" s="149"/>
      <c r="BC277" s="149"/>
      <c r="BD277" s="156" t="str">
        <f>IF((RD[[#This Row],[33 kV_F1_Ex (O2RE9)]]-AX276)*225000&lt;=0,"",(RD[[#This Row],[33 kV_F1_Ex (O2RE9)]]-AX276)*225000)</f>
        <v/>
      </c>
      <c r="BE277" s="153">
        <f>IF((RD[[#This Row],[33kV_OG1_Ex (O2RE9)]]-AY276)*1000&lt;=0,0,(RD[[#This Row],[33kV_OG1_Ex (O2RE9)]]-AY276)*1000)</f>
        <v>0</v>
      </c>
      <c r="BF277" s="153"/>
      <c r="BG277" s="153" t="str">
        <f>IF((RD[[#This Row],[33 kV_F2_Ex (O2RE19)]]-BA276)*150000&lt;=0,"",(RD[[#This Row],[33 kV_F2_Ex (O2RE19)]]-BA276)*150000)</f>
        <v/>
      </c>
      <c r="BH277" s="153">
        <f>IF((RD[[#This Row],[33kV_OG2_Ex (O2RE19)]]-BB276)*1000&lt;=0,0,(RD[[#This Row],[33kV_OG2_Ex (O2RE19)]]-BB276)*1000)</f>
        <v>0</v>
      </c>
      <c r="BI277" s="153">
        <f>IF((RD[[#This Row],[33kV_Aux2_Im (O2RE19)]]-BC276)*1000&lt;0,"",(RD[[#This Row],[33kV_Aux2_Im (O2RE19)]]-BC276)*1000)</f>
        <v>0</v>
      </c>
      <c r="BJ277" s="153">
        <f>IF((RD[[#This Row],[33kV_Aux1_Im (O2RE9)]]-AZ276)*1000&lt;0,"",(RD[[#This Row],[33kV_Aux1_Im (O2RE9)]]-AZ276)*1000)</f>
        <v>0</v>
      </c>
      <c r="BK277" s="153">
        <f>SUM(RD[[#This Row],[33kV_OG1_O2RE9_Energy (KWh)]],RD[[#This Row],[33kV_OG2_O2RE19_Energy (KWh)]])</f>
        <v>0</v>
      </c>
      <c r="BL277" s="62" t="str">
        <f>IFERROR(RD[[#This Row],[33 kV Total Export (KWH)]]/RD[[#This Row],[Inv Total Gneration (MWh)]]-1,"")</f>
        <v/>
      </c>
      <c r="BM277" s="63">
        <f>IFERROR((RD[[#This Row],[Sunset Time (POA&lt;20 W/m2)]]-RD[[#This Row],[Sunrise Time (POA&gt;20 W/m2)]])*24,0)</f>
        <v>0</v>
      </c>
      <c r="BN277" s="64">
        <f>SUM(RD[[#This Row],[33kV_OG1_O2RE9_Energy (KWh)]],RD[[#This Row],[33kV_OG2_O2RE19_Energy (KWh)]])</f>
        <v>0</v>
      </c>
      <c r="BO277" s="64">
        <f>IFERROR(RD[[#This Row],[ Export (33 kV)]]*(1-RD[[#This Row],[33 kV Line Loss (%)]]),RD[[#This Row],[ Export (33 kV)]])</f>
        <v>0</v>
      </c>
      <c r="BP277" s="189"/>
      <c r="BQ277" s="189"/>
      <c r="BR277" s="189"/>
      <c r="BS277" t="str">
        <f>IFERROR(RD[[#This Row],[E_AC (WPR)]]/RD[[#This Row],[E_DC (WPR)]],"")</f>
        <v/>
      </c>
    </row>
    <row r="278" spans="1:71">
      <c r="A278" s="147">
        <f t="shared" si="77"/>
        <v>46112</v>
      </c>
      <c r="B278" s="150">
        <f>YEAR(RD[[#This Row],[Date]])+IF(MONTH(RD[[#This Row],[Date]])&gt;=4,1,0)</f>
        <v>2026</v>
      </c>
      <c r="C278" s="150">
        <f>YEAR(RD[[#This Row],[Date]])</f>
        <v>2026</v>
      </c>
      <c r="D278" s="65">
        <f t="shared" si="76"/>
        <v>46082</v>
      </c>
      <c r="E278" s="150">
        <f>DAY(EOMONTH(RD[[#This Row],[Date]],0))</f>
        <v>31</v>
      </c>
      <c r="F278" s="171"/>
      <c r="G278" s="171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68"/>
      <c r="AF278" s="168"/>
      <c r="AG278" s="168"/>
      <c r="AH278" s="168"/>
      <c r="AI278" s="168"/>
      <c r="AJ278" s="168"/>
      <c r="AK278" s="168"/>
      <c r="AL278" s="168"/>
      <c r="AM278" s="71"/>
      <c r="AN278" s="71"/>
      <c r="AO278" s="71"/>
      <c r="AP278" s="71"/>
      <c r="AQ278" s="71"/>
      <c r="AR278" s="71"/>
      <c r="AS278" s="71"/>
      <c r="AT278" s="71"/>
      <c r="AU278" s="69">
        <f>SUM(RD[[#This Row],[IS2Inv1M1]:[IS4Inv1M3]])</f>
        <v>0</v>
      </c>
      <c r="AV278" s="69">
        <f>SUM(RD[[#This Row],[IS5Inv1M1]:[IS5Inv2M3]])</f>
        <v>0</v>
      </c>
      <c r="AW278" s="69">
        <f>SUM(RD[[#This Row],[O2RE9]:[O2RE192]])</f>
        <v>0</v>
      </c>
      <c r="AX278" s="149"/>
      <c r="AY278" s="149"/>
      <c r="AZ278" s="149"/>
      <c r="BA278" s="149"/>
      <c r="BB278" s="149"/>
      <c r="BC278" s="149"/>
      <c r="BD278" s="156" t="str">
        <f>IF((RD[[#This Row],[33 kV_F1_Ex (O2RE9)]]-AX277)*225000&lt;=0,"",(RD[[#This Row],[33 kV_F1_Ex (O2RE9)]]-AX277)*225000)</f>
        <v/>
      </c>
      <c r="BE278" s="153">
        <f>IF((RD[[#This Row],[33kV_OG1_Ex (O2RE9)]]-AY277)*1000&lt;=0,0,(RD[[#This Row],[33kV_OG1_Ex (O2RE9)]]-AY277)*1000)</f>
        <v>0</v>
      </c>
      <c r="BF278" s="153"/>
      <c r="BG278" s="153" t="str">
        <f>IF((RD[[#This Row],[33 kV_F2_Ex (O2RE19)]]-BA277)*150000&lt;=0,"",(RD[[#This Row],[33 kV_F2_Ex (O2RE19)]]-BA277)*150000)</f>
        <v/>
      </c>
      <c r="BH278" s="153">
        <f>IF((RD[[#This Row],[33kV_OG2_Ex (O2RE19)]]-BB277)*1000&lt;=0,0,(RD[[#This Row],[33kV_OG2_Ex (O2RE19)]]-BB277)*1000)</f>
        <v>0</v>
      </c>
      <c r="BI278" s="153">
        <f>IF((RD[[#This Row],[33kV_Aux2_Im (O2RE19)]]-BC277)*1000&lt;0,"",(RD[[#This Row],[33kV_Aux2_Im (O2RE19)]]-BC277)*1000)</f>
        <v>0</v>
      </c>
      <c r="BJ278" s="153">
        <f>IF((RD[[#This Row],[33kV_Aux1_Im (O2RE9)]]-AZ277)*1000&lt;0,"",(RD[[#This Row],[33kV_Aux1_Im (O2RE9)]]-AZ277)*1000)</f>
        <v>0</v>
      </c>
      <c r="BK278" s="153">
        <f>SUM(RD[[#This Row],[33kV_OG1_O2RE9_Energy (KWh)]],RD[[#This Row],[33kV_OG2_O2RE19_Energy (KWh)]])</f>
        <v>0</v>
      </c>
      <c r="BL278" s="62" t="str">
        <f>IFERROR(RD[[#This Row],[33 kV Total Export (KWH)]]/RD[[#This Row],[Inv Total Gneration (MWh)]]-1,"")</f>
        <v/>
      </c>
      <c r="BM278" s="63">
        <f>IFERROR((RD[[#This Row],[Sunset Time (POA&lt;20 W/m2)]]-RD[[#This Row],[Sunrise Time (POA&gt;20 W/m2)]])*24,0)</f>
        <v>0</v>
      </c>
      <c r="BN278" s="64">
        <f>SUM(RD[[#This Row],[33kV_OG1_O2RE9_Energy (KWh)]],RD[[#This Row],[33kV_OG2_O2RE19_Energy (KWh)]])</f>
        <v>0</v>
      </c>
      <c r="BO278" s="64">
        <f>IFERROR(RD[[#This Row],[ Export (33 kV)]]*(1-RD[[#This Row],[33 kV Line Loss (%)]]),RD[[#This Row],[ Export (33 kV)]])</f>
        <v>0</v>
      </c>
      <c r="BP278" s="189"/>
      <c r="BQ278" s="189"/>
      <c r="BR278" s="189"/>
      <c r="BS278" t="str">
        <f>IFERROR(RD[[#This Row],[E_AC (WPR)]]/RD[[#This Row],[E_DC (WPR)]],"")</f>
        <v/>
      </c>
    </row>
    <row r="279" spans="1:71">
      <c r="A279" s="147">
        <f t="shared" si="77"/>
        <v>46113</v>
      </c>
      <c r="B279" s="150">
        <f>YEAR(RD[[#This Row],[Date]])+IF(MONTH(RD[[#This Row],[Date]])&gt;=4,1,0)</f>
        <v>2027</v>
      </c>
      <c r="C279" s="150">
        <f>YEAR(RD[[#This Row],[Date]])</f>
        <v>2026</v>
      </c>
      <c r="D279" s="65">
        <f t="shared" si="76"/>
        <v>46113</v>
      </c>
      <c r="E279" s="150">
        <f>DAY(EOMONTH(RD[[#This Row],[Date]],0))</f>
        <v>30</v>
      </c>
      <c r="F279" s="171"/>
      <c r="G279" s="171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68"/>
      <c r="AF279" s="168"/>
      <c r="AG279" s="168"/>
      <c r="AH279" s="168"/>
      <c r="AI279" s="168"/>
      <c r="AJ279" s="168"/>
      <c r="AK279" s="168"/>
      <c r="AL279" s="168"/>
      <c r="AM279" s="71"/>
      <c r="AN279" s="71"/>
      <c r="AO279" s="71"/>
      <c r="AP279" s="71"/>
      <c r="AQ279" s="71"/>
      <c r="AR279" s="71"/>
      <c r="AS279" s="71"/>
      <c r="AT279" s="71"/>
      <c r="AU279" s="69">
        <f>SUM(RD[[#This Row],[IS2Inv1M1]:[IS4Inv1M3]])</f>
        <v>0</v>
      </c>
      <c r="AV279" s="69">
        <f>SUM(RD[[#This Row],[IS5Inv1M1]:[IS5Inv2M3]])</f>
        <v>0</v>
      </c>
      <c r="AW279" s="69">
        <f>SUM(RD[[#This Row],[O2RE9]:[O2RE192]])</f>
        <v>0</v>
      </c>
      <c r="AX279" s="149"/>
      <c r="AY279" s="149"/>
      <c r="AZ279" s="149"/>
      <c r="BA279" s="149"/>
      <c r="BB279" s="149"/>
      <c r="BC279" s="149"/>
      <c r="BD279" s="156" t="str">
        <f>IF((RD[[#This Row],[33 kV_F1_Ex (O2RE9)]]-AX278)*225000&lt;=0,"",(RD[[#This Row],[33 kV_F1_Ex (O2RE9)]]-AX278)*225000)</f>
        <v/>
      </c>
      <c r="BE279" s="153">
        <f>IF((RD[[#This Row],[33kV_OG1_Ex (O2RE9)]]-AY278)*1000&lt;=0,0,(RD[[#This Row],[33kV_OG1_Ex (O2RE9)]]-AY278)*1000)</f>
        <v>0</v>
      </c>
      <c r="BF279" s="153"/>
      <c r="BG279" s="153" t="str">
        <f>IF((RD[[#This Row],[33 kV_F2_Ex (O2RE19)]]-BA278)*150000&lt;=0,"",(RD[[#This Row],[33 kV_F2_Ex (O2RE19)]]-BA278)*150000)</f>
        <v/>
      </c>
      <c r="BH279" s="153">
        <f>IF((RD[[#This Row],[33kV_OG2_Ex (O2RE19)]]-BB278)*1000&lt;=0,0,(RD[[#This Row],[33kV_OG2_Ex (O2RE19)]]-BB278)*1000)</f>
        <v>0</v>
      </c>
      <c r="BI279" s="153">
        <f>IF((RD[[#This Row],[33kV_Aux2_Im (O2RE19)]]-BC278)*1000&lt;0,"",(RD[[#This Row],[33kV_Aux2_Im (O2RE19)]]-BC278)*1000)</f>
        <v>0</v>
      </c>
      <c r="BJ279" s="153">
        <f>IF((RD[[#This Row],[33kV_Aux1_Im (O2RE9)]]-AZ278)*1000&lt;0,"",(RD[[#This Row],[33kV_Aux1_Im (O2RE9)]]-AZ278)*1000)</f>
        <v>0</v>
      </c>
      <c r="BK279" s="153">
        <f>SUM(RD[[#This Row],[33kV_OG1_O2RE9_Energy (KWh)]],RD[[#This Row],[33kV_OG2_O2RE19_Energy (KWh)]])</f>
        <v>0</v>
      </c>
      <c r="BL279" s="62" t="str">
        <f>IFERROR(RD[[#This Row],[33 kV Total Export (KWH)]]/RD[[#This Row],[Inv Total Gneration (MWh)]]-1,"")</f>
        <v/>
      </c>
      <c r="BM279" s="63">
        <f>IFERROR((RD[[#This Row],[Sunset Time (POA&lt;20 W/m2)]]-RD[[#This Row],[Sunrise Time (POA&gt;20 W/m2)]])*24,0)</f>
        <v>0</v>
      </c>
      <c r="BN279" s="64">
        <f>SUM(RD[[#This Row],[33kV_OG1_O2RE9_Energy (KWh)]],RD[[#This Row],[33kV_OG2_O2RE19_Energy (KWh)]])</f>
        <v>0</v>
      </c>
      <c r="BO279" s="64">
        <f>IFERROR(RD[[#This Row],[ Export (33 kV)]]*(1-RD[[#This Row],[33 kV Line Loss (%)]]),RD[[#This Row],[ Export (33 kV)]])</f>
        <v>0</v>
      </c>
      <c r="BP279" s="189"/>
      <c r="BQ279" s="189"/>
      <c r="BR279" s="189"/>
      <c r="BS279" t="str">
        <f>IFERROR(RD[[#This Row],[E_AC (WPR)]]/RD[[#This Row],[E_DC (WPR)]],"")</f>
        <v/>
      </c>
    </row>
    <row r="280" spans="1:71">
      <c r="A280" s="147">
        <f t="shared" si="77"/>
        <v>46114</v>
      </c>
      <c r="B280" s="150">
        <f>YEAR(RD[[#This Row],[Date]])+IF(MONTH(RD[[#This Row],[Date]])&gt;=4,1,0)</f>
        <v>2027</v>
      </c>
      <c r="C280" s="150">
        <f>YEAR(RD[[#This Row],[Date]])</f>
        <v>2026</v>
      </c>
      <c r="D280" s="65">
        <f t="shared" si="76"/>
        <v>46113</v>
      </c>
      <c r="E280" s="150">
        <f>DAY(EOMONTH(RD[[#This Row],[Date]],0))</f>
        <v>30</v>
      </c>
      <c r="F280" s="171"/>
      <c r="G280" s="171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68"/>
      <c r="AF280" s="168"/>
      <c r="AG280" s="168"/>
      <c r="AH280" s="168"/>
      <c r="AI280" s="168"/>
      <c r="AJ280" s="168"/>
      <c r="AK280" s="168"/>
      <c r="AL280" s="168"/>
      <c r="AM280" s="71"/>
      <c r="AN280" s="71"/>
      <c r="AO280" s="71"/>
      <c r="AP280" s="71"/>
      <c r="AQ280" s="71"/>
      <c r="AR280" s="71"/>
      <c r="AS280" s="71"/>
      <c r="AT280" s="71"/>
      <c r="AU280" s="69">
        <f>SUM(RD[[#This Row],[IS2Inv1M1]:[IS4Inv1M3]])</f>
        <v>0</v>
      </c>
      <c r="AV280" s="69">
        <f>SUM(RD[[#This Row],[IS5Inv1M1]:[IS5Inv2M3]])</f>
        <v>0</v>
      </c>
      <c r="AW280" s="69">
        <f>SUM(RD[[#This Row],[O2RE9]:[O2RE192]])</f>
        <v>0</v>
      </c>
      <c r="AX280" s="149"/>
      <c r="AY280" s="149"/>
      <c r="AZ280" s="149"/>
      <c r="BA280" s="149"/>
      <c r="BB280" s="149"/>
      <c r="BC280" s="149"/>
      <c r="BD280" s="156" t="str">
        <f>IF((RD[[#This Row],[33 kV_F1_Ex (O2RE9)]]-AX279)*225000&lt;=0,"",(RD[[#This Row],[33 kV_F1_Ex (O2RE9)]]-AX279)*225000)</f>
        <v/>
      </c>
      <c r="BE280" s="153">
        <f>IF((RD[[#This Row],[33kV_OG1_Ex (O2RE9)]]-AY279)*1000&lt;=0,0,(RD[[#This Row],[33kV_OG1_Ex (O2RE9)]]-AY279)*1000)</f>
        <v>0</v>
      </c>
      <c r="BF280" s="153"/>
      <c r="BG280" s="153" t="str">
        <f>IF((RD[[#This Row],[33 kV_F2_Ex (O2RE19)]]-BA279)*150000&lt;=0,"",(RD[[#This Row],[33 kV_F2_Ex (O2RE19)]]-BA279)*150000)</f>
        <v/>
      </c>
      <c r="BH280" s="153">
        <f>IF((RD[[#This Row],[33kV_OG2_Ex (O2RE19)]]-BB279)*1000&lt;=0,0,(RD[[#This Row],[33kV_OG2_Ex (O2RE19)]]-BB279)*1000)</f>
        <v>0</v>
      </c>
      <c r="BI280" s="153">
        <f>IF((RD[[#This Row],[33kV_Aux2_Im (O2RE19)]]-BC279)*1000&lt;0,"",(RD[[#This Row],[33kV_Aux2_Im (O2RE19)]]-BC279)*1000)</f>
        <v>0</v>
      </c>
      <c r="BJ280" s="153">
        <f>IF((RD[[#This Row],[33kV_Aux1_Im (O2RE9)]]-AZ279)*1000&lt;0,"",(RD[[#This Row],[33kV_Aux1_Im (O2RE9)]]-AZ279)*1000)</f>
        <v>0</v>
      </c>
      <c r="BK280" s="153">
        <f>SUM(RD[[#This Row],[33kV_OG1_O2RE9_Energy (KWh)]],RD[[#This Row],[33kV_OG2_O2RE19_Energy (KWh)]])</f>
        <v>0</v>
      </c>
      <c r="BL280" s="62" t="str">
        <f>IFERROR(RD[[#This Row],[33 kV Total Export (KWH)]]/RD[[#This Row],[Inv Total Gneration (MWh)]]-1,"")</f>
        <v/>
      </c>
      <c r="BM280" s="63">
        <f>IFERROR((RD[[#This Row],[Sunset Time (POA&lt;20 W/m2)]]-RD[[#This Row],[Sunrise Time (POA&gt;20 W/m2)]])*24,0)</f>
        <v>0</v>
      </c>
      <c r="BN280" s="64">
        <f>SUM(RD[[#This Row],[33kV_OG1_O2RE9_Energy (KWh)]],RD[[#This Row],[33kV_OG2_O2RE19_Energy (KWh)]])</f>
        <v>0</v>
      </c>
      <c r="BO280" s="64">
        <f>IFERROR(RD[[#This Row],[ Export (33 kV)]]*(1-RD[[#This Row],[33 kV Line Loss (%)]]),RD[[#This Row],[ Export (33 kV)]])</f>
        <v>0</v>
      </c>
      <c r="BP280" s="189"/>
      <c r="BQ280" s="189"/>
      <c r="BR280" s="189"/>
      <c r="BS280" t="str">
        <f>IFERROR(RD[[#This Row],[E_AC (WPR)]]/RD[[#This Row],[E_DC (WPR)]],"")</f>
        <v/>
      </c>
    </row>
    <row r="281" spans="1:71">
      <c r="A281" s="147">
        <f t="shared" si="77"/>
        <v>46115</v>
      </c>
      <c r="B281" s="150">
        <f>YEAR(RD[[#This Row],[Date]])+IF(MONTH(RD[[#This Row],[Date]])&gt;=4,1,0)</f>
        <v>2027</v>
      </c>
      <c r="C281" s="150">
        <f>YEAR(RD[[#This Row],[Date]])</f>
        <v>2026</v>
      </c>
      <c r="D281" s="65">
        <f t="shared" si="76"/>
        <v>46113</v>
      </c>
      <c r="E281" s="150">
        <f>DAY(EOMONTH(RD[[#This Row],[Date]],0))</f>
        <v>30</v>
      </c>
      <c r="F281" s="171"/>
      <c r="G281" s="171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68"/>
      <c r="AF281" s="168"/>
      <c r="AG281" s="168"/>
      <c r="AH281" s="168"/>
      <c r="AI281" s="168"/>
      <c r="AJ281" s="168"/>
      <c r="AK281" s="168"/>
      <c r="AL281" s="168"/>
      <c r="AM281" s="71"/>
      <c r="AN281" s="71"/>
      <c r="AO281" s="71"/>
      <c r="AP281" s="71"/>
      <c r="AQ281" s="71"/>
      <c r="AR281" s="71"/>
      <c r="AS281" s="71"/>
      <c r="AT281" s="71"/>
      <c r="AU281" s="69">
        <f>SUM(RD[[#This Row],[IS2Inv1M1]:[IS4Inv1M3]])</f>
        <v>0</v>
      </c>
      <c r="AV281" s="69">
        <f>SUM(RD[[#This Row],[IS5Inv1M1]:[IS5Inv2M3]])</f>
        <v>0</v>
      </c>
      <c r="AW281" s="69">
        <f>SUM(RD[[#This Row],[O2RE9]:[O2RE192]])</f>
        <v>0</v>
      </c>
      <c r="AX281" s="149"/>
      <c r="AY281" s="149"/>
      <c r="AZ281" s="149"/>
      <c r="BA281" s="149"/>
      <c r="BB281" s="149"/>
      <c r="BC281" s="149"/>
      <c r="BD281" s="156" t="str">
        <f>IF((RD[[#This Row],[33 kV_F1_Ex (O2RE9)]]-AX280)*225000&lt;=0,"",(RD[[#This Row],[33 kV_F1_Ex (O2RE9)]]-AX280)*225000)</f>
        <v/>
      </c>
      <c r="BE281" s="153">
        <f>IF((RD[[#This Row],[33kV_OG1_Ex (O2RE9)]]-AY280)*1000&lt;=0,0,(RD[[#This Row],[33kV_OG1_Ex (O2RE9)]]-AY280)*1000)</f>
        <v>0</v>
      </c>
      <c r="BF281" s="153"/>
      <c r="BG281" s="153" t="str">
        <f>IF((RD[[#This Row],[33 kV_F2_Ex (O2RE19)]]-BA280)*150000&lt;=0,"",(RD[[#This Row],[33 kV_F2_Ex (O2RE19)]]-BA280)*150000)</f>
        <v/>
      </c>
      <c r="BH281" s="153">
        <f>IF((RD[[#This Row],[33kV_OG2_Ex (O2RE19)]]-BB280)*1000&lt;=0,0,(RD[[#This Row],[33kV_OG2_Ex (O2RE19)]]-BB280)*1000)</f>
        <v>0</v>
      </c>
      <c r="BI281" s="153">
        <f>IF((RD[[#This Row],[33kV_Aux2_Im (O2RE19)]]-BC280)*1000&lt;0,"",(RD[[#This Row],[33kV_Aux2_Im (O2RE19)]]-BC280)*1000)</f>
        <v>0</v>
      </c>
      <c r="BJ281" s="153">
        <f>IF((RD[[#This Row],[33kV_Aux1_Im (O2RE9)]]-AZ280)*1000&lt;0,"",(RD[[#This Row],[33kV_Aux1_Im (O2RE9)]]-AZ280)*1000)</f>
        <v>0</v>
      </c>
      <c r="BK281" s="153">
        <f>SUM(RD[[#This Row],[33kV_OG1_O2RE9_Energy (KWh)]],RD[[#This Row],[33kV_OG2_O2RE19_Energy (KWh)]])</f>
        <v>0</v>
      </c>
      <c r="BL281" s="62" t="str">
        <f>IFERROR(RD[[#This Row],[33 kV Total Export (KWH)]]/RD[[#This Row],[Inv Total Gneration (MWh)]]-1,"")</f>
        <v/>
      </c>
      <c r="BM281" s="63">
        <f>IFERROR((RD[[#This Row],[Sunset Time (POA&lt;20 W/m2)]]-RD[[#This Row],[Sunrise Time (POA&gt;20 W/m2)]])*24,0)</f>
        <v>0</v>
      </c>
      <c r="BN281" s="64">
        <f>SUM(RD[[#This Row],[33kV_OG1_O2RE9_Energy (KWh)]],RD[[#This Row],[33kV_OG2_O2RE19_Energy (KWh)]])</f>
        <v>0</v>
      </c>
      <c r="BO281" s="64">
        <f>IFERROR(RD[[#This Row],[ Export (33 kV)]]*(1-RD[[#This Row],[33 kV Line Loss (%)]]),RD[[#This Row],[ Export (33 kV)]])</f>
        <v>0</v>
      </c>
      <c r="BP281" s="189"/>
      <c r="BQ281" s="189"/>
      <c r="BR281" s="189"/>
      <c r="BS281" t="str">
        <f>IFERROR(RD[[#This Row],[E_AC (WPR)]]/RD[[#This Row],[E_DC (WPR)]],"")</f>
        <v/>
      </c>
    </row>
    <row r="282" spans="1:71">
      <c r="A282" s="147">
        <f t="shared" si="77"/>
        <v>46116</v>
      </c>
      <c r="B282" s="150">
        <f>YEAR(RD[[#This Row],[Date]])+IF(MONTH(RD[[#This Row],[Date]])&gt;=4,1,0)</f>
        <v>2027</v>
      </c>
      <c r="C282" s="150">
        <f>YEAR(RD[[#This Row],[Date]])</f>
        <v>2026</v>
      </c>
      <c r="D282" s="65">
        <f t="shared" si="76"/>
        <v>46113</v>
      </c>
      <c r="E282" s="150">
        <f>DAY(EOMONTH(RD[[#This Row],[Date]],0))</f>
        <v>30</v>
      </c>
      <c r="F282" s="171"/>
      <c r="G282" s="171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68"/>
      <c r="AF282" s="168"/>
      <c r="AG282" s="168"/>
      <c r="AH282" s="168"/>
      <c r="AI282" s="168"/>
      <c r="AJ282" s="168"/>
      <c r="AK282" s="168"/>
      <c r="AL282" s="168"/>
      <c r="AM282" s="71"/>
      <c r="AN282" s="71"/>
      <c r="AO282" s="71"/>
      <c r="AP282" s="71"/>
      <c r="AQ282" s="71"/>
      <c r="AR282" s="71"/>
      <c r="AS282" s="71"/>
      <c r="AT282" s="71"/>
      <c r="AU282" s="69">
        <f>SUM(RD[[#This Row],[IS2Inv1M1]:[IS4Inv1M3]])</f>
        <v>0</v>
      </c>
      <c r="AV282" s="69">
        <f>SUM(RD[[#This Row],[IS5Inv1M1]:[IS5Inv2M3]])</f>
        <v>0</v>
      </c>
      <c r="AW282" s="69">
        <f>SUM(RD[[#This Row],[O2RE9]:[O2RE192]])</f>
        <v>0</v>
      </c>
      <c r="AX282" s="149"/>
      <c r="AY282" s="149"/>
      <c r="AZ282" s="149"/>
      <c r="BA282" s="149"/>
      <c r="BB282" s="149"/>
      <c r="BC282" s="149"/>
      <c r="BD282" s="156" t="str">
        <f>IF((RD[[#This Row],[33 kV_F1_Ex (O2RE9)]]-AX281)*225000&lt;=0,"",(RD[[#This Row],[33 kV_F1_Ex (O2RE9)]]-AX281)*225000)</f>
        <v/>
      </c>
      <c r="BE282" s="153">
        <f>IF((RD[[#This Row],[33kV_OG1_Ex (O2RE9)]]-AY281)*1000&lt;=0,0,(RD[[#This Row],[33kV_OG1_Ex (O2RE9)]]-AY281)*1000)</f>
        <v>0</v>
      </c>
      <c r="BF282" s="153"/>
      <c r="BG282" s="153" t="str">
        <f>IF((RD[[#This Row],[33 kV_F2_Ex (O2RE19)]]-BA281)*150000&lt;=0,"",(RD[[#This Row],[33 kV_F2_Ex (O2RE19)]]-BA281)*150000)</f>
        <v/>
      </c>
      <c r="BH282" s="153">
        <f>IF((RD[[#This Row],[33kV_OG2_Ex (O2RE19)]]-BB281)*1000&lt;=0,0,(RD[[#This Row],[33kV_OG2_Ex (O2RE19)]]-BB281)*1000)</f>
        <v>0</v>
      </c>
      <c r="BI282" s="153">
        <f>IF((RD[[#This Row],[33kV_Aux2_Im (O2RE19)]]-BC281)*1000&lt;0,"",(RD[[#This Row],[33kV_Aux2_Im (O2RE19)]]-BC281)*1000)</f>
        <v>0</v>
      </c>
      <c r="BJ282" s="153">
        <f>IF((RD[[#This Row],[33kV_Aux1_Im (O2RE9)]]-AZ281)*1000&lt;0,"",(RD[[#This Row],[33kV_Aux1_Im (O2RE9)]]-AZ281)*1000)</f>
        <v>0</v>
      </c>
      <c r="BK282" s="153">
        <f>SUM(RD[[#This Row],[33kV_OG1_O2RE9_Energy (KWh)]],RD[[#This Row],[33kV_OG2_O2RE19_Energy (KWh)]])</f>
        <v>0</v>
      </c>
      <c r="BL282" s="62" t="str">
        <f>IFERROR(RD[[#This Row],[33 kV Total Export (KWH)]]/RD[[#This Row],[Inv Total Gneration (MWh)]]-1,"")</f>
        <v/>
      </c>
      <c r="BM282" s="63">
        <f>IFERROR((RD[[#This Row],[Sunset Time (POA&lt;20 W/m2)]]-RD[[#This Row],[Sunrise Time (POA&gt;20 W/m2)]])*24,0)</f>
        <v>0</v>
      </c>
      <c r="BN282" s="64">
        <f>SUM(RD[[#This Row],[33kV_OG1_O2RE9_Energy (KWh)]],RD[[#This Row],[33kV_OG2_O2RE19_Energy (KWh)]])</f>
        <v>0</v>
      </c>
      <c r="BO282" s="64">
        <f>IFERROR(RD[[#This Row],[ Export (33 kV)]]*(1-RD[[#This Row],[33 kV Line Loss (%)]]),RD[[#This Row],[ Export (33 kV)]])</f>
        <v>0</v>
      </c>
      <c r="BP282" s="189"/>
      <c r="BQ282" s="189"/>
      <c r="BR282" s="189"/>
      <c r="BS282" t="str">
        <f>IFERROR(RD[[#This Row],[E_AC (WPR)]]/RD[[#This Row],[E_DC (WPR)]],"")</f>
        <v/>
      </c>
    </row>
  </sheetData>
  <mergeCells count="1">
    <mergeCell ref="AZ3:BJ3"/>
  </mergeCells>
  <phoneticPr fontId="54" type="noConversion"/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ignoredErrors>
    <ignoredError sqref="BD6:BD14 BD106:BD200 BD16:BD104 BG16:BG17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3EC7B-F815-49B3-9106-C9ABD7FA5497}">
  <dimension ref="A1:AQ1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5" sqref="G15"/>
    </sheetView>
  </sheetViews>
  <sheetFormatPr defaultColWidth="8.453125" defaultRowHeight="14.5"/>
  <cols>
    <col min="1" max="2" width="9.453125" style="234" customWidth="1"/>
    <col min="3" max="3" width="15.81640625" style="234" customWidth="1"/>
    <col min="4" max="6" width="8.453125" style="234"/>
    <col min="7" max="7" width="20.453125" style="234" customWidth="1"/>
    <col min="8" max="8" width="8.453125" style="234"/>
    <col min="9" max="9" width="9.453125" style="234" bestFit="1" customWidth="1"/>
    <col min="10" max="14" width="8.453125" style="234"/>
    <col min="15" max="15" width="9.81640625" style="234" bestFit="1" customWidth="1"/>
    <col min="16" max="16" width="11" style="234" customWidth="1"/>
    <col min="17" max="17" width="15.453125" style="234" customWidth="1"/>
    <col min="18" max="19" width="10.81640625" style="234" customWidth="1"/>
    <col min="20" max="20" width="13" style="234" customWidth="1"/>
    <col min="21" max="25" width="12.81640625" style="234" customWidth="1"/>
    <col min="26" max="27" width="14.453125" style="234" customWidth="1"/>
    <col min="28" max="29" width="15.453125" style="234" customWidth="1"/>
    <col min="30" max="38" width="9.81640625" style="234" customWidth="1"/>
    <col min="39" max="39" width="11.453125" style="234" customWidth="1"/>
    <col min="40" max="40" width="12.453125" style="234" bestFit="1" customWidth="1"/>
    <col min="41" max="16384" width="8.453125" style="234"/>
  </cols>
  <sheetData>
    <row r="1" spans="1:43" ht="43.5">
      <c r="A1" s="246" t="s">
        <v>5</v>
      </c>
      <c r="B1" s="246" t="s">
        <v>158</v>
      </c>
      <c r="C1" s="246" t="s">
        <v>159</v>
      </c>
      <c r="D1" s="246" t="s">
        <v>53</v>
      </c>
      <c r="E1" s="246" t="s">
        <v>160</v>
      </c>
      <c r="F1" s="246" t="s">
        <v>161</v>
      </c>
      <c r="G1" s="246" t="s">
        <v>162</v>
      </c>
      <c r="H1" s="246" t="s">
        <v>163</v>
      </c>
      <c r="I1" s="246" t="s">
        <v>164</v>
      </c>
      <c r="J1" s="246" t="s">
        <v>165</v>
      </c>
      <c r="K1" s="246" t="s">
        <v>166</v>
      </c>
      <c r="L1" s="246" t="s">
        <v>167</v>
      </c>
      <c r="M1" s="246" t="s">
        <v>168</v>
      </c>
      <c r="N1" s="246" t="s">
        <v>169</v>
      </c>
      <c r="O1" s="246" t="s">
        <v>170</v>
      </c>
      <c r="P1" s="246" t="s">
        <v>171</v>
      </c>
      <c r="Q1" s="246" t="s">
        <v>172</v>
      </c>
      <c r="R1" s="246" t="s">
        <v>173</v>
      </c>
      <c r="S1" s="246" t="s">
        <v>174</v>
      </c>
      <c r="T1" s="246" t="s">
        <v>175</v>
      </c>
      <c r="U1" s="246" t="s">
        <v>176</v>
      </c>
      <c r="V1" s="246" t="s">
        <v>177</v>
      </c>
      <c r="W1" s="246" t="s">
        <v>178</v>
      </c>
      <c r="X1" s="246" t="s">
        <v>179</v>
      </c>
      <c r="Y1" s="246" t="s">
        <v>180</v>
      </c>
      <c r="Z1" s="246" t="s">
        <v>181</v>
      </c>
      <c r="AA1" s="246" t="s">
        <v>182</v>
      </c>
      <c r="AB1" s="246" t="s">
        <v>183</v>
      </c>
      <c r="AC1" s="246" t="s">
        <v>184</v>
      </c>
      <c r="AD1" s="246" t="s">
        <v>185</v>
      </c>
      <c r="AE1" s="246" t="s">
        <v>186</v>
      </c>
      <c r="AF1" s="246" t="s">
        <v>187</v>
      </c>
      <c r="AG1" s="246" t="s">
        <v>188</v>
      </c>
      <c r="AH1" s="246" t="s">
        <v>189</v>
      </c>
      <c r="AI1" s="246" t="s">
        <v>190</v>
      </c>
      <c r="AJ1" s="246" t="s">
        <v>191</v>
      </c>
      <c r="AK1" s="246" t="s">
        <v>192</v>
      </c>
      <c r="AL1" s="246" t="s">
        <v>193</v>
      </c>
      <c r="AM1" s="247" t="s">
        <v>12</v>
      </c>
      <c r="AN1" s="247" t="s">
        <v>13</v>
      </c>
      <c r="AP1" s="234" t="s">
        <v>194</v>
      </c>
      <c r="AQ1" s="248">
        <v>39.21</v>
      </c>
    </row>
    <row r="2" spans="1:43">
      <c r="A2" s="249">
        <v>1</v>
      </c>
      <c r="B2" s="250" t="s">
        <v>195</v>
      </c>
      <c r="C2" s="249">
        <v>4</v>
      </c>
      <c r="D2" s="251">
        <v>45748</v>
      </c>
      <c r="E2" s="252">
        <f t="shared" ref="E2:E3" si="0">YEAR(D2)</f>
        <v>2025</v>
      </c>
      <c r="F2" s="252" t="s">
        <v>206</v>
      </c>
      <c r="G2" s="253">
        <f t="shared" ref="G2:G3" si="1">DAY(EOMONTH(D2,0))</f>
        <v>30</v>
      </c>
      <c r="H2" s="254">
        <v>201.2</v>
      </c>
      <c r="I2" s="254">
        <v>201.9</v>
      </c>
      <c r="J2" s="255"/>
      <c r="K2" s="254">
        <v>31.3</v>
      </c>
      <c r="L2" s="253"/>
      <c r="M2" s="256">
        <v>0</v>
      </c>
      <c r="N2" s="256">
        <v>0</v>
      </c>
      <c r="O2" s="257" t="str">
        <f t="shared" ref="O2:O3" si="2">IFERROR(M2/I2/N2,"")</f>
        <v/>
      </c>
      <c r="P2" s="255">
        <f t="shared" ref="P2:P3" si="3">IFERROR(I2/G2,"")</f>
        <v>6.73</v>
      </c>
      <c r="Q2" s="253">
        <f>COUNTIFS('Daily KPI'!$D:$D,D2,'Daily KPI'!$K:$K,"&gt;0")</f>
        <v>0</v>
      </c>
      <c r="R2" s="256">
        <f t="shared" ref="R2:R3" si="4">I2/G2*Q2</f>
        <v>0</v>
      </c>
      <c r="S2" s="256">
        <f>SUMIF($F$2:F2,F2,$R$2:R2)</f>
        <v>0</v>
      </c>
      <c r="T2" s="255">
        <f t="shared" ref="T2:T3" si="5">M2/G2</f>
        <v>0</v>
      </c>
      <c r="U2" s="256">
        <f t="shared" ref="U2:U3" si="6">M2/G2*Q2</f>
        <v>0</v>
      </c>
      <c r="V2" s="256">
        <f>SUMIF($F$2:F2,F2,$U$2:U2)</f>
        <v>0</v>
      </c>
      <c r="W2" s="257" t="str">
        <f t="shared" ref="W2:W3" si="7">IFERROR(T2/(24*N2),"")</f>
        <v/>
      </c>
      <c r="X2" s="257" t="str">
        <f t="shared" ref="X2:X13" si="8">IFERROR(U2/(24*N2*Q2),"")</f>
        <v/>
      </c>
      <c r="Y2" s="257" t="str">
        <f t="shared" ref="Y2:Y13" si="9">IFERROR(V2/(24*N2*SUMIFS($Q:$Q,$F:$F,$F2,$D:$D,"&lt;="&amp;D2)),"")</f>
        <v/>
      </c>
      <c r="Z2" s="255" t="str">
        <f>IFERROR(AVERAGEIF('Daily KPI'!D:D,Mod[[#This Row],[Month]],'Daily KPI'!AB:AB),"")</f>
        <v/>
      </c>
      <c r="AA2" s="258" t="str">
        <f>IFERROR(AVERAGEIF($F$2:F2,F2,$Z$2:Z2),"")</f>
        <v/>
      </c>
      <c r="AB2" s="256"/>
      <c r="AC2" s="255"/>
      <c r="AD2" s="255"/>
      <c r="AE2" s="257">
        <v>0.995</v>
      </c>
      <c r="AF2" s="257">
        <v>0.995</v>
      </c>
      <c r="AG2" s="257"/>
      <c r="AH2" s="257"/>
      <c r="AI2" s="257"/>
      <c r="AJ2" s="257"/>
      <c r="AK2" s="257"/>
      <c r="AL2" s="257"/>
      <c r="AM2" s="259">
        <f>SUMIF('Daily KPI'!$D:$D,$D2,'Daily KPI'!$AS:$AS)</f>
        <v>0</v>
      </c>
      <c r="AN2" s="259">
        <f>SUMIF($F$2:F2,F2,$AM$2:AM2)</f>
        <v>0</v>
      </c>
    </row>
    <row r="3" spans="1:43">
      <c r="A3" s="250">
        <f t="shared" ref="A3:A13" si="10">A2+1</f>
        <v>2</v>
      </c>
      <c r="B3" s="250" t="s">
        <v>68</v>
      </c>
      <c r="C3" s="249">
        <v>5</v>
      </c>
      <c r="D3" s="251">
        <v>45778</v>
      </c>
      <c r="E3" s="260">
        <f t="shared" si="0"/>
        <v>2025</v>
      </c>
      <c r="F3" s="252" t="s">
        <v>206</v>
      </c>
      <c r="G3" s="261">
        <f t="shared" si="1"/>
        <v>31</v>
      </c>
      <c r="H3" s="258">
        <v>206.2</v>
      </c>
      <c r="I3" s="258">
        <v>199.3</v>
      </c>
      <c r="J3" s="262"/>
      <c r="K3" s="258">
        <v>32</v>
      </c>
      <c r="L3" s="261"/>
      <c r="M3" s="263">
        <v>0</v>
      </c>
      <c r="N3" s="256">
        <v>0</v>
      </c>
      <c r="O3" s="264" t="str">
        <f t="shared" si="2"/>
        <v/>
      </c>
      <c r="P3" s="262">
        <f t="shared" si="3"/>
        <v>6.4290322580645167</v>
      </c>
      <c r="Q3" s="261">
        <f>COUNTIFS('Daily KPI'!$D:$D,D3,'Daily KPI'!$K:$K,"&gt;0")</f>
        <v>0</v>
      </c>
      <c r="R3" s="263">
        <f t="shared" si="4"/>
        <v>0</v>
      </c>
      <c r="S3" s="256">
        <f>SUMIF($F$2:F3,F3,$R$2:R3)</f>
        <v>0</v>
      </c>
      <c r="T3" s="262">
        <f t="shared" si="5"/>
        <v>0</v>
      </c>
      <c r="U3" s="263">
        <f t="shared" si="6"/>
        <v>0</v>
      </c>
      <c r="V3" s="256">
        <f>SUMIF($F$2:F3,F3,$U$2:U3)</f>
        <v>0</v>
      </c>
      <c r="W3" s="264" t="str">
        <f t="shared" si="7"/>
        <v/>
      </c>
      <c r="X3" s="264" t="str">
        <f t="shared" si="8"/>
        <v/>
      </c>
      <c r="Y3" s="264" t="str">
        <f t="shared" si="9"/>
        <v/>
      </c>
      <c r="Z3" s="262" t="str">
        <f>IFERROR(AVERAGEIF('Daily KPI'!D:D,Mod[[#This Row],[Month]],'Daily KPI'!AB:AB),"")</f>
        <v/>
      </c>
      <c r="AA3" s="258" t="str">
        <f>IFERROR(AVERAGEIF($F$2:F3,F3,$Z$2:Z3),"")</f>
        <v/>
      </c>
      <c r="AB3" s="263"/>
      <c r="AC3" s="262"/>
      <c r="AD3" s="262"/>
      <c r="AE3" s="257">
        <v>0.995</v>
      </c>
      <c r="AF3" s="257">
        <v>0.995</v>
      </c>
      <c r="AG3" s="257"/>
      <c r="AH3" s="264"/>
      <c r="AI3" s="264"/>
      <c r="AJ3" s="264"/>
      <c r="AK3" s="264"/>
      <c r="AL3" s="264"/>
      <c r="AM3" s="259">
        <f>SUMIF('Daily KPI'!$D:$D,$D3,'Daily KPI'!$AS:$AS)</f>
        <v>0</v>
      </c>
      <c r="AN3" s="259">
        <f>SUMIF($F$2:F3,F3,$AM$2:AM3)</f>
        <v>0</v>
      </c>
    </row>
    <row r="4" spans="1:43">
      <c r="A4" s="249">
        <f t="shared" si="10"/>
        <v>3</v>
      </c>
      <c r="B4" s="250" t="s">
        <v>196</v>
      </c>
      <c r="C4" s="249">
        <v>6</v>
      </c>
      <c r="D4" s="251">
        <v>45809</v>
      </c>
      <c r="E4" s="252">
        <f>YEAR(D4)</f>
        <v>2025</v>
      </c>
      <c r="F4" s="252" t="s">
        <v>206</v>
      </c>
      <c r="G4" s="253">
        <f>DAY(EOMONTH(D4,0))</f>
        <v>30</v>
      </c>
      <c r="H4" s="258">
        <v>148.19999999999999</v>
      </c>
      <c r="I4" s="258">
        <v>141.4</v>
      </c>
      <c r="J4" s="255"/>
      <c r="K4" s="258">
        <v>27.5</v>
      </c>
      <c r="L4" s="253"/>
      <c r="M4" s="256">
        <v>0</v>
      </c>
      <c r="N4" s="256">
        <v>0</v>
      </c>
      <c r="O4" s="257" t="str">
        <f>IFERROR(M4/I4/N4,"")</f>
        <v/>
      </c>
      <c r="P4" s="255">
        <f>IFERROR(I4/G4,"")</f>
        <v>4.7133333333333338</v>
      </c>
      <c r="Q4" s="253">
        <f>COUNTIFS('Daily KPI'!$D:$D,D4,'Daily KPI'!$K:$K,"&gt;0")</f>
        <v>0</v>
      </c>
      <c r="R4" s="256">
        <f>I4/G4*Q4</f>
        <v>0</v>
      </c>
      <c r="S4" s="256">
        <f>SUMIF($F$2:F4,F4,$R$2:R4)</f>
        <v>0</v>
      </c>
      <c r="T4" s="255">
        <f>M4/G4</f>
        <v>0</v>
      </c>
      <c r="U4" s="256">
        <f>M4/G4*Q4</f>
        <v>0</v>
      </c>
      <c r="V4" s="256">
        <f>SUMIF($F$2:F4,F4,$U$2:U4)</f>
        <v>0</v>
      </c>
      <c r="W4" s="257" t="str">
        <f>IFERROR(T4/(24*N4),"")</f>
        <v/>
      </c>
      <c r="X4" s="257" t="str">
        <f t="shared" si="8"/>
        <v/>
      </c>
      <c r="Y4" s="257" t="str">
        <f t="shared" si="9"/>
        <v/>
      </c>
      <c r="Z4" s="255" t="str">
        <f>IFERROR(AVERAGEIF('Daily KPI'!D:D,Mod[[#This Row],[Month]],'Daily KPI'!AB:AB),"")</f>
        <v/>
      </c>
      <c r="AA4" s="258" t="str">
        <f>IFERROR(AVERAGEIF($F$2:F4,F4,$Z$2:Z4),"")</f>
        <v/>
      </c>
      <c r="AB4" s="256"/>
      <c r="AC4" s="255"/>
      <c r="AD4" s="255"/>
      <c r="AE4" s="257">
        <v>0.995</v>
      </c>
      <c r="AF4" s="257">
        <v>0.995</v>
      </c>
      <c r="AG4" s="257"/>
      <c r="AH4" s="257"/>
      <c r="AI4" s="257"/>
      <c r="AJ4" s="257"/>
      <c r="AK4" s="257"/>
      <c r="AL4" s="257"/>
      <c r="AM4" s="259">
        <f>SUMIF('Daily KPI'!$D:$D,$D4,'Daily KPI'!$AS:$AS)</f>
        <v>0</v>
      </c>
      <c r="AN4" s="259">
        <f>SUMIF($F$2:F4,F4,$AM$2:AM4)</f>
        <v>0</v>
      </c>
    </row>
    <row r="5" spans="1:43">
      <c r="A5" s="250">
        <f t="shared" si="10"/>
        <v>4</v>
      </c>
      <c r="B5" s="250" t="s">
        <v>197</v>
      </c>
      <c r="C5" s="249">
        <v>7</v>
      </c>
      <c r="D5" s="251">
        <v>45839</v>
      </c>
      <c r="E5" s="260">
        <f>YEAR(D5)</f>
        <v>2025</v>
      </c>
      <c r="F5" s="252" t="s">
        <v>206</v>
      </c>
      <c r="G5" s="261">
        <f>DAY(EOMONTH(D5,0))</f>
        <v>31</v>
      </c>
      <c r="H5" s="258">
        <v>119.3</v>
      </c>
      <c r="I5" s="258">
        <v>115.4</v>
      </c>
      <c r="J5" s="262"/>
      <c r="K5" s="258">
        <v>25.2</v>
      </c>
      <c r="L5" s="261"/>
      <c r="M5" s="263">
        <v>6174.0394850226212</v>
      </c>
      <c r="N5" s="256">
        <v>87.8</v>
      </c>
      <c r="O5" s="264">
        <f>IFERROR(M5/I5/N5,"")</f>
        <v>0.60935317436258363</v>
      </c>
      <c r="P5" s="262">
        <f>IFERROR(I5/G5,"")</f>
        <v>3.7225806451612904</v>
      </c>
      <c r="Q5" s="261">
        <f>COUNTIFS('Daily KPI'!$D:$D,D5,'Daily KPI'!$K:$K,"&gt;0")</f>
        <v>0</v>
      </c>
      <c r="R5" s="263">
        <f>I5/G5*Q5</f>
        <v>0</v>
      </c>
      <c r="S5" s="256">
        <f>SUMIF($F$2:F5,F5,$R$2:R5)</f>
        <v>0</v>
      </c>
      <c r="T5" s="262">
        <f>M5/G5</f>
        <v>199.16256403298777</v>
      </c>
      <c r="U5" s="263">
        <f>M5/G5*Q5</f>
        <v>0</v>
      </c>
      <c r="V5" s="256">
        <f>SUMIF($F$2:F5,F5,$U$2:U5)</f>
        <v>0</v>
      </c>
      <c r="W5" s="264">
        <f>IFERROR(T5/(24*N5),"")</f>
        <v>9.4515263872906125E-2</v>
      </c>
      <c r="X5" s="264" t="str">
        <f t="shared" si="8"/>
        <v/>
      </c>
      <c r="Y5" s="264" t="str">
        <f t="shared" si="9"/>
        <v/>
      </c>
      <c r="Z5" s="262">
        <f>IFERROR(AVERAGEIF('Daily KPI'!D:D,Mod[[#This Row],[Month]],'Daily KPI'!AB:AB),"")</f>
        <v>1.9767741935483871</v>
      </c>
      <c r="AA5" s="258">
        <f>IFERROR(AVERAGEIF($F$2:F5,F5,$Z$2:Z5),"")</f>
        <v>1.9767741935483871</v>
      </c>
      <c r="AB5" s="263"/>
      <c r="AC5" s="262"/>
      <c r="AD5" s="262"/>
      <c r="AE5" s="257">
        <v>0.995</v>
      </c>
      <c r="AF5" s="257">
        <v>0.995</v>
      </c>
      <c r="AG5" s="257"/>
      <c r="AH5" s="264"/>
      <c r="AI5" s="264"/>
      <c r="AJ5" s="264"/>
      <c r="AK5" s="264"/>
      <c r="AL5" s="264"/>
      <c r="AM5" s="259">
        <f>SUMIF('Daily KPI'!$D:$D,$D5,'Daily KPI'!$AS:$AS)</f>
        <v>139005.48888316052</v>
      </c>
      <c r="AN5" s="259">
        <f>SUMIF($F$2:F5,F5,$AM$2:AM5)</f>
        <v>139005.48888316052</v>
      </c>
    </row>
    <row r="6" spans="1:43">
      <c r="A6" s="249">
        <f t="shared" si="10"/>
        <v>5</v>
      </c>
      <c r="B6" s="250" t="s">
        <v>198</v>
      </c>
      <c r="C6" s="249">
        <v>8</v>
      </c>
      <c r="D6" s="251">
        <v>45870</v>
      </c>
      <c r="E6" s="252">
        <f t="shared" ref="E6:E13" si="11">YEAR(D6)</f>
        <v>2025</v>
      </c>
      <c r="F6" s="252" t="s">
        <v>206</v>
      </c>
      <c r="G6" s="253">
        <f t="shared" ref="G6:G13" si="12">DAY(EOMONTH(D6,0))</f>
        <v>31</v>
      </c>
      <c r="H6" s="258">
        <v>123.6</v>
      </c>
      <c r="I6" s="258">
        <v>121.5</v>
      </c>
      <c r="J6" s="255"/>
      <c r="K6" s="258">
        <v>24.7</v>
      </c>
      <c r="L6" s="253"/>
      <c r="M6" s="256">
        <v>8945.1699691176418</v>
      </c>
      <c r="N6" s="256">
        <v>87.8</v>
      </c>
      <c r="O6" s="257">
        <f t="shared" ref="O6:O13" si="13">IFERROR(M6/I6/N6,"")</f>
        <v>0.83852845216097582</v>
      </c>
      <c r="P6" s="255">
        <f t="shared" ref="P6:P13" si="14">IFERROR(I6/G6,"")</f>
        <v>3.9193548387096775</v>
      </c>
      <c r="Q6" s="253">
        <f>COUNTIFS('Daily KPI'!$D:$D,D6,'Daily KPI'!$K:$K,"&gt;0")</f>
        <v>0</v>
      </c>
      <c r="R6" s="256">
        <f t="shared" ref="R6:R13" si="15">I6/G6*Q6</f>
        <v>0</v>
      </c>
      <c r="S6" s="256">
        <f>SUMIF($F$2:F6,F6,$R$2:R6)</f>
        <v>0</v>
      </c>
      <c r="T6" s="255">
        <f t="shared" ref="T6:T13" si="16">M6/G6</f>
        <v>288.55386997153681</v>
      </c>
      <c r="U6" s="256">
        <f t="shared" ref="U6:U13" si="17">M6/G6*Q6</f>
        <v>0</v>
      </c>
      <c r="V6" s="256">
        <f>SUMIF($F$2:F6,F6,$U$2:U6)</f>
        <v>0</v>
      </c>
      <c r="W6" s="257">
        <f t="shared" ref="W6:W13" si="18">IFERROR(T6/(24*N6),"")</f>
        <v>0.13693710609886903</v>
      </c>
      <c r="X6" s="257" t="str">
        <f t="shared" si="8"/>
        <v/>
      </c>
      <c r="Y6" s="257" t="str">
        <f t="shared" si="9"/>
        <v/>
      </c>
      <c r="Z6" s="255">
        <f>IFERROR(AVERAGEIF('Daily KPI'!D:D,Mod[[#This Row],[Month]],'Daily KPI'!AB:AB),"")</f>
        <v>0</v>
      </c>
      <c r="AA6" s="258">
        <f>IFERROR(AVERAGEIF($F$2:F6,F6,$Z$2:Z6),"")</f>
        <v>0.98838709677419356</v>
      </c>
      <c r="AB6" s="256"/>
      <c r="AC6" s="255"/>
      <c r="AD6" s="255"/>
      <c r="AE6" s="257">
        <v>0.995</v>
      </c>
      <c r="AF6" s="257">
        <v>0.995</v>
      </c>
      <c r="AG6" s="257"/>
      <c r="AH6" s="257"/>
      <c r="AI6" s="257"/>
      <c r="AJ6" s="257"/>
      <c r="AK6" s="257"/>
      <c r="AL6" s="257"/>
      <c r="AM6" s="259">
        <f>SUMIF('Daily KPI'!$D:$D,$D6,'Daily KPI'!$AS:$AS)</f>
        <v>0</v>
      </c>
      <c r="AN6" s="259">
        <f>SUMIF($F$2:F6,F6,$AM$2:AM6)</f>
        <v>139005.48888316052</v>
      </c>
    </row>
    <row r="7" spans="1:43">
      <c r="A7" s="249">
        <f t="shared" si="10"/>
        <v>6</v>
      </c>
      <c r="B7" s="250" t="s">
        <v>199</v>
      </c>
      <c r="C7" s="249">
        <v>9</v>
      </c>
      <c r="D7" s="251">
        <v>45901</v>
      </c>
      <c r="E7" s="252">
        <f t="shared" si="11"/>
        <v>2025</v>
      </c>
      <c r="F7" s="252" t="s">
        <v>206</v>
      </c>
      <c r="G7" s="261">
        <f t="shared" si="12"/>
        <v>30</v>
      </c>
      <c r="H7" s="258">
        <v>139.1</v>
      </c>
      <c r="I7" s="258">
        <v>141</v>
      </c>
      <c r="J7" s="255"/>
      <c r="K7" s="258">
        <v>24.8</v>
      </c>
      <c r="L7" s="253"/>
      <c r="M7" s="256">
        <v>10384.140862064458</v>
      </c>
      <c r="N7" s="256">
        <v>87.8</v>
      </c>
      <c r="O7" s="257">
        <f t="shared" si="13"/>
        <v>0.83879714228537272</v>
      </c>
      <c r="P7" s="255">
        <f t="shared" si="14"/>
        <v>4.7</v>
      </c>
      <c r="Q7" s="253">
        <f>COUNTIFS('Daily KPI'!$D:$D,D7,'Daily KPI'!$K:$K,"&gt;0")</f>
        <v>0</v>
      </c>
      <c r="R7" s="256">
        <f t="shared" si="15"/>
        <v>0</v>
      </c>
      <c r="S7" s="256">
        <f>SUMIF($F$2:F7,F7,$R$2:R7)</f>
        <v>0</v>
      </c>
      <c r="T7" s="255">
        <f t="shared" si="16"/>
        <v>346.13802873548195</v>
      </c>
      <c r="U7" s="256">
        <f t="shared" si="17"/>
        <v>0</v>
      </c>
      <c r="V7" s="256">
        <f>SUMIF($F$2:F7,F7,$U$2:U7)</f>
        <v>0</v>
      </c>
      <c r="W7" s="257">
        <f t="shared" si="18"/>
        <v>0.16426444036421886</v>
      </c>
      <c r="X7" s="257" t="str">
        <f t="shared" si="8"/>
        <v/>
      </c>
      <c r="Y7" s="257" t="str">
        <f t="shared" si="9"/>
        <v/>
      </c>
      <c r="Z7" s="255">
        <f>IFERROR(AVERAGEIF('Daily KPI'!D:D,Mod[[#This Row],[Month]],'Daily KPI'!AB:AB),"")</f>
        <v>0</v>
      </c>
      <c r="AA7" s="258">
        <f>IFERROR(AVERAGEIF($F$2:F7,F7,$Z$2:Z7),"")</f>
        <v>0.65892473118279571</v>
      </c>
      <c r="AB7" s="256"/>
      <c r="AC7" s="255"/>
      <c r="AD7" s="255"/>
      <c r="AE7" s="257">
        <v>0.995</v>
      </c>
      <c r="AF7" s="257">
        <v>0.995</v>
      </c>
      <c r="AG7" s="257"/>
      <c r="AH7" s="257"/>
      <c r="AI7" s="257"/>
      <c r="AJ7" s="257"/>
      <c r="AK7" s="257"/>
      <c r="AL7" s="257"/>
      <c r="AM7" s="259">
        <f>SUMIF('Daily KPI'!$D:$D,$D7,'Daily KPI'!$AS:$AS)</f>
        <v>0</v>
      </c>
      <c r="AN7" s="259">
        <f>SUMIF($F$2:F7,F7,$AM$2:AM7)</f>
        <v>139005.48888316052</v>
      </c>
    </row>
    <row r="8" spans="1:43">
      <c r="A8" s="250">
        <f t="shared" si="10"/>
        <v>7</v>
      </c>
      <c r="B8" s="250" t="s">
        <v>200</v>
      </c>
      <c r="C8" s="249">
        <v>10</v>
      </c>
      <c r="D8" s="251">
        <v>45931</v>
      </c>
      <c r="E8" s="260">
        <f t="shared" si="11"/>
        <v>2025</v>
      </c>
      <c r="F8" s="252" t="s">
        <v>206</v>
      </c>
      <c r="G8" s="253">
        <f t="shared" si="12"/>
        <v>31</v>
      </c>
      <c r="H8" s="258">
        <v>158</v>
      </c>
      <c r="I8" s="258">
        <v>170.2</v>
      </c>
      <c r="J8" s="262"/>
      <c r="K8" s="254">
        <v>24.7</v>
      </c>
      <c r="L8" s="261"/>
      <c r="M8" s="263">
        <v>12719.498960276364</v>
      </c>
      <c r="N8" s="263">
        <v>87.8</v>
      </c>
      <c r="O8" s="264">
        <f t="shared" si="13"/>
        <v>0.85116926356747413</v>
      </c>
      <c r="P8" s="262">
        <f t="shared" si="14"/>
        <v>5.4903225806451612</v>
      </c>
      <c r="Q8" s="261">
        <f>COUNTIFS('Daily KPI'!$D:$D,D8,'Daily KPI'!$K:$K,"&gt;0")</f>
        <v>0</v>
      </c>
      <c r="R8" s="263">
        <f t="shared" si="15"/>
        <v>0</v>
      </c>
      <c r="S8" s="256">
        <f>SUMIF($F$2:F8,F8,$R$2:R8)</f>
        <v>0</v>
      </c>
      <c r="T8" s="262">
        <f t="shared" si="16"/>
        <v>410.30641807343108</v>
      </c>
      <c r="U8" s="263">
        <f t="shared" si="17"/>
        <v>0</v>
      </c>
      <c r="V8" s="256">
        <f>SUMIF($F$2:F8,F8,$U$2:U8)</f>
        <v>0</v>
      </c>
      <c r="W8" s="264">
        <f t="shared" si="18"/>
        <v>0.19471640948815067</v>
      </c>
      <c r="X8" s="264" t="str">
        <f t="shared" si="8"/>
        <v/>
      </c>
      <c r="Y8" s="264" t="str">
        <f t="shared" si="9"/>
        <v/>
      </c>
      <c r="Z8" s="262">
        <f>IFERROR(AVERAGEIF('Daily KPI'!D:D,Mod[[#This Row],[Month]],'Daily KPI'!AB:AB),"")</f>
        <v>0</v>
      </c>
      <c r="AA8" s="258">
        <f>IFERROR(AVERAGEIF($F$2:F8,F8,$Z$2:Z8),"")</f>
        <v>0.49419354838709678</v>
      </c>
      <c r="AB8" s="263"/>
      <c r="AC8" s="262"/>
      <c r="AD8" s="262"/>
      <c r="AE8" s="257">
        <v>0.995</v>
      </c>
      <c r="AF8" s="257">
        <v>0.995</v>
      </c>
      <c r="AG8" s="257"/>
      <c r="AH8" s="264"/>
      <c r="AI8" s="264"/>
      <c r="AJ8" s="264"/>
      <c r="AK8" s="264"/>
      <c r="AL8" s="264"/>
      <c r="AM8" s="259">
        <f>SUMIF('Daily KPI'!$D:$D,$D8,'Daily KPI'!$AS:$AS)</f>
        <v>0</v>
      </c>
      <c r="AN8" s="259">
        <f>SUMIF($F$2:F8,F8,$AM$2:AM8)</f>
        <v>139005.48888316052</v>
      </c>
    </row>
    <row r="9" spans="1:43">
      <c r="A9" s="249">
        <f t="shared" si="10"/>
        <v>8</v>
      </c>
      <c r="B9" s="250" t="s">
        <v>201</v>
      </c>
      <c r="C9" s="249">
        <v>11</v>
      </c>
      <c r="D9" s="251">
        <v>45962</v>
      </c>
      <c r="E9" s="252">
        <f t="shared" si="11"/>
        <v>2025</v>
      </c>
      <c r="F9" s="252" t="s">
        <v>206</v>
      </c>
      <c r="G9" s="253">
        <f t="shared" si="12"/>
        <v>30</v>
      </c>
      <c r="H9" s="258">
        <v>147.69999999999999</v>
      </c>
      <c r="I9" s="258">
        <v>167.4</v>
      </c>
      <c r="J9" s="255"/>
      <c r="K9" s="258">
        <v>23</v>
      </c>
      <c r="L9" s="253"/>
      <c r="M9" s="256">
        <v>12491.820993747877</v>
      </c>
      <c r="N9" s="256">
        <v>87.8</v>
      </c>
      <c r="O9" s="257">
        <f t="shared" si="13"/>
        <v>0.84991556470989227</v>
      </c>
      <c r="P9" s="255">
        <f t="shared" si="14"/>
        <v>5.58</v>
      </c>
      <c r="Q9" s="253">
        <f>COUNTIFS('Daily KPI'!$D:$D,D9,'Daily KPI'!$K:$K,"&gt;0")</f>
        <v>0</v>
      </c>
      <c r="R9" s="256">
        <f t="shared" si="15"/>
        <v>0</v>
      </c>
      <c r="S9" s="256">
        <f>SUMIF($F$2:F9,F9,$R$2:R9)</f>
        <v>0</v>
      </c>
      <c r="T9" s="255">
        <f t="shared" si="16"/>
        <v>416.39403312492925</v>
      </c>
      <c r="U9" s="256">
        <f t="shared" si="17"/>
        <v>0</v>
      </c>
      <c r="V9" s="256">
        <f>SUMIF($F$2:F9,F9,$U$2:U9)</f>
        <v>0</v>
      </c>
      <c r="W9" s="257">
        <f t="shared" si="18"/>
        <v>0.19760536879504997</v>
      </c>
      <c r="X9" s="257" t="str">
        <f t="shared" si="8"/>
        <v/>
      </c>
      <c r="Y9" s="257" t="str">
        <f t="shared" si="9"/>
        <v/>
      </c>
      <c r="Z9" s="255">
        <f>IFERROR(AVERAGEIF('Daily KPI'!D:D,Mod[[#This Row],[Month]],'Daily KPI'!AB:AB),"")</f>
        <v>0</v>
      </c>
      <c r="AA9" s="258">
        <f>IFERROR(AVERAGEIF($F$2:F9,F9,$Z$2:Z9),"")</f>
        <v>0.39535483870967741</v>
      </c>
      <c r="AB9" s="256"/>
      <c r="AC9" s="255"/>
      <c r="AD9" s="255"/>
      <c r="AE9" s="257">
        <v>0.995</v>
      </c>
      <c r="AF9" s="257">
        <v>0.995</v>
      </c>
      <c r="AG9" s="257"/>
      <c r="AH9" s="257"/>
      <c r="AI9" s="257"/>
      <c r="AJ9" s="257"/>
      <c r="AK9" s="257"/>
      <c r="AL9" s="257"/>
      <c r="AM9" s="259">
        <f>SUMIF('Daily KPI'!$D:$D,$D9,'Daily KPI'!$AS:$AS)</f>
        <v>0</v>
      </c>
      <c r="AN9" s="259">
        <f>SUMIF($F$2:F9,F9,$AM$2:AM9)</f>
        <v>139005.48888316052</v>
      </c>
    </row>
    <row r="10" spans="1:43">
      <c r="A10" s="250">
        <f t="shared" si="10"/>
        <v>9</v>
      </c>
      <c r="B10" s="250" t="s">
        <v>202</v>
      </c>
      <c r="C10" s="249">
        <v>12</v>
      </c>
      <c r="D10" s="251">
        <v>45992</v>
      </c>
      <c r="E10" s="260">
        <f t="shared" si="11"/>
        <v>2025</v>
      </c>
      <c r="F10" s="252" t="s">
        <v>206</v>
      </c>
      <c r="G10" s="261">
        <f t="shared" si="12"/>
        <v>31</v>
      </c>
      <c r="H10" s="258">
        <v>148.4</v>
      </c>
      <c r="I10" s="258">
        <v>172.6</v>
      </c>
      <c r="J10" s="262"/>
      <c r="K10" s="254">
        <v>21.39</v>
      </c>
      <c r="L10" s="261"/>
      <c r="M10" s="263">
        <v>12892.861597396368</v>
      </c>
      <c r="N10" s="263">
        <v>87.8</v>
      </c>
      <c r="O10" s="264">
        <f t="shared" si="13"/>
        <v>0.85077361625866543</v>
      </c>
      <c r="P10" s="262">
        <f t="shared" si="14"/>
        <v>5.5677419354838706</v>
      </c>
      <c r="Q10" s="261">
        <f>COUNTIFS('Daily KPI'!$D:$D,D10,'Daily KPI'!$K:$K,"&gt;0")</f>
        <v>0</v>
      </c>
      <c r="R10" s="263">
        <f t="shared" si="15"/>
        <v>0</v>
      </c>
      <c r="S10" s="256">
        <f>SUMIF($F$2:F10,F10,$R$2:R10)</f>
        <v>0</v>
      </c>
      <c r="T10" s="262">
        <f t="shared" si="16"/>
        <v>415.89876120633443</v>
      </c>
      <c r="U10" s="263">
        <f t="shared" si="17"/>
        <v>0</v>
      </c>
      <c r="V10" s="256">
        <f>SUMIF($F$2:F10,F10,$U$2:U10)</f>
        <v>0</v>
      </c>
      <c r="W10" s="264">
        <f t="shared" si="18"/>
        <v>0.19737033086860975</v>
      </c>
      <c r="X10" s="264" t="str">
        <f t="shared" si="8"/>
        <v/>
      </c>
      <c r="Y10" s="264" t="str">
        <f t="shared" si="9"/>
        <v/>
      </c>
      <c r="Z10" s="262">
        <f>IFERROR(AVERAGEIF('Daily KPI'!D:D,Mod[[#This Row],[Month]],'Daily KPI'!AB:AB),"")</f>
        <v>0</v>
      </c>
      <c r="AA10" s="258">
        <f>IFERROR(AVERAGEIF($F$2:F10,F10,$Z$2:Z10),"")</f>
        <v>0.32946236559139785</v>
      </c>
      <c r="AB10" s="263"/>
      <c r="AC10" s="262"/>
      <c r="AD10" s="262"/>
      <c r="AE10" s="257">
        <v>0.995</v>
      </c>
      <c r="AF10" s="257">
        <v>0.995</v>
      </c>
      <c r="AG10" s="257"/>
      <c r="AH10" s="264"/>
      <c r="AI10" s="264"/>
      <c r="AJ10" s="264"/>
      <c r="AK10" s="264"/>
      <c r="AL10" s="264"/>
      <c r="AM10" s="259">
        <f>SUMIF('Daily KPI'!$D:$D,$D10,'Daily KPI'!$AS:$AS)</f>
        <v>0</v>
      </c>
      <c r="AN10" s="259">
        <f>SUMIF($F$2:F10,F10,$AM$2:AM10)</f>
        <v>139005.48888316052</v>
      </c>
    </row>
    <row r="11" spans="1:43">
      <c r="A11" s="249">
        <f t="shared" si="10"/>
        <v>10</v>
      </c>
      <c r="B11" s="250" t="s">
        <v>203</v>
      </c>
      <c r="C11" s="249">
        <v>1</v>
      </c>
      <c r="D11" s="251">
        <v>46023</v>
      </c>
      <c r="E11" s="252">
        <f t="shared" si="11"/>
        <v>2026</v>
      </c>
      <c r="F11" s="252" t="s">
        <v>206</v>
      </c>
      <c r="G11" s="253">
        <f t="shared" si="12"/>
        <v>31</v>
      </c>
      <c r="H11" s="258">
        <v>156.5</v>
      </c>
      <c r="I11" s="258">
        <v>179.8</v>
      </c>
      <c r="J11" s="255"/>
      <c r="K11" s="258">
        <v>21.7</v>
      </c>
      <c r="L11" s="253"/>
      <c r="M11" s="256">
        <v>13449.371459080445</v>
      </c>
      <c r="N11" s="256">
        <v>87.8</v>
      </c>
      <c r="O11" s="257">
        <f t="shared" si="13"/>
        <v>0.85195721512136013</v>
      </c>
      <c r="P11" s="255">
        <f t="shared" si="14"/>
        <v>5.8000000000000007</v>
      </c>
      <c r="Q11" s="253">
        <f>COUNTIFS('Daily KPI'!$D:$D,D11,'Daily KPI'!$K:$K,"&gt;0")</f>
        <v>0</v>
      </c>
      <c r="R11" s="256">
        <f t="shared" si="15"/>
        <v>0</v>
      </c>
      <c r="S11" s="256">
        <f>SUMIF($F$2:F11,F11,$R$2:R11)</f>
        <v>0</v>
      </c>
      <c r="T11" s="255">
        <f t="shared" si="16"/>
        <v>433.85069222840144</v>
      </c>
      <c r="U11" s="256">
        <f t="shared" si="17"/>
        <v>0</v>
      </c>
      <c r="V11" s="256">
        <f>SUMIF($F$2:F11,F11,$U$2:U11)</f>
        <v>0</v>
      </c>
      <c r="W11" s="257">
        <f t="shared" si="18"/>
        <v>0.2058896603209954</v>
      </c>
      <c r="X11" s="257" t="str">
        <f t="shared" si="8"/>
        <v/>
      </c>
      <c r="Y11" s="257" t="str">
        <f t="shared" si="9"/>
        <v/>
      </c>
      <c r="Z11" s="255">
        <f>IFERROR(AVERAGEIF('Daily KPI'!D:D,Mod[[#This Row],[Month]],'Daily KPI'!AB:AB),"")</f>
        <v>0</v>
      </c>
      <c r="AA11" s="258">
        <f>IFERROR(AVERAGEIF($F$2:F11,F11,$Z$2:Z11),"")</f>
        <v>0.2823963133640553</v>
      </c>
      <c r="AB11" s="256"/>
      <c r="AC11" s="255"/>
      <c r="AD11" s="255"/>
      <c r="AE11" s="257">
        <v>0.995</v>
      </c>
      <c r="AF11" s="257">
        <v>0.995</v>
      </c>
      <c r="AG11" s="257"/>
      <c r="AH11" s="257"/>
      <c r="AI11" s="257"/>
      <c r="AJ11" s="257"/>
      <c r="AK11" s="257"/>
      <c r="AL11" s="257"/>
      <c r="AM11" s="259">
        <f>SUMIF('Daily KPI'!$D:$D,$D11,'Daily KPI'!$AS:$AS)</f>
        <v>0</v>
      </c>
      <c r="AN11" s="259">
        <f>SUMIF($F$2:F11,F11,$AM$2:AM11)</f>
        <v>139005.48888316052</v>
      </c>
    </row>
    <row r="12" spans="1:43">
      <c r="A12" s="250">
        <f t="shared" si="10"/>
        <v>11</v>
      </c>
      <c r="B12" s="250" t="s">
        <v>204</v>
      </c>
      <c r="C12" s="249">
        <v>2</v>
      </c>
      <c r="D12" s="251">
        <v>46054</v>
      </c>
      <c r="E12" s="260">
        <f t="shared" si="11"/>
        <v>2026</v>
      </c>
      <c r="F12" s="252" t="s">
        <v>206</v>
      </c>
      <c r="G12" s="261">
        <f t="shared" si="12"/>
        <v>28</v>
      </c>
      <c r="H12" s="258">
        <v>164.6</v>
      </c>
      <c r="I12" s="258">
        <v>182.9</v>
      </c>
      <c r="J12" s="262"/>
      <c r="K12" s="254">
        <v>24.5</v>
      </c>
      <c r="L12" s="261"/>
      <c r="M12" s="263">
        <v>13434.0696953279</v>
      </c>
      <c r="N12" s="263">
        <v>87.8</v>
      </c>
      <c r="O12" s="264">
        <f t="shared" si="13"/>
        <v>0.83656439316254438</v>
      </c>
      <c r="P12" s="262">
        <f t="shared" si="14"/>
        <v>6.5321428571428575</v>
      </c>
      <c r="Q12" s="261">
        <f>COUNTIFS('Daily KPI'!$D:$D,D12,'Daily KPI'!$K:$K,"&gt;0")</f>
        <v>0</v>
      </c>
      <c r="R12" s="263">
        <f>I12/G12*Q12</f>
        <v>0</v>
      </c>
      <c r="S12" s="256">
        <f>SUMIF($F$2:F12,F12,$R$2:R12)</f>
        <v>0</v>
      </c>
      <c r="T12" s="262">
        <f t="shared" si="16"/>
        <v>479.78820340456787</v>
      </c>
      <c r="U12" s="263">
        <f t="shared" si="17"/>
        <v>0</v>
      </c>
      <c r="V12" s="256">
        <f>SUMIF($F$2:F12,F12,$U$2:U12)</f>
        <v>0</v>
      </c>
      <c r="W12" s="264">
        <f t="shared" si="18"/>
        <v>0.22768992188903184</v>
      </c>
      <c r="X12" s="264" t="str">
        <f t="shared" si="8"/>
        <v/>
      </c>
      <c r="Y12" s="264" t="str">
        <f t="shared" si="9"/>
        <v/>
      </c>
      <c r="Z12" s="262">
        <f>IFERROR(AVERAGEIF('Daily KPI'!D:D,Mod[[#This Row],[Month]],'Daily KPI'!AB:AB),"")</f>
        <v>0</v>
      </c>
      <c r="AA12" s="258">
        <f>IFERROR(AVERAGEIF($F$2:F12,F12,$Z$2:Z12),"")</f>
        <v>0.24709677419354839</v>
      </c>
      <c r="AB12" s="263"/>
      <c r="AC12" s="262"/>
      <c r="AD12" s="262"/>
      <c r="AE12" s="257">
        <v>0.995</v>
      </c>
      <c r="AF12" s="257">
        <v>0.995</v>
      </c>
      <c r="AG12" s="257"/>
      <c r="AH12" s="264"/>
      <c r="AI12" s="264"/>
      <c r="AJ12" s="264"/>
      <c r="AK12" s="264"/>
      <c r="AL12" s="264"/>
      <c r="AM12" s="265">
        <f>SUMIF('Daily KPI'!$D:$D,$D12,'Daily KPI'!$AS:$AS)</f>
        <v>0</v>
      </c>
      <c r="AN12" s="265">
        <f>SUMIF($F$2:F12,F12,$AM$2:AM12)</f>
        <v>139005.48888316052</v>
      </c>
    </row>
    <row r="13" spans="1:43">
      <c r="A13" s="249">
        <f t="shared" si="10"/>
        <v>12</v>
      </c>
      <c r="B13" s="250" t="s">
        <v>205</v>
      </c>
      <c r="C13" s="249">
        <v>3</v>
      </c>
      <c r="D13" s="251">
        <v>46082</v>
      </c>
      <c r="E13" s="252">
        <f t="shared" si="11"/>
        <v>2026</v>
      </c>
      <c r="F13" s="252" t="s">
        <v>206</v>
      </c>
      <c r="G13" s="253">
        <f t="shared" si="12"/>
        <v>31</v>
      </c>
      <c r="H13" s="258">
        <v>202.2</v>
      </c>
      <c r="I13" s="258">
        <v>213.2</v>
      </c>
      <c r="J13" s="255"/>
      <c r="K13" s="258">
        <v>28.2</v>
      </c>
      <c r="L13" s="253"/>
      <c r="M13" s="256">
        <v>15449.326587681902</v>
      </c>
      <c r="N13" s="263">
        <v>87.8</v>
      </c>
      <c r="O13" s="257">
        <f t="shared" si="13"/>
        <v>0.82533039162869648</v>
      </c>
      <c r="P13" s="255">
        <f t="shared" si="14"/>
        <v>6.8774193548387093</v>
      </c>
      <c r="Q13" s="253">
        <f>COUNTIFS('Daily KPI'!$D:$D,D13,'Daily KPI'!$K:$K,"&gt;0")</f>
        <v>0</v>
      </c>
      <c r="R13" s="256">
        <f t="shared" si="15"/>
        <v>0</v>
      </c>
      <c r="S13" s="256">
        <f>SUMIF($F$2:F13,F13,$R$2:R13)</f>
        <v>0</v>
      </c>
      <c r="T13" s="255">
        <f t="shared" si="16"/>
        <v>498.3653737961904</v>
      </c>
      <c r="U13" s="256">
        <f t="shared" si="17"/>
        <v>0</v>
      </c>
      <c r="V13" s="256">
        <f>SUMIF($F$2:F13,F13,$U$2:U13)</f>
        <v>0</v>
      </c>
      <c r="W13" s="257">
        <f t="shared" si="18"/>
        <v>0.23650596706349206</v>
      </c>
      <c r="X13" s="257" t="str">
        <f t="shared" si="8"/>
        <v/>
      </c>
      <c r="Y13" s="257" t="str">
        <f t="shared" si="9"/>
        <v/>
      </c>
      <c r="Z13" s="255">
        <f>IFERROR(AVERAGEIF('Daily KPI'!D:D,Mod[[#This Row],[Month]],'Daily KPI'!AB:AB),"")</f>
        <v>0</v>
      </c>
      <c r="AA13" s="258">
        <f>IFERROR(AVERAGEIF($F$2:F13,F13,$Z$2:Z13),"")</f>
        <v>0.2196415770609319</v>
      </c>
      <c r="AB13" s="256"/>
      <c r="AC13" s="255"/>
      <c r="AD13" s="255"/>
      <c r="AE13" s="257">
        <v>0.995</v>
      </c>
      <c r="AF13" s="257">
        <v>0.995</v>
      </c>
      <c r="AG13" s="257"/>
      <c r="AH13" s="257"/>
      <c r="AI13" s="257"/>
      <c r="AJ13" s="257"/>
      <c r="AK13" s="257"/>
      <c r="AL13" s="257"/>
      <c r="AM13" s="265">
        <f>SUMIF('Daily KPI'!$D:$D,$D13,'Daily KPI'!$AS:$AS)</f>
        <v>0</v>
      </c>
      <c r="AN13" s="265">
        <f>SUMIF($F$2:F13,F13,$AM$2:AM13)</f>
        <v>139005.48888316052</v>
      </c>
    </row>
  </sheetData>
  <phoneticPr fontId="61" type="noConversion"/>
  <pageMargins left="0.7" right="0.7" top="0.75" bottom="0.75" header="0.3" footer="0.3"/>
  <ignoredErrors>
    <ignoredError sqref="AA2" calculatedColumn="1"/>
  </ignoredErrors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P468"/>
  <sheetViews>
    <sheetView zoomScale="96" zoomScaleNormal="96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9" defaultRowHeight="14.5"/>
  <cols>
    <col min="2" max="3" width="10" customWidth="1"/>
    <col min="4" max="4" width="10.1796875" customWidth="1"/>
    <col min="5" max="5" width="12.453125" customWidth="1"/>
    <col min="6" max="6" width="11.81640625" customWidth="1"/>
    <col min="7" max="7" width="9.453125" customWidth="1"/>
    <col min="8" max="8" width="7.1796875" style="4" customWidth="1"/>
    <col min="9" max="9" width="16.1796875" style="4" customWidth="1"/>
    <col min="10" max="10" width="13.1796875" customWidth="1"/>
    <col min="11" max="11" width="12.453125" customWidth="1"/>
    <col min="12" max="12" width="16.453125" customWidth="1"/>
    <col min="13" max="13" width="14.1796875" customWidth="1"/>
    <col min="14" max="14" width="13.453125" customWidth="1"/>
    <col min="15" max="15" width="11.81640625" customWidth="1"/>
    <col min="16" max="16" width="19.1796875" customWidth="1"/>
    <col min="17" max="17" width="23" customWidth="1"/>
    <col min="18" max="19" width="7.453125" customWidth="1"/>
    <col min="20" max="20" width="17" customWidth="1"/>
    <col min="21" max="21" width="21" customWidth="1"/>
    <col min="22" max="22" width="21.453125" customWidth="1"/>
    <col min="23" max="23" width="12.453125" customWidth="1"/>
    <col min="24" max="24" width="19.1796875" customWidth="1"/>
    <col min="25" max="25" width="72.7265625" customWidth="1"/>
    <col min="26" max="26" width="9.81640625" style="4" customWidth="1"/>
    <col min="27" max="27" width="19.81640625" style="4" customWidth="1"/>
    <col min="28" max="29" width="19.453125" style="4" customWidth="1"/>
    <col min="30" max="30" width="12.453125" customWidth="1"/>
    <col min="31" max="31" width="13.1796875" customWidth="1"/>
    <col min="32" max="32" width="13.81640625" customWidth="1"/>
    <col min="33" max="33" width="14.453125" customWidth="1"/>
    <col min="34" max="34" width="59.453125" customWidth="1"/>
    <col min="35" max="35" width="9" customWidth="1"/>
    <col min="36" max="36" width="17.81640625" customWidth="1"/>
    <col min="37" max="37" width="17.453125" customWidth="1"/>
    <col min="38" max="38" width="12.1796875" customWidth="1"/>
    <col min="42" max="42" width="11.453125" customWidth="1"/>
  </cols>
  <sheetData>
    <row r="1" spans="1:42" ht="36">
      <c r="A1" s="27" t="s">
        <v>5</v>
      </c>
      <c r="B1" s="28" t="s">
        <v>77</v>
      </c>
      <c r="C1" s="29" t="s">
        <v>78</v>
      </c>
      <c r="D1" s="29" t="s">
        <v>79</v>
      </c>
      <c r="E1" s="29" t="s">
        <v>207</v>
      </c>
      <c r="F1" s="29" t="s">
        <v>141</v>
      </c>
      <c r="G1" s="29" t="s">
        <v>80</v>
      </c>
      <c r="H1" s="29" t="s">
        <v>40</v>
      </c>
      <c r="I1" s="29" t="s">
        <v>123</v>
      </c>
      <c r="J1" s="29" t="s">
        <v>124</v>
      </c>
      <c r="K1" s="29" t="s">
        <v>208</v>
      </c>
      <c r="L1" s="29" t="s">
        <v>209</v>
      </c>
      <c r="M1" s="29" t="s">
        <v>210</v>
      </c>
      <c r="N1" s="29" t="s">
        <v>211</v>
      </c>
      <c r="O1" s="29" t="s">
        <v>212</v>
      </c>
      <c r="P1" s="29" t="s">
        <v>213</v>
      </c>
      <c r="Q1" s="29" t="s">
        <v>214</v>
      </c>
      <c r="R1" s="29" t="s">
        <v>215</v>
      </c>
      <c r="S1" s="29" t="s">
        <v>216</v>
      </c>
      <c r="T1" s="29" t="s">
        <v>217</v>
      </c>
      <c r="U1" s="29" t="s">
        <v>218</v>
      </c>
      <c r="V1" s="29" t="s">
        <v>144</v>
      </c>
      <c r="W1" s="29" t="s">
        <v>219</v>
      </c>
      <c r="X1" s="29" t="s">
        <v>220</v>
      </c>
      <c r="Y1" s="29" t="s">
        <v>145</v>
      </c>
      <c r="Z1" s="29" t="s">
        <v>221</v>
      </c>
      <c r="AA1" s="29" t="s">
        <v>222</v>
      </c>
      <c r="AB1" s="29" t="s">
        <v>223</v>
      </c>
      <c r="AC1" s="29" t="s">
        <v>224</v>
      </c>
      <c r="AD1" s="29" t="s">
        <v>225</v>
      </c>
      <c r="AE1" s="29" t="s">
        <v>149</v>
      </c>
      <c r="AF1" s="29" t="s">
        <v>150</v>
      </c>
      <c r="AG1" s="29" t="s">
        <v>151</v>
      </c>
      <c r="AH1" s="29" t="s">
        <v>152</v>
      </c>
      <c r="AI1" s="29" t="s">
        <v>153</v>
      </c>
      <c r="AJ1" s="29" t="s">
        <v>154</v>
      </c>
      <c r="AK1" s="29" t="s">
        <v>226</v>
      </c>
      <c r="AL1" s="50" t="s">
        <v>227</v>
      </c>
      <c r="AM1" s="29" t="s">
        <v>119</v>
      </c>
      <c r="AN1" s="29" t="s">
        <v>120</v>
      </c>
      <c r="AO1" s="29" t="s">
        <v>228</v>
      </c>
      <c r="AP1" s="29" t="s">
        <v>229</v>
      </c>
    </row>
    <row r="2" spans="1:42">
      <c r="A2" s="30">
        <v>1</v>
      </c>
      <c r="B2" s="31"/>
      <c r="C2" s="32">
        <f>YEAR(PA[[#This Row],[Date]])+IF(MONTH(PA[[#This Row],[Date]])&gt;=4,1,0)</f>
        <v>1900</v>
      </c>
      <c r="D2" s="32">
        <f>YEAR(PA[[#This Row],[Date]])</f>
        <v>1900</v>
      </c>
      <c r="E2" s="33" t="s">
        <v>156</v>
      </c>
      <c r="F2" s="33" t="s">
        <v>156</v>
      </c>
      <c r="G2" s="194">
        <f>PA[[#This Row],[Date]]-DAY(PA[[#This Row],[Date]])+1</f>
        <v>1</v>
      </c>
      <c r="H2" s="32">
        <f>DAY(EOMONTH(PA[[#This Row],[Month Year]],0))</f>
        <v>31</v>
      </c>
      <c r="I2" s="121"/>
      <c r="J2" s="121"/>
      <c r="K2" s="35">
        <f>IFERROR((PA[[#This Row],[Sunset Time (POA&lt;20 W/m2)]]-PA[[#This Row],[Sunrise Time (POA&gt;20 W/m2)]])*24,"")</f>
        <v>0</v>
      </c>
      <c r="L2" s="33"/>
      <c r="M2" s="33"/>
      <c r="N2" s="33"/>
      <c r="O2" s="36"/>
      <c r="P2" s="36"/>
      <c r="Q2" s="33"/>
      <c r="R2" s="32">
        <f>IF((PA[[#This Row],[String Type(If String BD)]]&amp;PA[[#This Row],[Equipment (If any BD other than PV  array and inv)]])="",1,0)</f>
        <v>1</v>
      </c>
      <c r="S2" s="32">
        <f>IF(PA[[#This Row],[String Type(If String BD)]]="",1,0)</f>
        <v>1</v>
      </c>
      <c r="T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" s="35" t="str">
        <f>IFERROR(_xlfn.XLOOKUP(PA[[#This Row],[Affected Equipment ]],'Basic Data'!N:N,'Basic Data'!Q:Q),"")</f>
        <v/>
      </c>
      <c r="V2" s="39" t="str">
        <f>IFERROR(_xlfn.XLOOKUP(PA[[#This Row],[Affected Equipment ]],'Basic Data'!N:N,'Basic Data'!R:R),"")</f>
        <v/>
      </c>
      <c r="W2" s="36" t="s">
        <v>232</v>
      </c>
      <c r="X2" s="40"/>
      <c r="Y2" s="40" t="s">
        <v>233</v>
      </c>
      <c r="Z2" s="46">
        <v>0.53819444444444442</v>
      </c>
      <c r="AA2" s="46">
        <v>0.53819444444444442</v>
      </c>
      <c r="AB2" s="46">
        <v>0.53819444444444442</v>
      </c>
      <c r="AC2" s="46">
        <v>0.72916666666666663</v>
      </c>
      <c r="AD2" s="44">
        <f>IF(PA[[#This Row],[Acknowledgement Time ]]="NA","",(PA[[#This Row],[Acknowledgement Time ]]-PA[[#This Row],[Fault Time]])*24)</f>
        <v>0</v>
      </c>
      <c r="AE2" s="44">
        <f>IF(PA[[#This Row],[Work Start time on Fault]]="NA","",(PA[[#This Row],[Work Start time on Fault]]-PA[[#This Row],[Fault Time]])*24)</f>
        <v>0</v>
      </c>
      <c r="AF2" s="45">
        <f>IF(PA[[#This Row],[Status]]="Open","",(PA[[#This Row],[Work Completion time on fault]]-PA[[#This Row],[Fault Time]])*24)</f>
        <v>4.583333333333333</v>
      </c>
      <c r="AG2" s="44">
        <f>IFERROR((PA[[#This Row],[Work Completion time on fault]]-PA[[#This Row],[Fault Time]])*24,"")</f>
        <v>4.583333333333333</v>
      </c>
      <c r="AH2" s="36" t="s">
        <v>234</v>
      </c>
      <c r="AI2" s="33" t="s">
        <v>235</v>
      </c>
      <c r="AJ2" s="35" t="str">
        <f>IFERROR(PA[[#This Row],[Breakdown Time]]*PA[[#This Row],[Plant Equivalent Weightage]],"")</f>
        <v/>
      </c>
      <c r="AK2" s="36">
        <v>3.0036148333333337</v>
      </c>
      <c r="AL2" s="51" t="str">
        <f>IFERROR((_xlfn.XLOOKUP($G2,'Modelling New'!D:D,'Modelling New'!$O:$O)*PA[[#This Row],[Lost PoA(kWh/m2)]]*PA[[#This Row],[DC Capacity Affected (kW)]]),"")</f>
        <v/>
      </c>
      <c r="AM2" s="33"/>
      <c r="AN2" s="33"/>
      <c r="AO2" s="33"/>
      <c r="AP2" s="33"/>
    </row>
    <row r="3" spans="1:42">
      <c r="A3" s="30">
        <v>2</v>
      </c>
      <c r="B3" s="31"/>
      <c r="C3" s="32">
        <f>YEAR(PA[[#This Row],[Date]])+IF(MONTH(PA[[#This Row],[Date]])&gt;=4,1,0)</f>
        <v>1900</v>
      </c>
      <c r="D3" s="32">
        <f>YEAR(PA[[#This Row],[Date]])</f>
        <v>1900</v>
      </c>
      <c r="E3" s="33" t="s">
        <v>156</v>
      </c>
      <c r="F3" s="33" t="s">
        <v>156</v>
      </c>
      <c r="G3" s="194">
        <f>PA[[#This Row],[Date]]-DAY(PA[[#This Row],[Date]])+1</f>
        <v>1</v>
      </c>
      <c r="H3" s="32">
        <f>DAY(EOMONTH(PA[[#This Row],[Month Year]],0))</f>
        <v>31</v>
      </c>
      <c r="I3" s="121"/>
      <c r="J3" s="121"/>
      <c r="K3" s="35">
        <f>IFERROR((PA[[#This Row],[Sunset Time (POA&lt;20 W/m2)]]-PA[[#This Row],[Sunrise Time (POA&gt;20 W/m2)]])*24,"")</f>
        <v>0</v>
      </c>
      <c r="L3" s="33"/>
      <c r="M3" s="33"/>
      <c r="N3" s="33"/>
      <c r="O3" s="36"/>
      <c r="P3" s="36"/>
      <c r="Q3" s="33"/>
      <c r="R3" s="32">
        <f>IF((PA[[#This Row],[String Type(If String BD)]]&amp;PA[[#This Row],[Equipment (If any BD other than PV  array and inv)]])="",1,0)</f>
        <v>1</v>
      </c>
      <c r="S3" s="32">
        <f>IF(PA[[#This Row],[String Type(If String BD)]]="",1,0)</f>
        <v>1</v>
      </c>
      <c r="T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" s="35" t="str">
        <f>IFERROR(_xlfn.XLOOKUP(PA[[#This Row],[Affected Equipment ]],'Basic Data'!N:N,'Basic Data'!Q:Q),"")</f>
        <v/>
      </c>
      <c r="V3" s="39" t="str">
        <f>IFERROR(_xlfn.XLOOKUP(PA[[#This Row],[Affected Equipment ]],'Basic Data'!N:N,'Basic Data'!R:R),"")</f>
        <v/>
      </c>
      <c r="W3" s="36" t="s">
        <v>232</v>
      </c>
      <c r="X3" s="40"/>
      <c r="Y3" s="40" t="s">
        <v>233</v>
      </c>
      <c r="Z3" s="46">
        <v>0.53819444444444442</v>
      </c>
      <c r="AA3" s="46">
        <v>0.53819444444444442</v>
      </c>
      <c r="AB3" s="46">
        <v>0.53819444444444442</v>
      </c>
      <c r="AC3" s="46">
        <v>0.72916666666666663</v>
      </c>
      <c r="AD3" s="44">
        <f>IF(PA[[#This Row],[Acknowledgement Time ]]="NA","",(PA[[#This Row],[Acknowledgement Time ]]-PA[[#This Row],[Fault Time]])*24)</f>
        <v>0</v>
      </c>
      <c r="AE3" s="44">
        <f>IF(PA[[#This Row],[Work Start time on Fault]]="NA","",(PA[[#This Row],[Work Start time on Fault]]-PA[[#This Row],[Fault Time]])*24)</f>
        <v>0</v>
      </c>
      <c r="AF3" s="45">
        <f>IF(PA[[#This Row],[Status]]="Open","",(PA[[#This Row],[Work Completion time on fault]]-PA[[#This Row],[Fault Time]])*24)</f>
        <v>4.583333333333333</v>
      </c>
      <c r="AG3" s="44">
        <f>IFERROR((PA[[#This Row],[Work Completion time on fault]]-PA[[#This Row],[Fault Time]])*24,"")</f>
        <v>4.583333333333333</v>
      </c>
      <c r="AH3" s="36" t="s">
        <v>234</v>
      </c>
      <c r="AI3" s="33" t="s">
        <v>235</v>
      </c>
      <c r="AJ3" s="35" t="str">
        <f>IFERROR(PA[[#This Row],[Breakdown Time]]*PA[[#This Row],[Plant Equivalent Weightage]],"")</f>
        <v/>
      </c>
      <c r="AK3" s="36">
        <v>3.0036148333333337</v>
      </c>
      <c r="AL3" s="51" t="str">
        <f>IFERROR((_xlfn.XLOOKUP($G3,'Modelling New'!D:D,'Modelling New'!$O:$O)*PA[[#This Row],[Lost PoA(kWh/m2)]]*PA[[#This Row],[DC Capacity Affected (kW)]]),"")</f>
        <v/>
      </c>
      <c r="AM3" s="33"/>
      <c r="AN3" s="33"/>
      <c r="AO3" s="33"/>
      <c r="AP3" s="33"/>
    </row>
    <row r="4" spans="1:42">
      <c r="A4" s="30">
        <v>3</v>
      </c>
      <c r="B4" s="31"/>
      <c r="C4" s="32">
        <f>YEAR(PA[[#This Row],[Date]])+IF(MONTH(PA[[#This Row],[Date]])&gt;=4,1,0)</f>
        <v>1900</v>
      </c>
      <c r="D4" s="32">
        <f>YEAR(PA[[#This Row],[Date]])</f>
        <v>1900</v>
      </c>
      <c r="E4" s="33" t="s">
        <v>156</v>
      </c>
      <c r="F4" s="33" t="s">
        <v>156</v>
      </c>
      <c r="G4" s="194">
        <f>PA[[#This Row],[Date]]-DAY(PA[[#This Row],[Date]])+1</f>
        <v>1</v>
      </c>
      <c r="H4" s="32">
        <f>DAY(EOMONTH(PA[[#This Row],[Month Year]],0))</f>
        <v>31</v>
      </c>
      <c r="I4" s="121"/>
      <c r="J4" s="121"/>
      <c r="K4" s="35">
        <f>IFERROR((PA[[#This Row],[Sunset Time (POA&lt;20 W/m2)]]-PA[[#This Row],[Sunrise Time (POA&gt;20 W/m2)]])*24,"")</f>
        <v>0</v>
      </c>
      <c r="L4" s="33"/>
      <c r="M4" s="33"/>
      <c r="N4" s="33"/>
      <c r="O4" s="36"/>
      <c r="P4" s="36"/>
      <c r="Q4" s="33"/>
      <c r="R4" s="32">
        <f>IF((PA[[#This Row],[String Type(If String BD)]]&amp;PA[[#This Row],[Equipment (If any BD other than PV  array and inv)]])="",1,0)</f>
        <v>1</v>
      </c>
      <c r="S4" s="32">
        <f>IF(PA[[#This Row],[String Type(If String BD)]]="",1,0)</f>
        <v>1</v>
      </c>
      <c r="T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" s="35" t="str">
        <f>IFERROR(_xlfn.XLOOKUP(PA[[#This Row],[Affected Equipment ]],'Basic Data'!N:N,'Basic Data'!Q:Q),"")</f>
        <v/>
      </c>
      <c r="V4" s="39" t="str">
        <f>IFERROR(_xlfn.XLOOKUP(PA[[#This Row],[Affected Equipment ]],'Basic Data'!N:N,'Basic Data'!R:R),"")</f>
        <v/>
      </c>
      <c r="W4" s="36" t="s">
        <v>232</v>
      </c>
      <c r="X4" s="40"/>
      <c r="Y4" s="40" t="s">
        <v>233</v>
      </c>
      <c r="Z4" s="46">
        <v>0.52777777777777779</v>
      </c>
      <c r="AA4" s="46">
        <v>0.52777777777777779</v>
      </c>
      <c r="AB4" s="46">
        <v>0.52777777777777779</v>
      </c>
      <c r="AC4" s="46">
        <v>0.5541666666666667</v>
      </c>
      <c r="AD4" s="44">
        <f>IF(PA[[#This Row],[Acknowledgement Time ]]="NA","",(PA[[#This Row],[Acknowledgement Time ]]-PA[[#This Row],[Fault Time]])*24)</f>
        <v>0</v>
      </c>
      <c r="AE4" s="44">
        <f>IF(PA[[#This Row],[Work Start time on Fault]]="NA","",(PA[[#This Row],[Work Start time on Fault]]-PA[[#This Row],[Fault Time]])*24)</f>
        <v>0</v>
      </c>
      <c r="AF4" s="45">
        <f>IF(PA[[#This Row],[Status]]="Open","",(PA[[#This Row],[Work Completion time on fault]]-PA[[#This Row],[Fault Time]])*24)</f>
        <v>0.63333333333333375</v>
      </c>
      <c r="AG4" s="44">
        <f>IFERROR((PA[[#This Row],[Work Completion time on fault]]-PA[[#This Row],[Fault Time]])*24,"")</f>
        <v>0.63333333333333375</v>
      </c>
      <c r="AH4" s="36" t="s">
        <v>234</v>
      </c>
      <c r="AI4" s="33" t="s">
        <v>235</v>
      </c>
      <c r="AJ4" s="35" t="str">
        <f>IFERROR(PA[[#This Row],[Breakdown Time]]*PA[[#This Row],[Plant Equivalent Weightage]],"")</f>
        <v/>
      </c>
      <c r="AK4" s="36">
        <v>0.60555307300000005</v>
      </c>
      <c r="AL4" s="51" t="str">
        <f>IFERROR((_xlfn.XLOOKUP($G4,'Modelling New'!D:D,'Modelling New'!$O:$O)*PA[[#This Row],[Lost PoA(kWh/m2)]]*PA[[#This Row],[DC Capacity Affected (kW)]]),"")</f>
        <v/>
      </c>
      <c r="AM4" s="33"/>
      <c r="AN4" s="33"/>
      <c r="AO4" s="33"/>
      <c r="AP4" s="33"/>
    </row>
    <row r="5" spans="1:42">
      <c r="A5" s="30">
        <v>4</v>
      </c>
      <c r="B5" s="31"/>
      <c r="C5" s="32">
        <f>YEAR(PA[[#This Row],[Date]])+IF(MONTH(PA[[#This Row],[Date]])&gt;=4,1,0)</f>
        <v>1900</v>
      </c>
      <c r="D5" s="32">
        <f>YEAR(PA[[#This Row],[Date]])</f>
        <v>1900</v>
      </c>
      <c r="E5" s="33" t="s">
        <v>157</v>
      </c>
      <c r="F5" s="33" t="s">
        <v>157</v>
      </c>
      <c r="G5" s="194">
        <f>PA[[#This Row],[Date]]-DAY(PA[[#This Row],[Date]])+1</f>
        <v>1</v>
      </c>
      <c r="H5" s="32">
        <f>DAY(EOMONTH(PA[[#This Row],[Month Year]],0))</f>
        <v>31</v>
      </c>
      <c r="I5" s="121"/>
      <c r="J5" s="121"/>
      <c r="K5" s="35">
        <f>IFERROR((PA[[#This Row],[Sunset Time (POA&lt;20 W/m2)]]-PA[[#This Row],[Sunrise Time (POA&gt;20 W/m2)]])*24,"")</f>
        <v>0</v>
      </c>
      <c r="L5" s="33"/>
      <c r="M5" s="33"/>
      <c r="N5" s="33"/>
      <c r="O5" s="36"/>
      <c r="P5" s="36"/>
      <c r="Q5" s="33"/>
      <c r="R5" s="32">
        <f>IF((PA[[#This Row],[String Type(If String BD)]]&amp;PA[[#This Row],[Equipment (If any BD other than PV  array and inv)]])="",1,0)</f>
        <v>1</v>
      </c>
      <c r="S5" s="32">
        <f>IF(PA[[#This Row],[String Type(If String BD)]]="",1,0)</f>
        <v>1</v>
      </c>
      <c r="T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" s="35" t="str">
        <f>IFERROR(_xlfn.XLOOKUP(PA[[#This Row],[Affected Equipment ]],'Basic Data'!N:N,'Basic Data'!Q:Q),"")</f>
        <v/>
      </c>
      <c r="V5" s="39" t="str">
        <f>IFERROR(_xlfn.XLOOKUP(PA[[#This Row],[Affected Equipment ]],'Basic Data'!N:N,'Basic Data'!R:R),"")</f>
        <v/>
      </c>
      <c r="W5" s="36" t="s">
        <v>232</v>
      </c>
      <c r="X5" s="40"/>
      <c r="Y5" s="40" t="s">
        <v>233</v>
      </c>
      <c r="Z5" s="46">
        <v>0.52777777777777779</v>
      </c>
      <c r="AA5" s="46">
        <v>0.52777777777777779</v>
      </c>
      <c r="AB5" s="46">
        <v>0.52777777777777779</v>
      </c>
      <c r="AC5" s="46">
        <v>0.5541666666666667</v>
      </c>
      <c r="AD5" s="44">
        <f>IF(PA[[#This Row],[Acknowledgement Time ]]="NA","",(PA[[#This Row],[Acknowledgement Time ]]-PA[[#This Row],[Fault Time]])*24)</f>
        <v>0</v>
      </c>
      <c r="AE5" s="44">
        <f>IF(PA[[#This Row],[Work Start time on Fault]]="NA","",(PA[[#This Row],[Work Start time on Fault]]-PA[[#This Row],[Fault Time]])*24)</f>
        <v>0</v>
      </c>
      <c r="AF5" s="45">
        <f>IF(PA[[#This Row],[Status]]="Open","",(PA[[#This Row],[Work Completion time on fault]]-PA[[#This Row],[Fault Time]])*24)</f>
        <v>0.63333333333333375</v>
      </c>
      <c r="AG5" s="44">
        <f>IFERROR((PA[[#This Row],[Work Completion time on fault]]-PA[[#This Row],[Fault Time]])*24,"")</f>
        <v>0.63333333333333375</v>
      </c>
      <c r="AH5" s="36" t="s">
        <v>234</v>
      </c>
      <c r="AI5" s="33" t="s">
        <v>235</v>
      </c>
      <c r="AJ5" s="35" t="str">
        <f>IFERROR(PA[[#This Row],[Breakdown Time]]*PA[[#This Row],[Plant Equivalent Weightage]],"")</f>
        <v/>
      </c>
      <c r="AK5" s="36">
        <v>0.60555307300000005</v>
      </c>
      <c r="AL5" s="51" t="str">
        <f>IFERROR((_xlfn.XLOOKUP($G5,'Modelling New'!D:D,'Modelling New'!$O:$O)*PA[[#This Row],[Lost PoA(kWh/m2)]]*PA[[#This Row],[DC Capacity Affected (kW)]]),"")</f>
        <v/>
      </c>
      <c r="AM5" s="33"/>
      <c r="AN5" s="33"/>
      <c r="AO5" s="33"/>
      <c r="AP5" s="33"/>
    </row>
    <row r="6" spans="1:42">
      <c r="A6" s="30">
        <v>5</v>
      </c>
      <c r="B6" s="31"/>
      <c r="C6" s="32">
        <f>YEAR(PA[[#This Row],[Date]])+IF(MONTH(PA[[#This Row],[Date]])&gt;=4,1,0)</f>
        <v>1900</v>
      </c>
      <c r="D6" s="32">
        <v>2025</v>
      </c>
      <c r="E6" s="33" t="s">
        <v>157</v>
      </c>
      <c r="F6" s="33" t="s">
        <v>157</v>
      </c>
      <c r="G6" s="194">
        <f>PA[[#This Row],[Date]]-DAY(PA[[#This Row],[Date]])+1</f>
        <v>1</v>
      </c>
      <c r="H6" s="32">
        <f>DAY(EOMONTH(PA[[#This Row],[Month Year]],0))</f>
        <v>31</v>
      </c>
      <c r="I6" s="121"/>
      <c r="J6" s="121"/>
      <c r="K6" s="35">
        <f>IFERROR((PA[[#This Row],[Sunset Time (POA&lt;20 W/m2)]]-PA[[#This Row],[Sunrise Time (POA&gt;20 W/m2)]])*24,"")</f>
        <v>0</v>
      </c>
      <c r="L6" s="33"/>
      <c r="M6" s="33"/>
      <c r="N6" s="33"/>
      <c r="O6" s="36"/>
      <c r="P6" s="36"/>
      <c r="Q6" s="33"/>
      <c r="R6" s="32">
        <f>IF((PA[[#This Row],[String Type(If String BD)]]&amp;PA[[#This Row],[Equipment (If any BD other than PV  array and inv)]])="",1,0)</f>
        <v>1</v>
      </c>
      <c r="S6" s="32">
        <f>IF(PA[[#This Row],[String Type(If String BD)]]="",1,0)</f>
        <v>1</v>
      </c>
      <c r="T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" s="35" t="str">
        <f>IFERROR(_xlfn.XLOOKUP(PA[[#This Row],[Affected Equipment ]],'Basic Data'!N:N,'Basic Data'!Q:Q),"")</f>
        <v/>
      </c>
      <c r="V6" s="39" t="str">
        <f>IFERROR(_xlfn.XLOOKUP(PA[[#This Row],[Affected Equipment ]],'Basic Data'!N:N,'Basic Data'!R:R),"")</f>
        <v/>
      </c>
      <c r="W6" s="36" t="s">
        <v>232</v>
      </c>
      <c r="X6" s="40"/>
      <c r="Y6" s="40" t="s">
        <v>237</v>
      </c>
      <c r="Z6" s="46">
        <v>0.61875000000000002</v>
      </c>
      <c r="AA6" s="46">
        <v>0.61875000000000002</v>
      </c>
      <c r="AB6" s="46">
        <v>0.61875000000000002</v>
      </c>
      <c r="AC6" s="46">
        <v>0.65138888888888891</v>
      </c>
      <c r="AD6" s="44">
        <f>IF(PA[[#This Row],[Acknowledgement Time ]]="NA","",(PA[[#This Row],[Acknowledgement Time ]]-PA[[#This Row],[Fault Time]])*24)</f>
        <v>0</v>
      </c>
      <c r="AE6" s="44">
        <f>IF(PA[[#This Row],[Work Start time on Fault]]="NA","",(PA[[#This Row],[Work Start time on Fault]]-PA[[#This Row],[Fault Time]])*24)</f>
        <v>0</v>
      </c>
      <c r="AF6" s="45">
        <f>IF(PA[[#This Row],[Status]]="Open","",(PA[[#This Row],[Work Completion time on fault]]-PA[[#This Row],[Fault Time]])*24)</f>
        <v>0.78333333333333321</v>
      </c>
      <c r="AG6" s="44">
        <f>IFERROR((PA[[#This Row],[Work Completion time on fault]]-PA[[#This Row],[Fault Time]])*24,"")</f>
        <v>0.78333333333333321</v>
      </c>
      <c r="AH6" s="36" t="s">
        <v>234</v>
      </c>
      <c r="AI6" s="33" t="s">
        <v>235</v>
      </c>
      <c r="AJ6" s="35" t="str">
        <f>IFERROR(PA[[#This Row],[Breakdown Time]]*PA[[#This Row],[Plant Equivalent Weightage]],"")</f>
        <v/>
      </c>
      <c r="AK6" s="36">
        <v>0.39825504500000003</v>
      </c>
      <c r="AL6" s="51" t="str">
        <f>IFERROR((_xlfn.XLOOKUP($G6,'Modelling New'!D:D,'Modelling New'!$O:$O)*PA[[#This Row],[Lost PoA(kWh/m2)]]*PA[[#This Row],[DC Capacity Affected (kW)]]),"")</f>
        <v/>
      </c>
      <c r="AM6" s="33"/>
      <c r="AN6" s="33"/>
      <c r="AO6" s="33"/>
      <c r="AP6" s="33"/>
    </row>
    <row r="7" spans="1:42">
      <c r="A7" s="30">
        <v>6</v>
      </c>
      <c r="B7" s="31"/>
      <c r="C7" s="32">
        <f>YEAR(PA[[#This Row],[Date]])+IF(MONTH(PA[[#This Row],[Date]])&gt;=4,1,0)</f>
        <v>1900</v>
      </c>
      <c r="D7" s="32">
        <f>YEAR(PA[[#This Row],[Date]])</f>
        <v>1900</v>
      </c>
      <c r="E7" s="33" t="s">
        <v>157</v>
      </c>
      <c r="F7" s="33" t="s">
        <v>157</v>
      </c>
      <c r="G7" s="194">
        <f>PA[[#This Row],[Date]]-DAY(PA[[#This Row],[Date]])+1</f>
        <v>1</v>
      </c>
      <c r="H7" s="32">
        <f>DAY(EOMONTH(PA[[#This Row],[Month Year]],0))</f>
        <v>31</v>
      </c>
      <c r="I7" s="121"/>
      <c r="J7" s="121"/>
      <c r="K7" s="35">
        <f>IFERROR((PA[[#This Row],[Sunset Time (POA&lt;20 W/m2)]]-PA[[#This Row],[Sunrise Time (POA&gt;20 W/m2)]])*24,"")</f>
        <v>0</v>
      </c>
      <c r="L7" s="33"/>
      <c r="M7" s="33"/>
      <c r="N7" s="33"/>
      <c r="O7" s="36"/>
      <c r="P7" s="36"/>
      <c r="Q7" s="33"/>
      <c r="R7" s="32">
        <f>IF((PA[[#This Row],[String Type(If String BD)]]&amp;PA[[#This Row],[Equipment (If any BD other than PV  array and inv)]])="",1,0)</f>
        <v>1</v>
      </c>
      <c r="S7" s="32">
        <f>IF(PA[[#This Row],[String Type(If String BD)]]="",1,0)</f>
        <v>1</v>
      </c>
      <c r="T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" s="35" t="str">
        <f>IFERROR(_xlfn.XLOOKUP(PA[[#This Row],[Affected Equipment ]],'Basic Data'!N:N,'Basic Data'!Q:Q),"")</f>
        <v/>
      </c>
      <c r="V7" s="39" t="str">
        <f>IFERROR(_xlfn.XLOOKUP(PA[[#This Row],[Affected Equipment ]],'Basic Data'!N:N,'Basic Data'!R:R),"")</f>
        <v/>
      </c>
      <c r="W7" s="36" t="s">
        <v>232</v>
      </c>
      <c r="X7" s="40"/>
      <c r="Y7" s="40" t="s">
        <v>237</v>
      </c>
      <c r="Z7" s="46">
        <v>0.61875000000000002</v>
      </c>
      <c r="AA7" s="46">
        <v>0.61875000000000002</v>
      </c>
      <c r="AB7" s="46">
        <v>0.61875000000000002</v>
      </c>
      <c r="AC7" s="46">
        <v>0.65138888888888891</v>
      </c>
      <c r="AD7" s="44">
        <f>IF(PA[[#This Row],[Acknowledgement Time ]]="NA","",(PA[[#This Row],[Acknowledgement Time ]]-PA[[#This Row],[Fault Time]])*24)</f>
        <v>0</v>
      </c>
      <c r="AE7" s="44">
        <f>IF(PA[[#This Row],[Work Start time on Fault]]="NA","",(PA[[#This Row],[Work Start time on Fault]]-PA[[#This Row],[Fault Time]])*24)</f>
        <v>0</v>
      </c>
      <c r="AF7" s="45">
        <f>IF(PA[[#This Row],[Status]]="Open","",(PA[[#This Row],[Work Completion time on fault]]-PA[[#This Row],[Fault Time]])*24)</f>
        <v>0.78333333333333321</v>
      </c>
      <c r="AG7" s="44">
        <f>IFERROR((PA[[#This Row],[Work Completion time on fault]]-PA[[#This Row],[Fault Time]])*24,"")</f>
        <v>0.78333333333333321</v>
      </c>
      <c r="AH7" s="36" t="s">
        <v>234</v>
      </c>
      <c r="AI7" s="33" t="s">
        <v>235</v>
      </c>
      <c r="AJ7" s="35" t="str">
        <f>IFERROR(PA[[#This Row],[Breakdown Time]]*PA[[#This Row],[Plant Equivalent Weightage]],"")</f>
        <v/>
      </c>
      <c r="AK7" s="36">
        <v>0.39825504500000003</v>
      </c>
      <c r="AL7" s="51" t="str">
        <f>IFERROR((_xlfn.XLOOKUP($G7,'Modelling New'!D:D,'Modelling New'!$O:$O)*PA[[#This Row],[Lost PoA(kWh/m2)]]*PA[[#This Row],[DC Capacity Affected (kW)]]),"")</f>
        <v/>
      </c>
      <c r="AM7" s="33"/>
      <c r="AN7" s="33"/>
      <c r="AO7" s="33"/>
      <c r="AP7" s="33"/>
    </row>
    <row r="8" spans="1:42">
      <c r="A8" s="30">
        <v>7</v>
      </c>
      <c r="B8" s="31"/>
      <c r="C8" s="32">
        <f>YEAR(PA[[#This Row],[Date]])+IF(MONTH(PA[[#This Row],[Date]])&gt;=4,1,0)</f>
        <v>1900</v>
      </c>
      <c r="D8" s="32">
        <f>YEAR(PA[[#This Row],[Date]])</f>
        <v>1900</v>
      </c>
      <c r="E8" s="33" t="s">
        <v>157</v>
      </c>
      <c r="F8" s="33" t="s">
        <v>157</v>
      </c>
      <c r="G8" s="194">
        <f>PA[[#This Row],[Date]]-DAY(PA[[#This Row],[Date]])+1</f>
        <v>1</v>
      </c>
      <c r="H8" s="32">
        <f>DAY(EOMONTH(PA[[#This Row],[Month Year]],0))</f>
        <v>31</v>
      </c>
      <c r="I8" s="121"/>
      <c r="J8" s="121"/>
      <c r="K8" s="35">
        <f>IFERROR((PA[[#This Row],[Sunset Time (POA&lt;20 W/m2)]]-PA[[#This Row],[Sunrise Time (POA&gt;20 W/m2)]])*24,"")</f>
        <v>0</v>
      </c>
      <c r="L8" s="33"/>
      <c r="M8" s="33"/>
      <c r="N8" s="33"/>
      <c r="O8" s="36"/>
      <c r="P8" s="36"/>
      <c r="Q8" s="33"/>
      <c r="R8" s="32">
        <f>IF((PA[[#This Row],[String Type(If String BD)]]&amp;PA[[#This Row],[Equipment (If any BD other than PV  array and inv)]])="",1,0)</f>
        <v>1</v>
      </c>
      <c r="S8" s="32">
        <f>IF(PA[[#This Row],[String Type(If String BD)]]="",1,0)</f>
        <v>1</v>
      </c>
      <c r="T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" s="35" t="str">
        <f>IFERROR(_xlfn.XLOOKUP(PA[[#This Row],[Affected Equipment ]],'Basic Data'!N:N,'Basic Data'!Q:Q),"")</f>
        <v/>
      </c>
      <c r="V8" s="39" t="str">
        <f>IFERROR(_xlfn.XLOOKUP(PA[[#This Row],[Affected Equipment ]],'Basic Data'!N:N,'Basic Data'!R:R),"")</f>
        <v/>
      </c>
      <c r="W8" s="36" t="s">
        <v>232</v>
      </c>
      <c r="X8" s="40"/>
      <c r="Y8" s="40" t="s">
        <v>237</v>
      </c>
      <c r="Z8" s="46">
        <v>0.61875000000000002</v>
      </c>
      <c r="AA8" s="46">
        <v>0.61875000000000002</v>
      </c>
      <c r="AB8" s="46">
        <v>0.61875000000000002</v>
      </c>
      <c r="AC8" s="46">
        <v>0.65138888888888891</v>
      </c>
      <c r="AD8" s="44">
        <f>IF(PA[[#This Row],[Acknowledgement Time ]]="NA","",(PA[[#This Row],[Acknowledgement Time ]]-PA[[#This Row],[Fault Time]])*24)</f>
        <v>0</v>
      </c>
      <c r="AE8" s="44">
        <f>IF(PA[[#This Row],[Work Start time on Fault]]="NA","",(PA[[#This Row],[Work Start time on Fault]]-PA[[#This Row],[Fault Time]])*24)</f>
        <v>0</v>
      </c>
      <c r="AF8" s="45">
        <f>IF(PA[[#This Row],[Status]]="Open","",(PA[[#This Row],[Work Completion time on fault]]-PA[[#This Row],[Fault Time]])*24)</f>
        <v>0.78333333333333321</v>
      </c>
      <c r="AG8" s="44">
        <f>IFERROR((PA[[#This Row],[Work Completion time on fault]]-PA[[#This Row],[Fault Time]])*24,"")</f>
        <v>0.78333333333333321</v>
      </c>
      <c r="AH8" s="36" t="s">
        <v>234</v>
      </c>
      <c r="AI8" s="33" t="s">
        <v>235</v>
      </c>
      <c r="AJ8" s="35" t="str">
        <f>IFERROR(PA[[#This Row],[Breakdown Time]]*PA[[#This Row],[Plant Equivalent Weightage]],"")</f>
        <v/>
      </c>
      <c r="AK8" s="36">
        <v>0.39825504500000003</v>
      </c>
      <c r="AL8" s="51" t="str">
        <f>IFERROR((_xlfn.XLOOKUP($G8,'Modelling New'!D:D,'Modelling New'!$O:$O)*PA[[#This Row],[Lost PoA(kWh/m2)]]*PA[[#This Row],[DC Capacity Affected (kW)]]),"")</f>
        <v/>
      </c>
      <c r="AM8" s="33"/>
      <c r="AN8" s="33"/>
      <c r="AO8" s="33"/>
      <c r="AP8" s="33"/>
    </row>
    <row r="9" spans="1:42">
      <c r="A9" s="30">
        <v>8</v>
      </c>
      <c r="B9" s="31"/>
      <c r="C9" s="32">
        <f>YEAR(PA[[#This Row],[Date]])+IF(MONTH(PA[[#This Row],[Date]])&gt;=4,1,0)</f>
        <v>1900</v>
      </c>
      <c r="D9" s="32">
        <f>YEAR(PA[[#This Row],[Date]])</f>
        <v>1900</v>
      </c>
      <c r="E9" s="33" t="s">
        <v>157</v>
      </c>
      <c r="F9" s="33" t="s">
        <v>157</v>
      </c>
      <c r="G9" s="194">
        <f>PA[[#This Row],[Date]]-DAY(PA[[#This Row],[Date]])+1</f>
        <v>1</v>
      </c>
      <c r="H9" s="32">
        <f>DAY(EOMONTH(PA[[#This Row],[Month Year]],0))</f>
        <v>31</v>
      </c>
      <c r="I9" s="121"/>
      <c r="J9" s="121"/>
      <c r="K9" s="35">
        <f>IFERROR((PA[[#This Row],[Sunset Time (POA&lt;20 W/m2)]]-PA[[#This Row],[Sunrise Time (POA&gt;20 W/m2)]])*24,"")</f>
        <v>0</v>
      </c>
      <c r="L9" s="33"/>
      <c r="M9" s="33"/>
      <c r="N9" s="33"/>
      <c r="O9" s="36"/>
      <c r="P9" s="36"/>
      <c r="Q9" s="33"/>
      <c r="R9" s="32">
        <f>IF((PA[[#This Row],[String Type(If String BD)]]&amp;PA[[#This Row],[Equipment (If any BD other than PV  array and inv)]])="",1,0)</f>
        <v>1</v>
      </c>
      <c r="S9" s="32">
        <f>IF(PA[[#This Row],[String Type(If String BD)]]="",1,0)</f>
        <v>1</v>
      </c>
      <c r="T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" s="35" t="str">
        <f>IFERROR(_xlfn.XLOOKUP(PA[[#This Row],[Affected Equipment ]],'Basic Data'!N:N,'Basic Data'!Q:Q),"")</f>
        <v/>
      </c>
      <c r="V9" s="39" t="str">
        <f>IFERROR(_xlfn.XLOOKUP(PA[[#This Row],[Affected Equipment ]],'Basic Data'!N:N,'Basic Data'!R:R),"")</f>
        <v/>
      </c>
      <c r="W9" s="36" t="s">
        <v>232</v>
      </c>
      <c r="X9" s="40"/>
      <c r="Y9" s="40" t="s">
        <v>237</v>
      </c>
      <c r="Z9" s="46">
        <v>0.61875000000000002</v>
      </c>
      <c r="AA9" s="46">
        <v>0.61875000000000002</v>
      </c>
      <c r="AB9" s="46">
        <v>0.61875000000000002</v>
      </c>
      <c r="AC9" s="46">
        <v>0.65138888888888891</v>
      </c>
      <c r="AD9" s="44">
        <f>IF(PA[[#This Row],[Acknowledgement Time ]]="NA","",(PA[[#This Row],[Acknowledgement Time ]]-PA[[#This Row],[Fault Time]])*24)</f>
        <v>0</v>
      </c>
      <c r="AE9" s="44">
        <f>IF(PA[[#This Row],[Work Start time on Fault]]="NA","",(PA[[#This Row],[Work Start time on Fault]]-PA[[#This Row],[Fault Time]])*24)</f>
        <v>0</v>
      </c>
      <c r="AF9" s="45">
        <f>IF(PA[[#This Row],[Status]]="Open","",(PA[[#This Row],[Work Completion time on fault]]-PA[[#This Row],[Fault Time]])*24)</f>
        <v>0.78333333333333321</v>
      </c>
      <c r="AG9" s="44">
        <f>IFERROR((PA[[#This Row],[Work Completion time on fault]]-PA[[#This Row],[Fault Time]])*24,"")</f>
        <v>0.78333333333333321</v>
      </c>
      <c r="AH9" s="36" t="s">
        <v>234</v>
      </c>
      <c r="AI9" s="33" t="s">
        <v>235</v>
      </c>
      <c r="AJ9" s="35" t="str">
        <f>IFERROR(PA[[#This Row],[Breakdown Time]]*PA[[#This Row],[Plant Equivalent Weightage]],"")</f>
        <v/>
      </c>
      <c r="AK9" s="36">
        <v>0.39825504500000003</v>
      </c>
      <c r="AL9" s="51" t="str">
        <f>IFERROR((_xlfn.XLOOKUP($G9,'Modelling New'!D:D,'Modelling New'!$O:$O)*PA[[#This Row],[Lost PoA(kWh/m2)]]*PA[[#This Row],[DC Capacity Affected (kW)]]),"")</f>
        <v/>
      </c>
      <c r="AM9" s="33"/>
      <c r="AN9" s="33"/>
      <c r="AO9" s="33"/>
      <c r="AP9" s="33"/>
    </row>
    <row r="10" spans="1:42">
      <c r="A10" s="30">
        <v>9</v>
      </c>
      <c r="B10" s="31"/>
      <c r="C10" s="32">
        <f>YEAR(PA[[#This Row],[Date]])+IF(MONTH(PA[[#This Row],[Date]])&gt;=4,1,0)</f>
        <v>1900</v>
      </c>
      <c r="D10" s="32">
        <f>YEAR(PA[[#This Row],[Date]])</f>
        <v>1900</v>
      </c>
      <c r="E10" s="33" t="s">
        <v>157</v>
      </c>
      <c r="F10" s="33" t="s">
        <v>157</v>
      </c>
      <c r="G10" s="194">
        <f>PA[[#This Row],[Date]]-DAY(PA[[#This Row],[Date]])+1</f>
        <v>1</v>
      </c>
      <c r="H10" s="32">
        <f>DAY(EOMONTH(PA[[#This Row],[Month Year]],0))</f>
        <v>31</v>
      </c>
      <c r="I10" s="121"/>
      <c r="J10" s="121"/>
      <c r="K10" s="35">
        <f>IFERROR((PA[[#This Row],[Sunset Time (POA&lt;20 W/m2)]]-PA[[#This Row],[Sunrise Time (POA&gt;20 W/m2)]])*24,"")</f>
        <v>0</v>
      </c>
      <c r="L10" s="33"/>
      <c r="M10" s="33"/>
      <c r="N10" s="33"/>
      <c r="O10" s="36"/>
      <c r="P10" s="36"/>
      <c r="Q10" s="33"/>
      <c r="R10" s="32">
        <f>IF((PA[[#This Row],[String Type(If String BD)]]&amp;PA[[#This Row],[Equipment (If any BD other than PV  array and inv)]])="",1,0)</f>
        <v>1</v>
      </c>
      <c r="S10" s="32">
        <f>IF(PA[[#This Row],[String Type(If String BD)]]="",1,0)</f>
        <v>1</v>
      </c>
      <c r="T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" s="35" t="str">
        <f>IFERROR(_xlfn.XLOOKUP(PA[[#This Row],[Affected Equipment ]],'Basic Data'!N:N,'Basic Data'!Q:Q),"")</f>
        <v/>
      </c>
      <c r="V10" s="39" t="str">
        <f>IFERROR(_xlfn.XLOOKUP(PA[[#This Row],[Affected Equipment ]],'Basic Data'!N:N,'Basic Data'!R:R),"")</f>
        <v/>
      </c>
      <c r="W10" s="36" t="s">
        <v>232</v>
      </c>
      <c r="X10" s="40"/>
      <c r="Y10" s="40" t="s">
        <v>237</v>
      </c>
      <c r="Z10" s="46">
        <v>0.61875000000000002</v>
      </c>
      <c r="AA10" s="46">
        <v>0.61875000000000002</v>
      </c>
      <c r="AB10" s="46">
        <v>0.61875000000000002</v>
      </c>
      <c r="AC10" s="46">
        <v>0.65138888888888891</v>
      </c>
      <c r="AD10" s="44">
        <f>IF(PA[[#This Row],[Acknowledgement Time ]]="NA","",(PA[[#This Row],[Acknowledgement Time ]]-PA[[#This Row],[Fault Time]])*24)</f>
        <v>0</v>
      </c>
      <c r="AE10" s="44">
        <f>IF(PA[[#This Row],[Work Start time on Fault]]="NA","",(PA[[#This Row],[Work Start time on Fault]]-PA[[#This Row],[Fault Time]])*24)</f>
        <v>0</v>
      </c>
      <c r="AF10" s="45">
        <f>IF(PA[[#This Row],[Status]]="Open","",(PA[[#This Row],[Work Completion time on fault]]-PA[[#This Row],[Fault Time]])*24)</f>
        <v>0.78333333333333321</v>
      </c>
      <c r="AG10" s="44">
        <f>IFERROR((PA[[#This Row],[Work Completion time on fault]]-PA[[#This Row],[Fault Time]])*24,"")</f>
        <v>0.78333333333333321</v>
      </c>
      <c r="AH10" s="36" t="s">
        <v>234</v>
      </c>
      <c r="AI10" s="33" t="s">
        <v>235</v>
      </c>
      <c r="AJ10" s="35" t="str">
        <f>IFERROR(PA[[#This Row],[Breakdown Time]]*PA[[#This Row],[Plant Equivalent Weightage]],"")</f>
        <v/>
      </c>
      <c r="AK10" s="36">
        <v>0.39825504500000003</v>
      </c>
      <c r="AL10" s="51" t="str">
        <f>IFERROR((_xlfn.XLOOKUP($G10,'Modelling New'!D:D,'Modelling New'!$O:$O)*PA[[#This Row],[Lost PoA(kWh/m2)]]*PA[[#This Row],[DC Capacity Affected (kW)]]),"")</f>
        <v/>
      </c>
      <c r="AM10" s="33"/>
      <c r="AN10" s="33"/>
      <c r="AO10" s="33"/>
      <c r="AP10" s="33"/>
    </row>
    <row r="11" spans="1:42">
      <c r="A11" s="30">
        <v>10</v>
      </c>
      <c r="B11" s="31"/>
      <c r="C11" s="32">
        <f>YEAR(PA[[#This Row],[Date]])+IF(MONTH(PA[[#This Row],[Date]])&gt;=4,1,0)</f>
        <v>1900</v>
      </c>
      <c r="D11" s="32">
        <f>YEAR(PA[[#This Row],[Date]])</f>
        <v>1900</v>
      </c>
      <c r="E11" s="33" t="s">
        <v>157</v>
      </c>
      <c r="F11" s="33" t="s">
        <v>157</v>
      </c>
      <c r="G11" s="194">
        <f>PA[[#This Row],[Date]]-DAY(PA[[#This Row],[Date]])+1</f>
        <v>1</v>
      </c>
      <c r="H11" s="32">
        <f>DAY(EOMONTH(PA[[#This Row],[Month Year]],0))</f>
        <v>31</v>
      </c>
      <c r="I11" s="121"/>
      <c r="J11" s="121"/>
      <c r="K11" s="35">
        <f>IFERROR((PA[[#This Row],[Sunset Time (POA&lt;20 W/m2)]]-PA[[#This Row],[Sunrise Time (POA&gt;20 W/m2)]])*24,"")</f>
        <v>0</v>
      </c>
      <c r="L11" s="33"/>
      <c r="M11" s="33"/>
      <c r="N11" s="33"/>
      <c r="O11" s="36"/>
      <c r="P11" s="36"/>
      <c r="Q11" s="33"/>
      <c r="R11" s="32">
        <f>IF((PA[[#This Row],[String Type(If String BD)]]&amp;PA[[#This Row],[Equipment (If any BD other than PV  array and inv)]])="",1,0)</f>
        <v>1</v>
      </c>
      <c r="S11" s="32">
        <f>IF(PA[[#This Row],[String Type(If String BD)]]="",1,0)</f>
        <v>1</v>
      </c>
      <c r="T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" s="35" t="str">
        <f>IFERROR(_xlfn.XLOOKUP(PA[[#This Row],[Affected Equipment ]],'Basic Data'!N:N,'Basic Data'!Q:Q),"")</f>
        <v/>
      </c>
      <c r="V11" s="39" t="str">
        <f>IFERROR(_xlfn.XLOOKUP(PA[[#This Row],[Affected Equipment ]],'Basic Data'!N:N,'Basic Data'!R:R),"")</f>
        <v/>
      </c>
      <c r="W11" s="36" t="s">
        <v>232</v>
      </c>
      <c r="X11" s="40"/>
      <c r="Y11" s="40" t="s">
        <v>237</v>
      </c>
      <c r="Z11" s="46">
        <v>0.61875000000000002</v>
      </c>
      <c r="AA11" s="46">
        <v>0.61875000000000002</v>
      </c>
      <c r="AB11" s="46">
        <v>0.61875000000000002</v>
      </c>
      <c r="AC11" s="46">
        <v>0.65138888888888891</v>
      </c>
      <c r="AD11" s="44">
        <f>IF(PA[[#This Row],[Acknowledgement Time ]]="NA","",(PA[[#This Row],[Acknowledgement Time ]]-PA[[#This Row],[Fault Time]])*24)</f>
        <v>0</v>
      </c>
      <c r="AE11" s="44">
        <f>IF(PA[[#This Row],[Work Start time on Fault]]="NA","",(PA[[#This Row],[Work Start time on Fault]]-PA[[#This Row],[Fault Time]])*24)</f>
        <v>0</v>
      </c>
      <c r="AF11" s="45">
        <f>IF(PA[[#This Row],[Status]]="Open","",(PA[[#This Row],[Work Completion time on fault]]-PA[[#This Row],[Fault Time]])*24)</f>
        <v>0.78333333333333321</v>
      </c>
      <c r="AG11" s="44">
        <f>IFERROR((PA[[#This Row],[Work Completion time on fault]]-PA[[#This Row],[Fault Time]])*24,"")</f>
        <v>0.78333333333333321</v>
      </c>
      <c r="AH11" s="36" t="s">
        <v>234</v>
      </c>
      <c r="AI11" s="33" t="s">
        <v>235</v>
      </c>
      <c r="AJ11" s="35" t="str">
        <f>IFERROR(PA[[#This Row],[Breakdown Time]]*PA[[#This Row],[Plant Equivalent Weightage]],"")</f>
        <v/>
      </c>
      <c r="AK11" s="36">
        <v>0.39825504500000003</v>
      </c>
      <c r="AL11" s="51" t="str">
        <f>IFERROR((_xlfn.XLOOKUP($G11,'Modelling New'!D:D,'Modelling New'!$O:$O)*PA[[#This Row],[Lost PoA(kWh/m2)]]*PA[[#This Row],[DC Capacity Affected (kW)]]),"")</f>
        <v/>
      </c>
      <c r="AM11" s="33"/>
      <c r="AN11" s="33"/>
      <c r="AO11" s="33"/>
      <c r="AP11" s="33"/>
    </row>
    <row r="12" spans="1:42">
      <c r="A12" s="30">
        <v>11</v>
      </c>
      <c r="B12" s="31"/>
      <c r="C12" s="32">
        <f>YEAR(PA[[#This Row],[Date]])+IF(MONTH(PA[[#This Row],[Date]])&gt;=4,1,0)</f>
        <v>1900</v>
      </c>
      <c r="D12" s="32">
        <f>YEAR(PA[[#This Row],[Date]])</f>
        <v>1900</v>
      </c>
      <c r="E12" s="33" t="s">
        <v>157</v>
      </c>
      <c r="F12" s="33" t="s">
        <v>157</v>
      </c>
      <c r="G12" s="194">
        <f>PA[[#This Row],[Date]]-DAY(PA[[#This Row],[Date]])+1</f>
        <v>1</v>
      </c>
      <c r="H12" s="32">
        <f>DAY(EOMONTH(PA[[#This Row],[Month Year]],0))</f>
        <v>31</v>
      </c>
      <c r="I12" s="121"/>
      <c r="J12" s="121"/>
      <c r="K12" s="35">
        <f>IFERROR((PA[[#This Row],[Sunset Time (POA&lt;20 W/m2)]]-PA[[#This Row],[Sunrise Time (POA&gt;20 W/m2)]])*24,"")</f>
        <v>0</v>
      </c>
      <c r="L12" s="33"/>
      <c r="M12" s="33"/>
      <c r="N12" s="33"/>
      <c r="O12" s="36"/>
      <c r="P12" s="36"/>
      <c r="Q12" s="33"/>
      <c r="R12" s="32">
        <f>IF((PA[[#This Row],[String Type(If String BD)]]&amp;PA[[#This Row],[Equipment (If any BD other than PV  array and inv)]])="",1,0)</f>
        <v>1</v>
      </c>
      <c r="S12" s="32">
        <f>IF(PA[[#This Row],[String Type(If String BD)]]="",1,0)</f>
        <v>1</v>
      </c>
      <c r="T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" s="35" t="str">
        <f>IFERROR(_xlfn.XLOOKUP(PA[[#This Row],[Affected Equipment ]],'Basic Data'!N:N,'Basic Data'!Q:Q),"")</f>
        <v/>
      </c>
      <c r="V12" s="39" t="str">
        <f>IFERROR(_xlfn.XLOOKUP(PA[[#This Row],[Affected Equipment ]],'Basic Data'!N:N,'Basic Data'!R:R),"")</f>
        <v/>
      </c>
      <c r="W12" s="36" t="s">
        <v>232</v>
      </c>
      <c r="X12" s="40"/>
      <c r="Y12" s="40" t="s">
        <v>237</v>
      </c>
      <c r="Z12" s="46">
        <v>0.61875000000000002</v>
      </c>
      <c r="AA12" s="46">
        <v>0.61875000000000002</v>
      </c>
      <c r="AB12" s="46">
        <v>0.61875000000000002</v>
      </c>
      <c r="AC12" s="46">
        <v>0.65138888888888891</v>
      </c>
      <c r="AD12" s="44">
        <f>IF(PA[[#This Row],[Acknowledgement Time ]]="NA","",(PA[[#This Row],[Acknowledgement Time ]]-PA[[#This Row],[Fault Time]])*24)</f>
        <v>0</v>
      </c>
      <c r="AE12" s="44">
        <f>IF(PA[[#This Row],[Work Start time on Fault]]="NA","",(PA[[#This Row],[Work Start time on Fault]]-PA[[#This Row],[Fault Time]])*24)</f>
        <v>0</v>
      </c>
      <c r="AF12" s="45">
        <f>IF(PA[[#This Row],[Status]]="Open","",(PA[[#This Row],[Work Completion time on fault]]-PA[[#This Row],[Fault Time]])*24)</f>
        <v>0.78333333333333321</v>
      </c>
      <c r="AG12" s="44">
        <f>IFERROR((PA[[#This Row],[Work Completion time on fault]]-PA[[#This Row],[Fault Time]])*24,"")</f>
        <v>0.78333333333333321</v>
      </c>
      <c r="AH12" s="36" t="s">
        <v>234</v>
      </c>
      <c r="AI12" s="33" t="s">
        <v>235</v>
      </c>
      <c r="AJ12" s="35" t="str">
        <f>IFERROR(PA[[#This Row],[Breakdown Time]]*PA[[#This Row],[Plant Equivalent Weightage]],"")</f>
        <v/>
      </c>
      <c r="AK12" s="36">
        <v>0.39825504500000003</v>
      </c>
      <c r="AL12" s="51" t="str">
        <f>IFERROR((_xlfn.XLOOKUP($G12,'Modelling New'!D:D,'Modelling New'!$O:$O)*PA[[#This Row],[Lost PoA(kWh/m2)]]*PA[[#This Row],[DC Capacity Affected (kW)]]),"")</f>
        <v/>
      </c>
      <c r="AM12" s="33"/>
      <c r="AN12" s="33"/>
      <c r="AO12" s="33"/>
      <c r="AP12" s="33"/>
    </row>
    <row r="13" spans="1:42">
      <c r="A13" s="30">
        <v>12</v>
      </c>
      <c r="B13" s="31"/>
      <c r="C13" s="32">
        <f>YEAR(PA[[#This Row],[Date]])+IF(MONTH(PA[[#This Row],[Date]])&gt;=4,1,0)</f>
        <v>1900</v>
      </c>
      <c r="D13" s="32">
        <f>YEAR(PA[[#This Row],[Date]])</f>
        <v>1900</v>
      </c>
      <c r="E13" s="33" t="s">
        <v>157</v>
      </c>
      <c r="F13" s="33" t="s">
        <v>157</v>
      </c>
      <c r="G13" s="194">
        <f>PA[[#This Row],[Date]]-DAY(PA[[#This Row],[Date]])+1</f>
        <v>1</v>
      </c>
      <c r="H13" s="32">
        <f>DAY(EOMONTH(PA[[#This Row],[Month Year]],0))</f>
        <v>31</v>
      </c>
      <c r="I13" s="121"/>
      <c r="J13" s="121"/>
      <c r="K13" s="35">
        <f>IFERROR((PA[[#This Row],[Sunset Time (POA&lt;20 W/m2)]]-PA[[#This Row],[Sunrise Time (POA&gt;20 W/m2)]])*24,"")</f>
        <v>0</v>
      </c>
      <c r="L13" s="33"/>
      <c r="M13" s="33"/>
      <c r="N13" s="33"/>
      <c r="O13" s="36"/>
      <c r="P13" s="36"/>
      <c r="Q13" s="33"/>
      <c r="R13" s="32">
        <f>IF((PA[[#This Row],[String Type(If String BD)]]&amp;PA[[#This Row],[Equipment (If any BD other than PV  array and inv)]])="",1,0)</f>
        <v>1</v>
      </c>
      <c r="S13" s="32">
        <f>IF(PA[[#This Row],[String Type(If String BD)]]="",1,0)</f>
        <v>1</v>
      </c>
      <c r="T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" s="35" t="str">
        <f>IFERROR(_xlfn.XLOOKUP(PA[[#This Row],[Affected Equipment ]],'Basic Data'!N:N,'Basic Data'!Q:Q),"")</f>
        <v/>
      </c>
      <c r="V13" s="39" t="str">
        <f>IFERROR(_xlfn.XLOOKUP(PA[[#This Row],[Affected Equipment ]],'Basic Data'!N:N,'Basic Data'!R:R),"")</f>
        <v/>
      </c>
      <c r="W13" s="36" t="s">
        <v>240</v>
      </c>
      <c r="X13" s="40"/>
      <c r="Y13" s="40" t="s">
        <v>241</v>
      </c>
      <c r="Z13" s="46">
        <v>0.65277777777777779</v>
      </c>
      <c r="AA13" s="46">
        <v>0.65277777777777779</v>
      </c>
      <c r="AB13" s="46">
        <v>0.65277777777777779</v>
      </c>
      <c r="AC13" s="46">
        <v>0.73541666666666672</v>
      </c>
      <c r="AD13" s="44">
        <f>IF(PA[[#This Row],[Acknowledgement Time ]]="NA","",(PA[[#This Row],[Acknowledgement Time ]]-PA[[#This Row],[Fault Time]])*24)</f>
        <v>0</v>
      </c>
      <c r="AE13" s="44">
        <f>IF(PA[[#This Row],[Work Start time on Fault]]="NA","",(PA[[#This Row],[Work Start time on Fault]]-PA[[#This Row],[Fault Time]])*24)</f>
        <v>0</v>
      </c>
      <c r="AF13" s="45">
        <f>IF(PA[[#This Row],[Status]]="Open","",(PA[[#This Row],[Work Completion time on fault]]-PA[[#This Row],[Fault Time]])*24)</f>
        <v>1.9833333333333343</v>
      </c>
      <c r="AG13" s="44">
        <f>IFERROR((PA[[#This Row],[Work Completion time on fault]]-PA[[#This Row],[Fault Time]])*24,"")</f>
        <v>1.9833333333333343</v>
      </c>
      <c r="AH13" s="36" t="s">
        <v>242</v>
      </c>
      <c r="AI13" s="33" t="s">
        <v>235</v>
      </c>
      <c r="AJ13" s="35" t="str">
        <f>IFERROR(PA[[#This Row],[Breakdown Time]]*PA[[#This Row],[Plant Equivalent Weightage]],"")</f>
        <v/>
      </c>
      <c r="AK13" s="36">
        <v>0.5426890883333334</v>
      </c>
      <c r="AL13" s="51" t="str">
        <f>IFERROR((_xlfn.XLOOKUP($G13,'Modelling New'!D:D,'Modelling New'!$O:$O)*PA[[#This Row],[Lost PoA(kWh/m2)]]*PA[[#This Row],[DC Capacity Affected (kW)]]),"")</f>
        <v/>
      </c>
      <c r="AM13" s="33"/>
      <c r="AN13" s="33"/>
      <c r="AO13" s="33"/>
      <c r="AP13" s="33"/>
    </row>
    <row r="14" spans="1:42">
      <c r="A14" s="30">
        <v>13</v>
      </c>
      <c r="B14" s="31"/>
      <c r="C14" s="32">
        <f>YEAR(PA[[#This Row],[Date]])+IF(MONTH(PA[[#This Row],[Date]])&gt;=4,1,0)</f>
        <v>1900</v>
      </c>
      <c r="D14" s="32">
        <f>YEAR(PA[[#This Row],[Date]])</f>
        <v>1900</v>
      </c>
      <c r="E14" s="33" t="s">
        <v>157</v>
      </c>
      <c r="F14" s="33" t="s">
        <v>157</v>
      </c>
      <c r="G14" s="194">
        <f>PA[[#This Row],[Date]]-DAY(PA[[#This Row],[Date]])+1</f>
        <v>1</v>
      </c>
      <c r="H14" s="32">
        <f>DAY(EOMONTH(PA[[#This Row],[Month Year]],0))</f>
        <v>31</v>
      </c>
      <c r="I14" s="121"/>
      <c r="J14" s="121"/>
      <c r="K14" s="35">
        <f>IFERROR((PA[[#This Row],[Sunset Time (POA&lt;20 W/m2)]]-PA[[#This Row],[Sunrise Time (POA&gt;20 W/m2)]])*24,"")</f>
        <v>0</v>
      </c>
      <c r="L14" s="33"/>
      <c r="M14" s="33"/>
      <c r="N14" s="33"/>
      <c r="O14" s="36"/>
      <c r="P14" s="36"/>
      <c r="Q14" s="33"/>
      <c r="R14" s="32">
        <f>IF((PA[[#This Row],[String Type(If String BD)]]&amp;PA[[#This Row],[Equipment (If any BD other than PV  array and inv)]])="",1,0)</f>
        <v>1</v>
      </c>
      <c r="S14" s="32">
        <f>IF(PA[[#This Row],[String Type(If String BD)]]="",1,0)</f>
        <v>1</v>
      </c>
      <c r="T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" s="35" t="str">
        <f>IFERROR(_xlfn.XLOOKUP(PA[[#This Row],[Affected Equipment ]],'Basic Data'!N:N,'Basic Data'!Q:Q),"")</f>
        <v/>
      </c>
      <c r="V14" s="39" t="str">
        <f>IFERROR(_xlfn.XLOOKUP(PA[[#This Row],[Affected Equipment ]],'Basic Data'!N:N,'Basic Data'!R:R),"")</f>
        <v/>
      </c>
      <c r="W14" s="36" t="s">
        <v>243</v>
      </c>
      <c r="X14" s="40"/>
      <c r="Y14" s="40" t="s">
        <v>237</v>
      </c>
      <c r="Z14" s="46">
        <v>0.60624999999999996</v>
      </c>
      <c r="AA14" s="46">
        <v>0.60624999999999996</v>
      </c>
      <c r="AB14" s="46">
        <v>0.60624999999999996</v>
      </c>
      <c r="AC14" s="46">
        <v>0.61597222222222225</v>
      </c>
      <c r="AD14" s="44">
        <f>IF(PA[[#This Row],[Acknowledgement Time ]]="NA","",(PA[[#This Row],[Acknowledgement Time ]]-PA[[#This Row],[Fault Time]])*24)</f>
        <v>0</v>
      </c>
      <c r="AE14" s="44">
        <f>IF(PA[[#This Row],[Work Start time on Fault]]="NA","",(PA[[#This Row],[Work Start time on Fault]]-PA[[#This Row],[Fault Time]])*24)</f>
        <v>0</v>
      </c>
      <c r="AF14" s="45">
        <f>IF(PA[[#This Row],[Status]]="Open","",(PA[[#This Row],[Work Completion time on fault]]-PA[[#This Row],[Fault Time]])*24)</f>
        <v>0.23333333333333517</v>
      </c>
      <c r="AG14" s="44">
        <f>IFERROR((PA[[#This Row],[Work Completion time on fault]]-PA[[#This Row],[Fault Time]])*24,"")</f>
        <v>0.23333333333333517</v>
      </c>
      <c r="AH14" s="36" t="s">
        <v>234</v>
      </c>
      <c r="AI14" s="33" t="s">
        <v>235</v>
      </c>
      <c r="AJ14" s="35" t="str">
        <f>IFERROR(PA[[#This Row],[Breakdown Time]]*PA[[#This Row],[Plant Equivalent Weightage]],"")</f>
        <v/>
      </c>
      <c r="AK14" s="36">
        <v>0.202382123</v>
      </c>
      <c r="AL14" s="51" t="str">
        <f>IFERROR((_xlfn.XLOOKUP($G14,'Modelling New'!D:D,'Modelling New'!$O:$O)*PA[[#This Row],[Lost PoA(kWh/m2)]]*PA[[#This Row],[DC Capacity Affected (kW)]]),"")</f>
        <v/>
      </c>
      <c r="AM14" s="33"/>
      <c r="AN14" s="33"/>
      <c r="AO14" s="33"/>
      <c r="AP14" s="33"/>
    </row>
    <row r="15" spans="1:42">
      <c r="A15" s="30">
        <v>14</v>
      </c>
      <c r="B15" s="31"/>
      <c r="C15" s="32">
        <f>YEAR(PA[[#This Row],[Date]])+IF(MONTH(PA[[#This Row],[Date]])&gt;=4,1,0)</f>
        <v>1900</v>
      </c>
      <c r="D15" s="32">
        <f>YEAR(PA[[#This Row],[Date]])</f>
        <v>1900</v>
      </c>
      <c r="E15" s="33" t="s">
        <v>157</v>
      </c>
      <c r="F15" s="33" t="s">
        <v>157</v>
      </c>
      <c r="G15" s="194">
        <f>PA[[#This Row],[Date]]-DAY(PA[[#This Row],[Date]])+1</f>
        <v>1</v>
      </c>
      <c r="H15" s="32">
        <f>DAY(EOMONTH(PA[[#This Row],[Month Year]],0))</f>
        <v>31</v>
      </c>
      <c r="I15" s="121"/>
      <c r="J15" s="121"/>
      <c r="K15" s="35">
        <f>IFERROR((PA[[#This Row],[Sunset Time (POA&lt;20 W/m2)]]-PA[[#This Row],[Sunrise Time (POA&gt;20 W/m2)]])*24,"")</f>
        <v>0</v>
      </c>
      <c r="L15" s="33"/>
      <c r="M15" s="33"/>
      <c r="N15" s="33"/>
      <c r="O15" s="36"/>
      <c r="P15" s="36"/>
      <c r="Q15" s="33"/>
      <c r="R15" s="32">
        <f>IF((PA[[#This Row],[String Type(If String BD)]]&amp;PA[[#This Row],[Equipment (If any BD other than PV  array and inv)]])="",1,0)</f>
        <v>1</v>
      </c>
      <c r="S15" s="32">
        <f>IF(PA[[#This Row],[String Type(If String BD)]]="",1,0)</f>
        <v>1</v>
      </c>
      <c r="T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" s="35" t="str">
        <f>IFERROR(_xlfn.XLOOKUP(PA[[#This Row],[Affected Equipment ]],'Basic Data'!N:N,'Basic Data'!Q:Q),"")</f>
        <v/>
      </c>
      <c r="V15" s="39" t="str">
        <f>IFERROR(_xlfn.XLOOKUP(PA[[#This Row],[Affected Equipment ]],'Basic Data'!N:N,'Basic Data'!R:R),"")</f>
        <v/>
      </c>
      <c r="W15" s="36" t="s">
        <v>243</v>
      </c>
      <c r="X15" s="40"/>
      <c r="Y15" s="40" t="s">
        <v>237</v>
      </c>
      <c r="Z15" s="46">
        <v>0.60624999999999996</v>
      </c>
      <c r="AA15" s="46">
        <v>0.60624999999999996</v>
      </c>
      <c r="AB15" s="46">
        <v>0.60624999999999996</v>
      </c>
      <c r="AC15" s="46">
        <v>0.61597222222222225</v>
      </c>
      <c r="AD15" s="44">
        <f>IF(PA[[#This Row],[Acknowledgement Time ]]="NA","",(PA[[#This Row],[Acknowledgement Time ]]-PA[[#This Row],[Fault Time]])*24)</f>
        <v>0</v>
      </c>
      <c r="AE15" s="44">
        <f>IF(PA[[#This Row],[Work Start time on Fault]]="NA","",(PA[[#This Row],[Work Start time on Fault]]-PA[[#This Row],[Fault Time]])*24)</f>
        <v>0</v>
      </c>
      <c r="AF15" s="45">
        <f>IF(PA[[#This Row],[Status]]="Open","",(PA[[#This Row],[Work Completion time on fault]]-PA[[#This Row],[Fault Time]])*24)</f>
        <v>0.23333333333333517</v>
      </c>
      <c r="AG15" s="44">
        <f>IFERROR((PA[[#This Row],[Work Completion time on fault]]-PA[[#This Row],[Fault Time]])*24,"")</f>
        <v>0.23333333333333517</v>
      </c>
      <c r="AH15" s="36" t="s">
        <v>234</v>
      </c>
      <c r="AI15" s="33" t="s">
        <v>235</v>
      </c>
      <c r="AJ15" s="35" t="str">
        <f>IFERROR(PA[[#This Row],[Breakdown Time]]*PA[[#This Row],[Plant Equivalent Weightage]],"")</f>
        <v/>
      </c>
      <c r="AK15" s="36">
        <v>0.202382123</v>
      </c>
      <c r="AL15" s="51" t="str">
        <f>IFERROR((_xlfn.XLOOKUP($G15,'Modelling New'!D:D,'Modelling New'!$O:$O)*PA[[#This Row],[Lost PoA(kWh/m2)]]*PA[[#This Row],[DC Capacity Affected (kW)]]),"")</f>
        <v/>
      </c>
      <c r="AM15" s="33"/>
      <c r="AN15" s="33"/>
      <c r="AO15" s="33"/>
      <c r="AP15" s="33"/>
    </row>
    <row r="16" spans="1:42">
      <c r="A16" s="30">
        <v>15</v>
      </c>
      <c r="B16" s="31"/>
      <c r="C16" s="32">
        <f>YEAR(PA[[#This Row],[Date]])+IF(MONTH(PA[[#This Row],[Date]])&gt;=4,1,0)</f>
        <v>1900</v>
      </c>
      <c r="D16" s="32">
        <f>YEAR(PA[[#This Row],[Date]])</f>
        <v>1900</v>
      </c>
      <c r="E16" s="33" t="s">
        <v>157</v>
      </c>
      <c r="F16" s="33" t="s">
        <v>157</v>
      </c>
      <c r="G16" s="194">
        <f>PA[[#This Row],[Date]]-DAY(PA[[#This Row],[Date]])+1</f>
        <v>1</v>
      </c>
      <c r="H16" s="32">
        <f>DAY(EOMONTH(PA[[#This Row],[Month Year]],0))</f>
        <v>31</v>
      </c>
      <c r="I16" s="121"/>
      <c r="J16" s="121"/>
      <c r="K16" s="35">
        <f>IFERROR((PA[[#This Row],[Sunset Time (POA&lt;20 W/m2)]]-PA[[#This Row],[Sunrise Time (POA&gt;20 W/m2)]])*24,"")</f>
        <v>0</v>
      </c>
      <c r="L16" s="33"/>
      <c r="M16" s="33"/>
      <c r="N16" s="33"/>
      <c r="O16" s="36"/>
      <c r="P16" s="36"/>
      <c r="Q16" s="33"/>
      <c r="R16" s="32">
        <f>IF((PA[[#This Row],[String Type(If String BD)]]&amp;PA[[#This Row],[Equipment (If any BD other than PV  array and inv)]])="",1,0)</f>
        <v>1</v>
      </c>
      <c r="S16" s="32">
        <f>IF(PA[[#This Row],[String Type(If String BD)]]="",1,0)</f>
        <v>1</v>
      </c>
      <c r="T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" s="35" t="str">
        <f>IFERROR(_xlfn.XLOOKUP(PA[[#This Row],[Affected Equipment ]],'Basic Data'!N:N,'Basic Data'!Q:Q),"")</f>
        <v/>
      </c>
      <c r="V16" s="39" t="str">
        <f>IFERROR(_xlfn.XLOOKUP(PA[[#This Row],[Affected Equipment ]],'Basic Data'!N:N,'Basic Data'!R:R),"")</f>
        <v/>
      </c>
      <c r="W16" s="36" t="s">
        <v>243</v>
      </c>
      <c r="X16" s="40"/>
      <c r="Y16" s="40" t="s">
        <v>237</v>
      </c>
      <c r="Z16" s="46">
        <v>0.60624999999999996</v>
      </c>
      <c r="AA16" s="46">
        <v>0.60624999999999996</v>
      </c>
      <c r="AB16" s="46">
        <v>0.60624999999999996</v>
      </c>
      <c r="AC16" s="46">
        <v>0.61597222222222225</v>
      </c>
      <c r="AD16" s="44">
        <f>IF(PA[[#This Row],[Acknowledgement Time ]]="NA","",(PA[[#This Row],[Acknowledgement Time ]]-PA[[#This Row],[Fault Time]])*24)</f>
        <v>0</v>
      </c>
      <c r="AE16" s="44">
        <f>IF(PA[[#This Row],[Work Start time on Fault]]="NA","",(PA[[#This Row],[Work Start time on Fault]]-PA[[#This Row],[Fault Time]])*24)</f>
        <v>0</v>
      </c>
      <c r="AF16" s="45">
        <f>IF(PA[[#This Row],[Status]]="Open","",(PA[[#This Row],[Work Completion time on fault]]-PA[[#This Row],[Fault Time]])*24)</f>
        <v>0.23333333333333517</v>
      </c>
      <c r="AG16" s="44">
        <f>IFERROR((PA[[#This Row],[Work Completion time on fault]]-PA[[#This Row],[Fault Time]])*24,"")</f>
        <v>0.23333333333333517</v>
      </c>
      <c r="AH16" s="36" t="s">
        <v>234</v>
      </c>
      <c r="AI16" s="33" t="s">
        <v>235</v>
      </c>
      <c r="AJ16" s="35" t="str">
        <f>IFERROR(PA[[#This Row],[Breakdown Time]]*PA[[#This Row],[Plant Equivalent Weightage]],"")</f>
        <v/>
      </c>
      <c r="AK16" s="36">
        <v>0.202382123</v>
      </c>
      <c r="AL16" s="51" t="str">
        <f>IFERROR((_xlfn.XLOOKUP($G16,'Modelling New'!D:D,'Modelling New'!$O:$O)*PA[[#This Row],[Lost PoA(kWh/m2)]]*PA[[#This Row],[DC Capacity Affected (kW)]]),"")</f>
        <v/>
      </c>
      <c r="AM16" s="33"/>
      <c r="AN16" s="33"/>
      <c r="AO16" s="33"/>
      <c r="AP16" s="33"/>
    </row>
    <row r="17" spans="1:42">
      <c r="A17" s="30">
        <v>16</v>
      </c>
      <c r="B17" s="31"/>
      <c r="C17" s="32">
        <f>YEAR(PA[[#This Row],[Date]])+IF(MONTH(PA[[#This Row],[Date]])&gt;=4,1,0)</f>
        <v>1900</v>
      </c>
      <c r="D17" s="32">
        <f>YEAR(PA[[#This Row],[Date]])</f>
        <v>1900</v>
      </c>
      <c r="E17" s="33" t="s">
        <v>157</v>
      </c>
      <c r="F17" s="33" t="s">
        <v>157</v>
      </c>
      <c r="G17" s="194">
        <f>PA[[#This Row],[Date]]-DAY(PA[[#This Row],[Date]])+1</f>
        <v>1</v>
      </c>
      <c r="H17" s="32">
        <f>DAY(EOMONTH(PA[[#This Row],[Month Year]],0))</f>
        <v>31</v>
      </c>
      <c r="I17" s="121"/>
      <c r="J17" s="121"/>
      <c r="K17" s="35">
        <f>IFERROR((PA[[#This Row],[Sunset Time (POA&lt;20 W/m2)]]-PA[[#This Row],[Sunrise Time (POA&gt;20 W/m2)]])*24,"")</f>
        <v>0</v>
      </c>
      <c r="L17" s="33"/>
      <c r="M17" s="33"/>
      <c r="N17" s="33"/>
      <c r="O17" s="36"/>
      <c r="P17" s="36"/>
      <c r="Q17" s="33"/>
      <c r="R17" s="32">
        <f>IF((PA[[#This Row],[String Type(If String BD)]]&amp;PA[[#This Row],[Equipment (If any BD other than PV  array and inv)]])="",1,0)</f>
        <v>1</v>
      </c>
      <c r="S17" s="32">
        <f>IF(PA[[#This Row],[String Type(If String BD)]]="",1,0)</f>
        <v>1</v>
      </c>
      <c r="T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" s="35" t="str">
        <f>IFERROR(_xlfn.XLOOKUP(PA[[#This Row],[Affected Equipment ]],'Basic Data'!N:N,'Basic Data'!Q:Q),"")</f>
        <v/>
      </c>
      <c r="V17" s="39" t="str">
        <f>IFERROR(_xlfn.XLOOKUP(PA[[#This Row],[Affected Equipment ]],'Basic Data'!N:N,'Basic Data'!R:R),"")</f>
        <v/>
      </c>
      <c r="W17" s="36" t="s">
        <v>243</v>
      </c>
      <c r="X17" s="40"/>
      <c r="Y17" s="40" t="s">
        <v>237</v>
      </c>
      <c r="Z17" s="46">
        <v>0.60624999999999996</v>
      </c>
      <c r="AA17" s="46">
        <v>0.60624999999999996</v>
      </c>
      <c r="AB17" s="46">
        <v>0.60624999999999996</v>
      </c>
      <c r="AC17" s="46">
        <v>0.61597222222222225</v>
      </c>
      <c r="AD17" s="44">
        <f>IF(PA[[#This Row],[Acknowledgement Time ]]="NA","",(PA[[#This Row],[Acknowledgement Time ]]-PA[[#This Row],[Fault Time]])*24)</f>
        <v>0</v>
      </c>
      <c r="AE17" s="44">
        <f>IF(PA[[#This Row],[Work Start time on Fault]]="NA","",(PA[[#This Row],[Work Start time on Fault]]-PA[[#This Row],[Fault Time]])*24)</f>
        <v>0</v>
      </c>
      <c r="AF17" s="45">
        <f>IF(PA[[#This Row],[Status]]="Open","",(PA[[#This Row],[Work Completion time on fault]]-PA[[#This Row],[Fault Time]])*24)</f>
        <v>0.23333333333333517</v>
      </c>
      <c r="AG17" s="44">
        <f>IFERROR((PA[[#This Row],[Work Completion time on fault]]-PA[[#This Row],[Fault Time]])*24,"")</f>
        <v>0.23333333333333517</v>
      </c>
      <c r="AH17" s="36" t="s">
        <v>234</v>
      </c>
      <c r="AI17" s="33" t="s">
        <v>235</v>
      </c>
      <c r="AJ17" s="35" t="str">
        <f>IFERROR(PA[[#This Row],[Breakdown Time]]*PA[[#This Row],[Plant Equivalent Weightage]],"")</f>
        <v/>
      </c>
      <c r="AK17" s="36">
        <v>0.202382123</v>
      </c>
      <c r="AL17" s="51" t="str">
        <f>IFERROR((_xlfn.XLOOKUP($G17,'Modelling New'!D:D,'Modelling New'!$O:$O)*PA[[#This Row],[Lost PoA(kWh/m2)]]*PA[[#This Row],[DC Capacity Affected (kW)]]),"")</f>
        <v/>
      </c>
      <c r="AM17" s="33"/>
      <c r="AN17" s="33"/>
      <c r="AO17" s="33"/>
      <c r="AP17" s="33"/>
    </row>
    <row r="18" spans="1:42">
      <c r="A18" s="30">
        <v>17</v>
      </c>
      <c r="B18" s="31"/>
      <c r="C18" s="32">
        <f>YEAR(PA[[#This Row],[Date]])+IF(MONTH(PA[[#This Row],[Date]])&gt;=4,1,0)</f>
        <v>1900</v>
      </c>
      <c r="D18" s="32">
        <f>YEAR(PA[[#This Row],[Date]])</f>
        <v>1900</v>
      </c>
      <c r="E18" s="33" t="s">
        <v>157</v>
      </c>
      <c r="F18" s="33" t="s">
        <v>157</v>
      </c>
      <c r="G18" s="194">
        <f>PA[[#This Row],[Date]]-DAY(PA[[#This Row],[Date]])+1</f>
        <v>1</v>
      </c>
      <c r="H18" s="32">
        <f>DAY(EOMONTH(PA[[#This Row],[Month Year]],0))</f>
        <v>31</v>
      </c>
      <c r="I18" s="121"/>
      <c r="J18" s="121"/>
      <c r="K18" s="35">
        <f>IFERROR((PA[[#This Row],[Sunset Time (POA&lt;20 W/m2)]]-PA[[#This Row],[Sunrise Time (POA&gt;20 W/m2)]])*24,"")</f>
        <v>0</v>
      </c>
      <c r="L18" s="33"/>
      <c r="M18" s="33"/>
      <c r="N18" s="33"/>
      <c r="O18" s="36"/>
      <c r="P18" s="36"/>
      <c r="Q18" s="33"/>
      <c r="R18" s="32">
        <f>IF((PA[[#This Row],[String Type(If String BD)]]&amp;PA[[#This Row],[Equipment (If any BD other than PV  array and inv)]])="",1,0)</f>
        <v>1</v>
      </c>
      <c r="S18" s="32">
        <f>IF(PA[[#This Row],[String Type(If String BD)]]="",1,0)</f>
        <v>1</v>
      </c>
      <c r="T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" s="35" t="str">
        <f>IFERROR(_xlfn.XLOOKUP(PA[[#This Row],[Affected Equipment ]],'Basic Data'!N:N,'Basic Data'!Q:Q),"")</f>
        <v/>
      </c>
      <c r="V18" s="39" t="str">
        <f>IFERROR(_xlfn.XLOOKUP(PA[[#This Row],[Affected Equipment ]],'Basic Data'!N:N,'Basic Data'!R:R),"")</f>
        <v/>
      </c>
      <c r="W18" s="36" t="s">
        <v>243</v>
      </c>
      <c r="X18" s="40"/>
      <c r="Y18" s="40" t="s">
        <v>237</v>
      </c>
      <c r="Z18" s="46">
        <v>0.60624999999999996</v>
      </c>
      <c r="AA18" s="46">
        <v>0.60624999999999996</v>
      </c>
      <c r="AB18" s="46">
        <v>0.60624999999999996</v>
      </c>
      <c r="AC18" s="46">
        <v>0.61597222222222225</v>
      </c>
      <c r="AD18" s="44">
        <f>IF(PA[[#This Row],[Acknowledgement Time ]]="NA","",(PA[[#This Row],[Acknowledgement Time ]]-PA[[#This Row],[Fault Time]])*24)</f>
        <v>0</v>
      </c>
      <c r="AE18" s="44">
        <f>IF(PA[[#This Row],[Work Start time on Fault]]="NA","",(PA[[#This Row],[Work Start time on Fault]]-PA[[#This Row],[Fault Time]])*24)</f>
        <v>0</v>
      </c>
      <c r="AF18" s="45">
        <f>IF(PA[[#This Row],[Status]]="Open","",(PA[[#This Row],[Work Completion time on fault]]-PA[[#This Row],[Fault Time]])*24)</f>
        <v>0.23333333333333517</v>
      </c>
      <c r="AG18" s="44">
        <f>IFERROR((PA[[#This Row],[Work Completion time on fault]]-PA[[#This Row],[Fault Time]])*24,"")</f>
        <v>0.23333333333333517</v>
      </c>
      <c r="AH18" s="36" t="s">
        <v>234</v>
      </c>
      <c r="AI18" s="33" t="s">
        <v>235</v>
      </c>
      <c r="AJ18" s="35" t="str">
        <f>IFERROR(PA[[#This Row],[Breakdown Time]]*PA[[#This Row],[Plant Equivalent Weightage]],"")</f>
        <v/>
      </c>
      <c r="AK18" s="36">
        <v>0.202382123</v>
      </c>
      <c r="AL18" s="51" t="str">
        <f>IFERROR((_xlfn.XLOOKUP($G18,'Modelling New'!D:D,'Modelling New'!$O:$O)*PA[[#This Row],[Lost PoA(kWh/m2)]]*PA[[#This Row],[DC Capacity Affected (kW)]]),"")</f>
        <v/>
      </c>
      <c r="AM18" s="33"/>
      <c r="AN18" s="33"/>
      <c r="AO18" s="33"/>
      <c r="AP18" s="33"/>
    </row>
    <row r="19" spans="1:42">
      <c r="A19" s="30">
        <v>18</v>
      </c>
      <c r="B19" s="31"/>
      <c r="C19" s="32">
        <f>YEAR(PA[[#This Row],[Date]])+IF(MONTH(PA[[#This Row],[Date]])&gt;=4,1,0)</f>
        <v>1900</v>
      </c>
      <c r="D19" s="32">
        <f>YEAR(PA[[#This Row],[Date]])</f>
        <v>1900</v>
      </c>
      <c r="E19" s="33" t="s">
        <v>157</v>
      </c>
      <c r="F19" s="33" t="s">
        <v>157</v>
      </c>
      <c r="G19" s="194">
        <f>PA[[#This Row],[Date]]-DAY(PA[[#This Row],[Date]])+1</f>
        <v>1</v>
      </c>
      <c r="H19" s="32">
        <f>DAY(EOMONTH(PA[[#This Row],[Month Year]],0))</f>
        <v>31</v>
      </c>
      <c r="I19" s="121"/>
      <c r="J19" s="121"/>
      <c r="K19" s="35">
        <f>IFERROR((PA[[#This Row],[Sunset Time (POA&lt;20 W/m2)]]-PA[[#This Row],[Sunrise Time (POA&gt;20 W/m2)]])*24,"")</f>
        <v>0</v>
      </c>
      <c r="L19" s="33"/>
      <c r="M19" s="33"/>
      <c r="N19" s="33"/>
      <c r="O19" s="36"/>
      <c r="P19" s="36"/>
      <c r="Q19" s="33"/>
      <c r="R19" s="32">
        <f>IF((PA[[#This Row],[String Type(If String BD)]]&amp;PA[[#This Row],[Equipment (If any BD other than PV  array and inv)]])="",1,0)</f>
        <v>1</v>
      </c>
      <c r="S19" s="32">
        <f>IF(PA[[#This Row],[String Type(If String BD)]]="",1,0)</f>
        <v>1</v>
      </c>
      <c r="T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" s="35" t="str">
        <f>IFERROR(_xlfn.XLOOKUP(PA[[#This Row],[Affected Equipment ]],'Basic Data'!N:N,'Basic Data'!Q:Q),"")</f>
        <v/>
      </c>
      <c r="V19" s="39" t="str">
        <f>IFERROR(_xlfn.XLOOKUP(PA[[#This Row],[Affected Equipment ]],'Basic Data'!N:N,'Basic Data'!R:R),"")</f>
        <v/>
      </c>
      <c r="W19" s="36" t="s">
        <v>243</v>
      </c>
      <c r="X19" s="40"/>
      <c r="Y19" s="40" t="s">
        <v>237</v>
      </c>
      <c r="Z19" s="46">
        <v>0.60624999999999996</v>
      </c>
      <c r="AA19" s="46">
        <v>0.60624999999999996</v>
      </c>
      <c r="AB19" s="46">
        <v>0.60624999999999996</v>
      </c>
      <c r="AC19" s="46">
        <v>0.61597222222222225</v>
      </c>
      <c r="AD19" s="44">
        <f>IF(PA[[#This Row],[Acknowledgement Time ]]="NA","",(PA[[#This Row],[Acknowledgement Time ]]-PA[[#This Row],[Fault Time]])*24)</f>
        <v>0</v>
      </c>
      <c r="AE19" s="44">
        <f>IF(PA[[#This Row],[Work Start time on Fault]]="NA","",(PA[[#This Row],[Work Start time on Fault]]-PA[[#This Row],[Fault Time]])*24)</f>
        <v>0</v>
      </c>
      <c r="AF19" s="45">
        <f>IF(PA[[#This Row],[Status]]="Open","",(PA[[#This Row],[Work Completion time on fault]]-PA[[#This Row],[Fault Time]])*24)</f>
        <v>0.23333333333333517</v>
      </c>
      <c r="AG19" s="44">
        <f>IFERROR((PA[[#This Row],[Work Completion time on fault]]-PA[[#This Row],[Fault Time]])*24,"")</f>
        <v>0.23333333333333517</v>
      </c>
      <c r="AH19" s="36" t="s">
        <v>234</v>
      </c>
      <c r="AI19" s="33" t="s">
        <v>235</v>
      </c>
      <c r="AJ19" s="35" t="str">
        <f>IFERROR(PA[[#This Row],[Breakdown Time]]*PA[[#This Row],[Plant Equivalent Weightage]],"")</f>
        <v/>
      </c>
      <c r="AK19" s="36">
        <v>0.202382123</v>
      </c>
      <c r="AL19" s="51" t="str">
        <f>IFERROR((_xlfn.XLOOKUP($G19,'Modelling New'!D:D,'Modelling New'!$O:$O)*PA[[#This Row],[Lost PoA(kWh/m2)]]*PA[[#This Row],[DC Capacity Affected (kW)]]),"")</f>
        <v/>
      </c>
      <c r="AM19" s="33"/>
      <c r="AN19" s="33"/>
      <c r="AO19" s="33"/>
      <c r="AP19" s="33"/>
    </row>
    <row r="20" spans="1:42">
      <c r="A20" s="30">
        <v>19</v>
      </c>
      <c r="B20" s="31"/>
      <c r="C20" s="32">
        <f>YEAR(PA[[#This Row],[Date]])+IF(MONTH(PA[[#This Row],[Date]])&gt;=4,1,0)</f>
        <v>1900</v>
      </c>
      <c r="D20" s="32">
        <f>YEAR(PA[[#This Row],[Date]])</f>
        <v>1900</v>
      </c>
      <c r="E20" s="33" t="s">
        <v>157</v>
      </c>
      <c r="F20" s="33" t="s">
        <v>157</v>
      </c>
      <c r="G20" s="194">
        <f>PA[[#This Row],[Date]]-DAY(PA[[#This Row],[Date]])+1</f>
        <v>1</v>
      </c>
      <c r="H20" s="32">
        <f>DAY(EOMONTH(PA[[#This Row],[Month Year]],0))</f>
        <v>31</v>
      </c>
      <c r="I20" s="121"/>
      <c r="J20" s="121"/>
      <c r="K20" s="35">
        <f>IFERROR((PA[[#This Row],[Sunset Time (POA&lt;20 W/m2)]]-PA[[#This Row],[Sunrise Time (POA&gt;20 W/m2)]])*24,"")</f>
        <v>0</v>
      </c>
      <c r="L20" s="33"/>
      <c r="M20" s="33"/>
      <c r="N20" s="33"/>
      <c r="O20" s="36"/>
      <c r="P20" s="36"/>
      <c r="Q20" s="33"/>
      <c r="R20" s="32">
        <f>IF((PA[[#This Row],[String Type(If String BD)]]&amp;PA[[#This Row],[Equipment (If any BD other than PV  array and inv)]])="",1,0)</f>
        <v>1</v>
      </c>
      <c r="S20" s="32">
        <f>IF(PA[[#This Row],[String Type(If String BD)]]="",1,0)</f>
        <v>1</v>
      </c>
      <c r="T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" s="35" t="str">
        <f>IFERROR(_xlfn.XLOOKUP(PA[[#This Row],[Affected Equipment ]],'Basic Data'!N:N,'Basic Data'!Q:Q),"")</f>
        <v/>
      </c>
      <c r="V20" s="39" t="str">
        <f>IFERROR(_xlfn.XLOOKUP(PA[[#This Row],[Affected Equipment ]],'Basic Data'!N:N,'Basic Data'!R:R),"")</f>
        <v/>
      </c>
      <c r="W20" s="36" t="s">
        <v>243</v>
      </c>
      <c r="X20" s="40"/>
      <c r="Y20" s="40" t="s">
        <v>237</v>
      </c>
      <c r="Z20" s="46">
        <v>0.60624999999999996</v>
      </c>
      <c r="AA20" s="46">
        <v>0.60624999999999996</v>
      </c>
      <c r="AB20" s="46">
        <v>0.60624999999999996</v>
      </c>
      <c r="AC20" s="46">
        <v>0.61597222222222225</v>
      </c>
      <c r="AD20" s="44">
        <f>IF(PA[[#This Row],[Acknowledgement Time ]]="NA","",(PA[[#This Row],[Acknowledgement Time ]]-PA[[#This Row],[Fault Time]])*24)</f>
        <v>0</v>
      </c>
      <c r="AE20" s="44">
        <f>IF(PA[[#This Row],[Work Start time on Fault]]="NA","",(PA[[#This Row],[Work Start time on Fault]]-PA[[#This Row],[Fault Time]])*24)</f>
        <v>0</v>
      </c>
      <c r="AF20" s="45">
        <f>IF(PA[[#This Row],[Status]]="Open","",(PA[[#This Row],[Work Completion time on fault]]-PA[[#This Row],[Fault Time]])*24)</f>
        <v>0.23333333333333517</v>
      </c>
      <c r="AG20" s="44">
        <f>IFERROR((PA[[#This Row],[Work Completion time on fault]]-PA[[#This Row],[Fault Time]])*24,"")</f>
        <v>0.23333333333333517</v>
      </c>
      <c r="AH20" s="36" t="s">
        <v>234</v>
      </c>
      <c r="AI20" s="33" t="s">
        <v>235</v>
      </c>
      <c r="AJ20" s="35" t="str">
        <f>IFERROR(PA[[#This Row],[Breakdown Time]]*PA[[#This Row],[Plant Equivalent Weightage]],"")</f>
        <v/>
      </c>
      <c r="AK20" s="36">
        <v>0.202382123</v>
      </c>
      <c r="AL20" s="51" t="str">
        <f>IFERROR((_xlfn.XLOOKUP($G20,'Modelling New'!D:D,'Modelling New'!$O:$O)*PA[[#This Row],[Lost PoA(kWh/m2)]]*PA[[#This Row],[DC Capacity Affected (kW)]]),"")</f>
        <v/>
      </c>
      <c r="AM20" s="33"/>
      <c r="AN20" s="33"/>
      <c r="AO20" s="33"/>
      <c r="AP20" s="33"/>
    </row>
    <row r="21" spans="1:42">
      <c r="A21" s="30">
        <v>20</v>
      </c>
      <c r="B21" s="31"/>
      <c r="C21" s="32">
        <f>YEAR(PA[[#This Row],[Date]])+IF(MONTH(PA[[#This Row],[Date]])&gt;=4,1,0)</f>
        <v>1900</v>
      </c>
      <c r="D21" s="32">
        <f>YEAR(PA[[#This Row],[Date]])</f>
        <v>1900</v>
      </c>
      <c r="E21" s="33" t="s">
        <v>157</v>
      </c>
      <c r="F21" s="33" t="s">
        <v>157</v>
      </c>
      <c r="G21" s="194">
        <f>PA[[#This Row],[Date]]-DAY(PA[[#This Row],[Date]])+1</f>
        <v>1</v>
      </c>
      <c r="H21" s="32">
        <f>DAY(EOMONTH(PA[[#This Row],[Month Year]],0))</f>
        <v>31</v>
      </c>
      <c r="I21" s="121"/>
      <c r="J21" s="121"/>
      <c r="K21" s="35">
        <f>IFERROR((PA[[#This Row],[Sunset Time (POA&lt;20 W/m2)]]-PA[[#This Row],[Sunrise Time (POA&gt;20 W/m2)]])*24,"")</f>
        <v>0</v>
      </c>
      <c r="L21" s="33"/>
      <c r="M21" s="33"/>
      <c r="N21" s="33"/>
      <c r="O21" s="38"/>
      <c r="P21" s="38"/>
      <c r="Q21" s="37"/>
      <c r="R21" s="32">
        <f>IF((PA[[#This Row],[String Type(If String BD)]]&amp;PA[[#This Row],[Equipment (If any BD other than PV  array and inv)]])="",1,0)</f>
        <v>1</v>
      </c>
      <c r="S21" s="32">
        <f>IF(PA[[#This Row],[String Type(If String BD)]]="",1,0)</f>
        <v>1</v>
      </c>
      <c r="T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" s="35" t="str">
        <f>IFERROR(_xlfn.XLOOKUP(PA[[#This Row],[Affected Equipment ]],'Basic Data'!N:N,'Basic Data'!Q:Q),"")</f>
        <v/>
      </c>
      <c r="V21" s="39" t="str">
        <f>IFERROR(_xlfn.XLOOKUP(PA[[#This Row],[Affected Equipment ]],'Basic Data'!N:N,'Basic Data'!R:R),"")</f>
        <v/>
      </c>
      <c r="W21" s="36" t="s">
        <v>232</v>
      </c>
      <c r="X21" s="41"/>
      <c r="Y21" s="40" t="s">
        <v>233</v>
      </c>
      <c r="Z21" s="46">
        <v>0.53888888888888886</v>
      </c>
      <c r="AA21" s="46">
        <v>0.53888888888888886</v>
      </c>
      <c r="AB21" s="46">
        <v>0.53888888888888886</v>
      </c>
      <c r="AC21" s="46">
        <v>0.55000000000000004</v>
      </c>
      <c r="AD21" s="44">
        <f>IF(PA[[#This Row],[Acknowledgement Time ]]="NA","",(PA[[#This Row],[Acknowledgement Time ]]-PA[[#This Row],[Fault Time]])*24)</f>
        <v>0</v>
      </c>
      <c r="AE21" s="44">
        <f>IF(PA[[#This Row],[Work Start time on Fault]]="NA","",(PA[[#This Row],[Work Start time on Fault]]-PA[[#This Row],[Fault Time]])*24)</f>
        <v>0</v>
      </c>
      <c r="AF21" s="45">
        <f>IF(PA[[#This Row],[Status]]="Open","",(PA[[#This Row],[Work Completion time on fault]]-PA[[#This Row],[Fault Time]])*24)</f>
        <v>0.26666666666666838</v>
      </c>
      <c r="AG21" s="44">
        <f>IFERROR((PA[[#This Row],[Work Completion time on fault]]-PA[[#This Row],[Fault Time]])*24,"")</f>
        <v>0.26666666666666838</v>
      </c>
      <c r="AH21" s="36" t="s">
        <v>234</v>
      </c>
      <c r="AI21" s="33" t="s">
        <v>235</v>
      </c>
      <c r="AJ21" s="35" t="str">
        <f>IFERROR(PA[[#This Row],[Breakdown Time]]*PA[[#This Row],[Plant Equivalent Weightage]],"")</f>
        <v/>
      </c>
      <c r="AK21" s="38">
        <v>0.2660271766666667</v>
      </c>
      <c r="AL21" s="51" t="str">
        <f>IFERROR((_xlfn.XLOOKUP($G21,'Modelling New'!D:D,'Modelling New'!$O:$O)*PA[[#This Row],[Lost PoA(kWh/m2)]]*PA[[#This Row],[DC Capacity Affected (kW)]]),"")</f>
        <v/>
      </c>
      <c r="AM21" s="33"/>
      <c r="AN21" s="33"/>
      <c r="AO21" s="33"/>
      <c r="AP21" s="33"/>
    </row>
    <row r="22" spans="1:42">
      <c r="A22" s="30">
        <v>21</v>
      </c>
      <c r="B22" s="31"/>
      <c r="C22" s="32">
        <f>YEAR(PA[[#This Row],[Date]])+IF(MONTH(PA[[#This Row],[Date]])&gt;=4,1,0)</f>
        <v>1900</v>
      </c>
      <c r="D22" s="32">
        <f>YEAR(PA[[#This Row],[Date]])</f>
        <v>1900</v>
      </c>
      <c r="E22" s="33" t="s">
        <v>157</v>
      </c>
      <c r="F22" s="33" t="s">
        <v>157</v>
      </c>
      <c r="G22" s="194">
        <f>PA[[#This Row],[Date]]-DAY(PA[[#This Row],[Date]])+1</f>
        <v>1</v>
      </c>
      <c r="H22" s="32">
        <f>DAY(EOMONTH(PA[[#This Row],[Month Year]],0))</f>
        <v>31</v>
      </c>
      <c r="I22" s="121"/>
      <c r="J22" s="121"/>
      <c r="K22" s="35">
        <f>IFERROR((PA[[#This Row],[Sunset Time (POA&lt;20 W/m2)]]-PA[[#This Row],[Sunrise Time (POA&gt;20 W/m2)]])*24,"")</f>
        <v>0</v>
      </c>
      <c r="L22" s="33"/>
      <c r="M22" s="33"/>
      <c r="N22" s="33"/>
      <c r="O22" s="36"/>
      <c r="P22" s="36"/>
      <c r="Q22" s="33"/>
      <c r="R22" s="32">
        <f>IF((PA[[#This Row],[String Type(If String BD)]]&amp;PA[[#This Row],[Equipment (If any BD other than PV  array and inv)]])="",1,0)</f>
        <v>1</v>
      </c>
      <c r="S22" s="32">
        <f>IF(PA[[#This Row],[String Type(If String BD)]]="",1,0)</f>
        <v>1</v>
      </c>
      <c r="T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" s="35" t="str">
        <f>IFERROR(_xlfn.XLOOKUP(PA[[#This Row],[Affected Equipment ]],'Basic Data'!N:N,'Basic Data'!Q:Q),"")</f>
        <v/>
      </c>
      <c r="V22" s="39" t="str">
        <f>IFERROR(_xlfn.XLOOKUP(PA[[#This Row],[Affected Equipment ]],'Basic Data'!N:N,'Basic Data'!R:R),"")</f>
        <v/>
      </c>
      <c r="W22" s="36" t="s">
        <v>232</v>
      </c>
      <c r="X22" s="40"/>
      <c r="Y22" s="40" t="s">
        <v>233</v>
      </c>
      <c r="Z22" s="46">
        <v>0.53888888888888886</v>
      </c>
      <c r="AA22" s="46">
        <v>0.53888888888888886</v>
      </c>
      <c r="AB22" s="46">
        <v>0.53888888888888886</v>
      </c>
      <c r="AC22" s="46">
        <v>0.55000000000000004</v>
      </c>
      <c r="AD22" s="44">
        <f>IF(PA[[#This Row],[Acknowledgement Time ]]="NA","",(PA[[#This Row],[Acknowledgement Time ]]-PA[[#This Row],[Fault Time]])*24)</f>
        <v>0</v>
      </c>
      <c r="AE22" s="44">
        <f>IF(PA[[#This Row],[Work Start time on Fault]]="NA","",(PA[[#This Row],[Work Start time on Fault]]-PA[[#This Row],[Fault Time]])*24)</f>
        <v>0</v>
      </c>
      <c r="AF22" s="45">
        <f>IF(PA[[#This Row],[Status]]="Open","",(PA[[#This Row],[Work Completion time on fault]]-PA[[#This Row],[Fault Time]])*24)</f>
        <v>0.26666666666666838</v>
      </c>
      <c r="AG22" s="44">
        <f>IFERROR((PA[[#This Row],[Work Completion time on fault]]-PA[[#This Row],[Fault Time]])*24,"")</f>
        <v>0.26666666666666838</v>
      </c>
      <c r="AH22" s="36" t="s">
        <v>234</v>
      </c>
      <c r="AI22" s="33" t="s">
        <v>235</v>
      </c>
      <c r="AJ22" s="35" t="str">
        <f>IFERROR(PA[[#This Row],[Breakdown Time]]*PA[[#This Row],[Plant Equivalent Weightage]],"")</f>
        <v/>
      </c>
      <c r="AK22" s="38">
        <v>0.2660271766666667</v>
      </c>
      <c r="AL22" s="51" t="str">
        <f>IFERROR((_xlfn.XLOOKUP($G22,'Modelling New'!D:D,'Modelling New'!$O:$O)*PA[[#This Row],[Lost PoA(kWh/m2)]]*PA[[#This Row],[DC Capacity Affected (kW)]]),"")</f>
        <v/>
      </c>
      <c r="AM22" s="33"/>
      <c r="AN22" s="33"/>
      <c r="AO22" s="33"/>
      <c r="AP22" s="33"/>
    </row>
    <row r="23" spans="1:42">
      <c r="A23" s="30">
        <v>22</v>
      </c>
      <c r="B23" s="31"/>
      <c r="C23" s="32">
        <f>YEAR(PA[[#This Row],[Date]])+IF(MONTH(PA[[#This Row],[Date]])&gt;=4,1,0)</f>
        <v>1900</v>
      </c>
      <c r="D23" s="32">
        <f>YEAR(PA[[#This Row],[Date]])</f>
        <v>1900</v>
      </c>
      <c r="E23" s="33" t="s">
        <v>157</v>
      </c>
      <c r="F23" s="33" t="s">
        <v>157</v>
      </c>
      <c r="G23" s="194">
        <f>PA[[#This Row],[Date]]-DAY(PA[[#This Row],[Date]])+1</f>
        <v>1</v>
      </c>
      <c r="H23" s="32">
        <f>DAY(EOMONTH(PA[[#This Row],[Month Year]],0))</f>
        <v>31</v>
      </c>
      <c r="I23" s="121"/>
      <c r="J23" s="121"/>
      <c r="K23" s="35">
        <f>IFERROR((PA[[#This Row],[Sunset Time (POA&lt;20 W/m2)]]-PA[[#This Row],[Sunrise Time (POA&gt;20 W/m2)]])*24,"")</f>
        <v>0</v>
      </c>
      <c r="L23" s="33"/>
      <c r="M23" s="33"/>
      <c r="N23" s="33"/>
      <c r="O23" s="36"/>
      <c r="P23" s="36"/>
      <c r="Q23" s="33"/>
      <c r="R23" s="32">
        <f>IF((PA[[#This Row],[String Type(If String BD)]]&amp;PA[[#This Row],[Equipment (If any BD other than PV  array and inv)]])="",1,0)</f>
        <v>1</v>
      </c>
      <c r="S23" s="32">
        <f>IF(PA[[#This Row],[String Type(If String BD)]]="",1,0)</f>
        <v>1</v>
      </c>
      <c r="T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" s="35" t="str">
        <f>IFERROR(_xlfn.XLOOKUP(PA[[#This Row],[Affected Equipment ]],'Basic Data'!N:N,'Basic Data'!Q:Q),"")</f>
        <v/>
      </c>
      <c r="V23" s="39" t="str">
        <f>IFERROR(_xlfn.XLOOKUP(PA[[#This Row],[Affected Equipment ]],'Basic Data'!N:N,'Basic Data'!R:R),"")</f>
        <v/>
      </c>
      <c r="W23" s="36" t="s">
        <v>232</v>
      </c>
      <c r="X23" s="40"/>
      <c r="Y23" s="40" t="s">
        <v>233</v>
      </c>
      <c r="Z23" s="46">
        <v>0.58611111111111114</v>
      </c>
      <c r="AA23" s="46">
        <v>0.58611111111111114</v>
      </c>
      <c r="AB23" s="46">
        <v>0.58611111111111114</v>
      </c>
      <c r="AC23" s="46">
        <v>0.59652777777777777</v>
      </c>
      <c r="AD23" s="44">
        <f>IF(PA[[#This Row],[Acknowledgement Time ]]="NA","",(PA[[#This Row],[Acknowledgement Time ]]-PA[[#This Row],[Fault Time]])*24)</f>
        <v>0</v>
      </c>
      <c r="AE23" s="44">
        <f>IF(PA[[#This Row],[Work Start time on Fault]]="NA","",(PA[[#This Row],[Work Start time on Fault]]-PA[[#This Row],[Fault Time]])*24)</f>
        <v>0</v>
      </c>
      <c r="AF23" s="45">
        <f>IF(PA[[#This Row],[Status]]="Open","",(PA[[#This Row],[Work Completion time on fault]]-PA[[#This Row],[Fault Time]])*24)</f>
        <v>0.24999999999999911</v>
      </c>
      <c r="AG23" s="44">
        <f>IFERROR((PA[[#This Row],[Work Completion time on fault]]-PA[[#This Row],[Fault Time]])*24,"")</f>
        <v>0.24999999999999911</v>
      </c>
      <c r="AH23" s="36" t="s">
        <v>234</v>
      </c>
      <c r="AI23" s="33" t="s">
        <v>235</v>
      </c>
      <c r="AJ23" s="35" t="str">
        <f>IFERROR(PA[[#This Row],[Breakdown Time]]*PA[[#This Row],[Plant Equivalent Weightage]],"")</f>
        <v/>
      </c>
      <c r="AK23" s="36">
        <v>0.22731243166666668</v>
      </c>
      <c r="AL23" s="51" t="str">
        <f>IFERROR((_xlfn.XLOOKUP($G23,'Modelling New'!D:D,'Modelling New'!$O:$O)*PA[[#This Row],[Lost PoA(kWh/m2)]]*PA[[#This Row],[DC Capacity Affected (kW)]]),"")</f>
        <v/>
      </c>
      <c r="AM23" s="33"/>
      <c r="AN23" s="33"/>
      <c r="AO23" s="33"/>
      <c r="AP23" s="33"/>
    </row>
    <row r="24" spans="1:42">
      <c r="A24" s="30">
        <v>23</v>
      </c>
      <c r="B24" s="31"/>
      <c r="C24" s="32">
        <f>YEAR(PA[[#This Row],[Date]])+IF(MONTH(PA[[#This Row],[Date]])&gt;=4,1,0)</f>
        <v>1900</v>
      </c>
      <c r="D24" s="32">
        <f>YEAR(PA[[#This Row],[Date]])</f>
        <v>1900</v>
      </c>
      <c r="E24" s="33" t="s">
        <v>157</v>
      </c>
      <c r="F24" s="33" t="s">
        <v>157</v>
      </c>
      <c r="G24" s="194">
        <f>PA[[#This Row],[Date]]-DAY(PA[[#This Row],[Date]])+1</f>
        <v>1</v>
      </c>
      <c r="H24" s="32">
        <f>DAY(EOMONTH(PA[[#This Row],[Month Year]],0))</f>
        <v>31</v>
      </c>
      <c r="I24" s="121"/>
      <c r="J24" s="121"/>
      <c r="K24" s="35">
        <f>IFERROR((PA[[#This Row],[Sunset Time (POA&lt;20 W/m2)]]-PA[[#This Row],[Sunrise Time (POA&gt;20 W/m2)]])*24,"")</f>
        <v>0</v>
      </c>
      <c r="L24" s="33"/>
      <c r="M24" s="33"/>
      <c r="N24" s="33"/>
      <c r="O24" s="36"/>
      <c r="P24" s="36"/>
      <c r="Q24" s="33"/>
      <c r="R24" s="32">
        <f>IF((PA[[#This Row],[String Type(If String BD)]]&amp;PA[[#This Row],[Equipment (If any BD other than PV  array and inv)]])="",1,0)</f>
        <v>1</v>
      </c>
      <c r="S24" s="32">
        <f>IF(PA[[#This Row],[String Type(If String BD)]]="",1,0)</f>
        <v>1</v>
      </c>
      <c r="T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" s="35" t="str">
        <f>IFERROR(_xlfn.XLOOKUP(PA[[#This Row],[Affected Equipment ]],'Basic Data'!N:N,'Basic Data'!Q:Q),"")</f>
        <v/>
      </c>
      <c r="V24" s="39" t="str">
        <f>IFERROR(_xlfn.XLOOKUP(PA[[#This Row],[Affected Equipment ]],'Basic Data'!N:N,'Basic Data'!R:R),"")</f>
        <v/>
      </c>
      <c r="W24" s="36" t="s">
        <v>232</v>
      </c>
      <c r="X24" s="40"/>
      <c r="Y24" s="40" t="s">
        <v>233</v>
      </c>
      <c r="Z24" s="46">
        <v>0.58611111111111114</v>
      </c>
      <c r="AA24" s="46">
        <v>0.58611111111111114</v>
      </c>
      <c r="AB24" s="46">
        <v>0.58611111111111114</v>
      </c>
      <c r="AC24" s="46">
        <v>0.59652777777777777</v>
      </c>
      <c r="AD24" s="44">
        <f>IF(PA[[#This Row],[Acknowledgement Time ]]="NA","",(PA[[#This Row],[Acknowledgement Time ]]-PA[[#This Row],[Fault Time]])*24)</f>
        <v>0</v>
      </c>
      <c r="AE24" s="44">
        <f>IF(PA[[#This Row],[Work Start time on Fault]]="NA","",(PA[[#This Row],[Work Start time on Fault]]-PA[[#This Row],[Fault Time]])*24)</f>
        <v>0</v>
      </c>
      <c r="AF24" s="45">
        <f>IF(PA[[#This Row],[Status]]="Open","",(PA[[#This Row],[Work Completion time on fault]]-PA[[#This Row],[Fault Time]])*24)</f>
        <v>0.24999999999999911</v>
      </c>
      <c r="AG24" s="44">
        <f>IFERROR((PA[[#This Row],[Work Completion time on fault]]-PA[[#This Row],[Fault Time]])*24,"")</f>
        <v>0.24999999999999911</v>
      </c>
      <c r="AH24" s="36" t="s">
        <v>234</v>
      </c>
      <c r="AI24" s="33" t="s">
        <v>235</v>
      </c>
      <c r="AJ24" s="35" t="str">
        <f>IFERROR(PA[[#This Row],[Breakdown Time]]*PA[[#This Row],[Plant Equivalent Weightage]],"")</f>
        <v/>
      </c>
      <c r="AK24" s="36">
        <v>0.22731243166666668</v>
      </c>
      <c r="AL24" s="51" t="str">
        <f>IFERROR((_xlfn.XLOOKUP($G24,'Modelling New'!D:D,'Modelling New'!$O:$O)*PA[[#This Row],[Lost PoA(kWh/m2)]]*PA[[#This Row],[DC Capacity Affected (kW)]]),"")</f>
        <v/>
      </c>
      <c r="AM24" s="33"/>
      <c r="AN24" s="33"/>
      <c r="AO24" s="33"/>
      <c r="AP24" s="33"/>
    </row>
    <row r="25" spans="1:42">
      <c r="A25" s="30">
        <v>24</v>
      </c>
      <c r="B25" s="31"/>
      <c r="C25" s="32">
        <f>YEAR(PA[[#This Row],[Date]])+IF(MONTH(PA[[#This Row],[Date]])&gt;=4,1,0)</f>
        <v>1900</v>
      </c>
      <c r="D25" s="32">
        <f>YEAR(PA[[#This Row],[Date]])</f>
        <v>1900</v>
      </c>
      <c r="E25" s="33" t="s">
        <v>157</v>
      </c>
      <c r="F25" s="33" t="s">
        <v>157</v>
      </c>
      <c r="G25" s="194">
        <f>PA[[#This Row],[Date]]-DAY(PA[[#This Row],[Date]])+1</f>
        <v>1</v>
      </c>
      <c r="H25" s="32">
        <f>DAY(EOMONTH(PA[[#This Row],[Month Year]],0))</f>
        <v>31</v>
      </c>
      <c r="I25" s="121"/>
      <c r="J25" s="121"/>
      <c r="K25" s="35">
        <f>IFERROR((PA[[#This Row],[Sunset Time (POA&lt;20 W/m2)]]-PA[[#This Row],[Sunrise Time (POA&gt;20 W/m2)]])*24,"")</f>
        <v>0</v>
      </c>
      <c r="L25" s="33"/>
      <c r="M25" s="33"/>
      <c r="N25" s="33"/>
      <c r="O25" s="36"/>
      <c r="P25" s="36"/>
      <c r="Q25" s="33"/>
      <c r="R25" s="32">
        <f>IF((PA[[#This Row],[String Type(If String BD)]]&amp;PA[[#This Row],[Equipment (If any BD other than PV  array and inv)]])="",1,0)</f>
        <v>1</v>
      </c>
      <c r="S25" s="32">
        <f>IF(PA[[#This Row],[String Type(If String BD)]]="",1,0)</f>
        <v>1</v>
      </c>
      <c r="T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" s="35" t="str">
        <f>IFERROR(_xlfn.XLOOKUP(PA[[#This Row],[Affected Equipment ]],'Basic Data'!N:N,'Basic Data'!Q:Q),"")</f>
        <v/>
      </c>
      <c r="V25" s="39" t="str">
        <f>IFERROR(_xlfn.XLOOKUP(PA[[#This Row],[Affected Equipment ]],'Basic Data'!N:N,'Basic Data'!R:R),"")</f>
        <v/>
      </c>
      <c r="W25" s="36" t="s">
        <v>232</v>
      </c>
      <c r="X25" s="40"/>
      <c r="Y25" s="40" t="s">
        <v>233</v>
      </c>
      <c r="Z25" s="46">
        <v>0.56111111111111112</v>
      </c>
      <c r="AA25" s="46">
        <v>0.56111111111111112</v>
      </c>
      <c r="AB25" s="46">
        <v>0.56111111111111112</v>
      </c>
      <c r="AC25" s="46">
        <v>0.61250000000000004</v>
      </c>
      <c r="AD25" s="44">
        <f>IF(PA[[#This Row],[Acknowledgement Time ]]="NA","",(PA[[#This Row],[Acknowledgement Time ]]-PA[[#This Row],[Fault Time]])*24)</f>
        <v>0</v>
      </c>
      <c r="AE25" s="44">
        <f>IF(PA[[#This Row],[Work Start time on Fault]]="NA","",(PA[[#This Row],[Work Start time on Fault]]-PA[[#This Row],[Fault Time]])*24)</f>
        <v>0</v>
      </c>
      <c r="AF25" s="45">
        <f>IF(PA[[#This Row],[Status]]="Open","",(PA[[#This Row],[Work Completion time on fault]]-PA[[#This Row],[Fault Time]])*24)</f>
        <v>1.2333333333333343</v>
      </c>
      <c r="AG25" s="44">
        <f>IFERROR((PA[[#This Row],[Work Completion time on fault]]-PA[[#This Row],[Fault Time]])*24,"")</f>
        <v>1.2333333333333343</v>
      </c>
      <c r="AH25" s="36" t="s">
        <v>234</v>
      </c>
      <c r="AI25" s="33" t="s">
        <v>235</v>
      </c>
      <c r="AJ25" s="35" t="str">
        <f>IFERROR(PA[[#This Row],[Breakdown Time]]*PA[[#This Row],[Plant Equivalent Weightage]],"")</f>
        <v/>
      </c>
      <c r="AK25" s="36">
        <v>1.048772818</v>
      </c>
      <c r="AL25" s="51" t="str">
        <f>IFERROR((_xlfn.XLOOKUP($G25,'Modelling New'!D:D,'Modelling New'!$O:$O)*PA[[#This Row],[Lost PoA(kWh/m2)]]*PA[[#This Row],[DC Capacity Affected (kW)]]),"")</f>
        <v/>
      </c>
      <c r="AM25" s="33"/>
      <c r="AN25" s="33"/>
      <c r="AO25" s="33"/>
      <c r="AP25" s="33"/>
    </row>
    <row r="26" spans="1:42">
      <c r="A26" s="30">
        <v>25</v>
      </c>
      <c r="B26" s="31"/>
      <c r="C26" s="32">
        <f>YEAR(PA[[#This Row],[Date]])+IF(MONTH(PA[[#This Row],[Date]])&gt;=4,1,0)</f>
        <v>1900</v>
      </c>
      <c r="D26" s="32">
        <f>YEAR(PA[[#This Row],[Date]])</f>
        <v>1900</v>
      </c>
      <c r="E26" s="33" t="s">
        <v>157</v>
      </c>
      <c r="F26" s="33" t="s">
        <v>157</v>
      </c>
      <c r="G26" s="194">
        <f>PA[[#This Row],[Date]]-DAY(PA[[#This Row],[Date]])+1</f>
        <v>1</v>
      </c>
      <c r="H26" s="32">
        <f>DAY(EOMONTH(PA[[#This Row],[Month Year]],0))</f>
        <v>31</v>
      </c>
      <c r="I26" s="121"/>
      <c r="J26" s="121"/>
      <c r="K26" s="35">
        <f>IFERROR((PA[[#This Row],[Sunset Time (POA&lt;20 W/m2)]]-PA[[#This Row],[Sunrise Time (POA&gt;20 W/m2)]])*24,"")</f>
        <v>0</v>
      </c>
      <c r="L26" s="33"/>
      <c r="M26" s="33"/>
      <c r="N26" s="33"/>
      <c r="O26" s="36"/>
      <c r="P26" s="36"/>
      <c r="Q26" s="33"/>
      <c r="R26" s="32">
        <f>IF((PA[[#This Row],[String Type(If String BD)]]&amp;PA[[#This Row],[Equipment (If any BD other than PV  array and inv)]])="",1,0)</f>
        <v>1</v>
      </c>
      <c r="S26" s="32">
        <f>IF(PA[[#This Row],[String Type(If String BD)]]="",1,0)</f>
        <v>1</v>
      </c>
      <c r="T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" s="35" t="str">
        <f>IFERROR(_xlfn.XLOOKUP(PA[[#This Row],[Affected Equipment ]],'Basic Data'!N:N,'Basic Data'!Q:Q),"")</f>
        <v/>
      </c>
      <c r="V26" s="39" t="str">
        <f>IFERROR(_xlfn.XLOOKUP(PA[[#This Row],[Affected Equipment ]],'Basic Data'!N:N,'Basic Data'!R:R),"")</f>
        <v/>
      </c>
      <c r="W26" s="36" t="s">
        <v>240</v>
      </c>
      <c r="X26" s="40"/>
      <c r="Y26" s="40" t="s">
        <v>244</v>
      </c>
      <c r="Z26" s="46">
        <v>0.59861111111111109</v>
      </c>
      <c r="AA26" s="46">
        <v>0.59861111111111109</v>
      </c>
      <c r="AB26" s="46">
        <v>0.59861111111111109</v>
      </c>
      <c r="AC26" s="46">
        <v>0.60416666666666663</v>
      </c>
      <c r="AD26" s="44">
        <f>IF(PA[[#This Row],[Acknowledgement Time ]]="NA","",(PA[[#This Row],[Acknowledgement Time ]]-PA[[#This Row],[Fault Time]])*24)</f>
        <v>0</v>
      </c>
      <c r="AE26" s="44">
        <f>IF(PA[[#This Row],[Work Start time on Fault]]="NA","",(PA[[#This Row],[Work Start time on Fault]]-PA[[#This Row],[Fault Time]])*24)</f>
        <v>0</v>
      </c>
      <c r="AF26" s="45">
        <f>IF(PA[[#This Row],[Status]]="Open","",(PA[[#This Row],[Work Completion time on fault]]-PA[[#This Row],[Fault Time]])*24)</f>
        <v>0.13333333333333286</v>
      </c>
      <c r="AG26" s="44">
        <f>IFERROR((PA[[#This Row],[Work Completion time on fault]]-PA[[#This Row],[Fault Time]])*24,"")</f>
        <v>0.13333333333333286</v>
      </c>
      <c r="AH26" s="36" t="s">
        <v>245</v>
      </c>
      <c r="AI26" s="33" t="s">
        <v>235</v>
      </c>
      <c r="AJ26" s="35" t="str">
        <f>IFERROR(PA[[#This Row],[Breakdown Time]]*PA[[#This Row],[Plant Equivalent Weightage]],"")</f>
        <v/>
      </c>
      <c r="AK26" s="36">
        <v>9.5916648333333326E-2</v>
      </c>
      <c r="AL26" s="51" t="str">
        <f>IFERROR((_xlfn.XLOOKUP($G26,'Modelling New'!D:D,'Modelling New'!$O:$O)*PA[[#This Row],[Lost PoA(kWh/m2)]]*PA[[#This Row],[DC Capacity Affected (kW)]]),"")</f>
        <v/>
      </c>
      <c r="AM26" s="33"/>
      <c r="AN26" s="33"/>
      <c r="AO26" s="33"/>
      <c r="AP26" s="33"/>
    </row>
    <row r="27" spans="1:42">
      <c r="A27" s="30">
        <v>26</v>
      </c>
      <c r="B27" s="31"/>
      <c r="C27" s="32">
        <f>YEAR(PA[[#This Row],[Date]])+IF(MONTH(PA[[#This Row],[Date]])&gt;=4,1,0)</f>
        <v>1900</v>
      </c>
      <c r="D27" s="32">
        <f>YEAR(PA[[#This Row],[Date]])</f>
        <v>1900</v>
      </c>
      <c r="E27" s="33" t="s">
        <v>157</v>
      </c>
      <c r="F27" s="33" t="s">
        <v>157</v>
      </c>
      <c r="G27" s="194">
        <f>PA[[#This Row],[Date]]-DAY(PA[[#This Row],[Date]])+1</f>
        <v>1</v>
      </c>
      <c r="H27" s="32">
        <f>DAY(EOMONTH(PA[[#This Row],[Month Year]],0))</f>
        <v>31</v>
      </c>
      <c r="I27" s="121"/>
      <c r="J27" s="121"/>
      <c r="K27" s="35">
        <f>IFERROR((PA[[#This Row],[Sunset Time (POA&lt;20 W/m2)]]-PA[[#This Row],[Sunrise Time (POA&gt;20 W/m2)]])*24,"")</f>
        <v>0</v>
      </c>
      <c r="L27" s="33"/>
      <c r="M27" s="33"/>
      <c r="N27" s="33"/>
      <c r="O27" s="36"/>
      <c r="P27" s="36"/>
      <c r="Q27" s="33"/>
      <c r="R27" s="32">
        <f>IF((PA[[#This Row],[String Type(If String BD)]]&amp;PA[[#This Row],[Equipment (If any BD other than PV  array and inv)]])="",1,0)</f>
        <v>1</v>
      </c>
      <c r="S27" s="32">
        <f>IF(PA[[#This Row],[String Type(If String BD)]]="",1,0)</f>
        <v>1</v>
      </c>
      <c r="T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" s="35" t="str">
        <f>IFERROR(_xlfn.XLOOKUP(PA[[#This Row],[Affected Equipment ]],'Basic Data'!N:N,'Basic Data'!Q:Q),"")</f>
        <v/>
      </c>
      <c r="V27" s="39" t="str">
        <f>IFERROR(_xlfn.XLOOKUP(PA[[#This Row],[Affected Equipment ]],'Basic Data'!N:N,'Basic Data'!R:R),"")</f>
        <v/>
      </c>
      <c r="W27" s="36" t="s">
        <v>240</v>
      </c>
      <c r="X27" s="40"/>
      <c r="Y27" s="40" t="s">
        <v>246</v>
      </c>
      <c r="Z27" s="46">
        <v>0.25833333333333336</v>
      </c>
      <c r="AA27" s="46">
        <v>0.25833333333333336</v>
      </c>
      <c r="AB27" s="46">
        <v>0.25833333333333336</v>
      </c>
      <c r="AC27" s="46">
        <v>0.33680555555555558</v>
      </c>
      <c r="AD27" s="44">
        <f>IF(PA[[#This Row],[Acknowledgement Time ]]="NA","",(PA[[#This Row],[Acknowledgement Time ]]-PA[[#This Row],[Fault Time]])*24)</f>
        <v>0</v>
      </c>
      <c r="AE27" s="44">
        <f>IF(PA[[#This Row],[Work Start time on Fault]]="NA","",(PA[[#This Row],[Work Start time on Fault]]-PA[[#This Row],[Fault Time]])*24)</f>
        <v>0</v>
      </c>
      <c r="AF27" s="45">
        <f>IF(PA[[#This Row],[Status]]="Open","",(PA[[#This Row],[Work Completion time on fault]]-PA[[#This Row],[Fault Time]])*24)</f>
        <v>1.8833333333333333</v>
      </c>
      <c r="AG27" s="44">
        <f>IFERROR((PA[[#This Row],[Work Completion time on fault]]-PA[[#This Row],[Fault Time]])*24,"")</f>
        <v>1.8833333333333333</v>
      </c>
      <c r="AH27" s="36" t="s">
        <v>245</v>
      </c>
      <c r="AI27" s="33" t="s">
        <v>235</v>
      </c>
      <c r="AJ27" s="35" t="str">
        <f>IFERROR(PA[[#This Row],[Breakdown Time]]*PA[[#This Row],[Plant Equivalent Weightage]],"")</f>
        <v/>
      </c>
      <c r="AK27" s="36">
        <v>0.29650875500000001</v>
      </c>
      <c r="AL27" s="51" t="str">
        <f>IFERROR((_xlfn.XLOOKUP($G27,'Modelling New'!D:D,'Modelling New'!$O:$O)*PA[[#This Row],[Lost PoA(kWh/m2)]]*PA[[#This Row],[DC Capacity Affected (kW)]]),"")</f>
        <v/>
      </c>
      <c r="AM27" s="33"/>
      <c r="AN27" s="33"/>
      <c r="AO27" s="33"/>
      <c r="AP27" s="33"/>
    </row>
    <row r="28" spans="1:42">
      <c r="A28" s="30">
        <v>27</v>
      </c>
      <c r="B28" s="31"/>
      <c r="C28" s="32">
        <f>YEAR(PA[[#This Row],[Date]])+IF(MONTH(PA[[#This Row],[Date]])&gt;=4,1,0)</f>
        <v>1900</v>
      </c>
      <c r="D28" s="32">
        <f>YEAR(PA[[#This Row],[Date]])</f>
        <v>1900</v>
      </c>
      <c r="E28" s="33" t="s">
        <v>157</v>
      </c>
      <c r="F28" s="33" t="s">
        <v>157</v>
      </c>
      <c r="G28" s="194">
        <f>PA[[#This Row],[Date]]-DAY(PA[[#This Row],[Date]])+1</f>
        <v>1</v>
      </c>
      <c r="H28" s="32">
        <f>DAY(EOMONTH(PA[[#This Row],[Month Year]],0))</f>
        <v>31</v>
      </c>
      <c r="I28" s="121"/>
      <c r="J28" s="121"/>
      <c r="K28" s="35">
        <f>IFERROR((PA[[#This Row],[Sunset Time (POA&lt;20 W/m2)]]-PA[[#This Row],[Sunrise Time (POA&gt;20 W/m2)]])*24,"")</f>
        <v>0</v>
      </c>
      <c r="L28" s="33"/>
      <c r="M28" s="33"/>
      <c r="N28" s="33"/>
      <c r="O28" s="36"/>
      <c r="P28" s="36"/>
      <c r="Q28" s="33"/>
      <c r="R28" s="32">
        <f>IF((PA[[#This Row],[String Type(If String BD)]]&amp;PA[[#This Row],[Equipment (If any BD other than PV  array and inv)]])="",1,0)</f>
        <v>1</v>
      </c>
      <c r="S28" s="32">
        <f>IF(PA[[#This Row],[String Type(If String BD)]]="",1,0)</f>
        <v>1</v>
      </c>
      <c r="T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" s="35" t="str">
        <f>IFERROR(_xlfn.XLOOKUP(PA[[#This Row],[Affected Equipment ]],'Basic Data'!N:N,'Basic Data'!Q:Q),"")</f>
        <v/>
      </c>
      <c r="V28" s="39" t="str">
        <f>IFERROR(_xlfn.XLOOKUP(PA[[#This Row],[Affected Equipment ]],'Basic Data'!N:N,'Basic Data'!R:R),"")</f>
        <v/>
      </c>
      <c r="W28" s="36" t="s">
        <v>240</v>
      </c>
      <c r="X28" s="40"/>
      <c r="Y28" s="40" t="s">
        <v>246</v>
      </c>
      <c r="Z28" s="46">
        <v>0.6166666666666667</v>
      </c>
      <c r="AA28" s="46">
        <v>0.6166666666666667</v>
      </c>
      <c r="AB28" s="46">
        <v>0.6166666666666667</v>
      </c>
      <c r="AC28" s="46">
        <v>0.64027777777777772</v>
      </c>
      <c r="AD28" s="44">
        <f>IF(PA[[#This Row],[Acknowledgement Time ]]="NA","",(PA[[#This Row],[Acknowledgement Time ]]-PA[[#This Row],[Fault Time]])*24)</f>
        <v>0</v>
      </c>
      <c r="AE28" s="44">
        <f>IF(PA[[#This Row],[Work Start time on Fault]]="NA","",(PA[[#This Row],[Work Start time on Fault]]-PA[[#This Row],[Fault Time]])*24)</f>
        <v>0</v>
      </c>
      <c r="AF28" s="45">
        <f>IF(PA[[#This Row],[Status]]="Open","",(PA[[#This Row],[Work Completion time on fault]]-PA[[#This Row],[Fault Time]])*24)</f>
        <v>0.56666666666666465</v>
      </c>
      <c r="AG28" s="44">
        <f>IFERROR((PA[[#This Row],[Work Completion time on fault]]-PA[[#This Row],[Fault Time]])*24,"")</f>
        <v>0.56666666666666465</v>
      </c>
      <c r="AH28" s="36" t="s">
        <v>245</v>
      </c>
      <c r="AI28" s="33" t="s">
        <v>235</v>
      </c>
      <c r="AJ28" s="35" t="str">
        <f>IFERROR(PA[[#This Row],[Breakdown Time]]*PA[[#This Row],[Plant Equivalent Weightage]],"")</f>
        <v/>
      </c>
      <c r="AK28" s="36">
        <v>0.43044969999999999</v>
      </c>
      <c r="AL28" s="51" t="str">
        <f>IFERROR((_xlfn.XLOOKUP($G28,'Modelling New'!D:D,'Modelling New'!$O:$O)*PA[[#This Row],[Lost PoA(kWh/m2)]]*PA[[#This Row],[DC Capacity Affected (kW)]]),"")</f>
        <v/>
      </c>
      <c r="AM28" s="33"/>
      <c r="AN28" s="33"/>
      <c r="AO28" s="33"/>
      <c r="AP28" s="33"/>
    </row>
    <row r="29" spans="1:42">
      <c r="A29" s="30">
        <v>28</v>
      </c>
      <c r="B29" s="304"/>
      <c r="C29" s="307">
        <f>YEAR(PA[[#This Row],[Date]])+IF(MONTH(PA[[#This Row],[Date]])&gt;=4,1,0)</f>
        <v>1900</v>
      </c>
      <c r="D29" s="32">
        <f>YEAR(PA[[#This Row],[Date]])</f>
        <v>1900</v>
      </c>
      <c r="E29" s="33" t="s">
        <v>157</v>
      </c>
      <c r="F29" s="33" t="s">
        <v>157</v>
      </c>
      <c r="G29" s="194">
        <f>PA[[#This Row],[Date]]-DAY(PA[[#This Row],[Date]])+1</f>
        <v>1</v>
      </c>
      <c r="H29" s="32">
        <f>DAY(EOMONTH(PA[[#This Row],[Month Year]],0))</f>
        <v>31</v>
      </c>
      <c r="I29" s="121"/>
      <c r="J29" s="121"/>
      <c r="K29" s="35">
        <f>IFERROR((PA[[#This Row],[Sunset Time (POA&lt;20 W/m2)]]-PA[[#This Row],[Sunrise Time (POA&gt;20 W/m2)]])*24,"")</f>
        <v>0</v>
      </c>
      <c r="L29" s="33"/>
      <c r="M29" s="33"/>
      <c r="N29" s="33"/>
      <c r="O29" s="36"/>
      <c r="P29" s="36"/>
      <c r="Q29" s="33"/>
      <c r="R29" s="32">
        <f>IF((PA[[#This Row],[String Type(If String BD)]]&amp;PA[[#This Row],[Equipment (If any BD other than PV  array and inv)]])="",1,0)</f>
        <v>1</v>
      </c>
      <c r="S29" s="32">
        <f>IF(PA[[#This Row],[String Type(If String BD)]]="",1,0)</f>
        <v>1</v>
      </c>
      <c r="T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" s="35" t="str">
        <f>IFERROR(_xlfn.XLOOKUP(PA[[#This Row],[Affected Equipment ]],'Basic Data'!N:N,'Basic Data'!Q:Q),"")</f>
        <v/>
      </c>
      <c r="V29" s="305" t="str">
        <f>IFERROR(_xlfn.XLOOKUP(PA[[#This Row],[Affected Equipment ]],'Basic Data'!N:N,'Basic Data'!R:R),"")</f>
        <v/>
      </c>
      <c r="W29" s="36" t="s">
        <v>264</v>
      </c>
      <c r="X29" s="40"/>
      <c r="Y29" s="40" t="s">
        <v>314</v>
      </c>
      <c r="Z29" s="46">
        <v>0.25833333333333336</v>
      </c>
      <c r="AA29" s="42">
        <v>0.25833333333333336</v>
      </c>
      <c r="AB29" s="306">
        <v>0.25833333333333336</v>
      </c>
      <c r="AC29" s="46">
        <v>0.70138888888888884</v>
      </c>
      <c r="AD29" s="44">
        <f>IF(PA[[#This Row],[Acknowledgement Time ]]="NA","",(PA[[#This Row],[Acknowledgement Time ]]-PA[[#This Row],[Fault Time]])*24)</f>
        <v>0</v>
      </c>
      <c r="AE29" s="44">
        <f>IF(PA[[#This Row],[Work Start time on Fault]]="NA","",(PA[[#This Row],[Work Start time on Fault]]-PA[[#This Row],[Fault Time]])*24)</f>
        <v>0</v>
      </c>
      <c r="AF29" s="45">
        <f>IF(PA[[#This Row],[Status]]="Open","",(PA[[#This Row],[Work Completion time on fault]]-PA[[#This Row],[Fault Time]])*24)</f>
        <v>10.633333333333331</v>
      </c>
      <c r="AG29" s="44">
        <f>IFERROR((PA[[#This Row],[Work Completion time on fault]]-PA[[#This Row],[Fault Time]])*24,"")</f>
        <v>10.633333333333331</v>
      </c>
      <c r="AH29" s="36" t="s">
        <v>315</v>
      </c>
      <c r="AI29" s="33" t="s">
        <v>235</v>
      </c>
      <c r="AJ29" s="35" t="str">
        <f>IFERROR(PA[[#This Row],[Breakdown Time]]*PA[[#This Row],[Plant Equivalent Weightage]],"")</f>
        <v/>
      </c>
      <c r="AK29" s="36">
        <v>6.2583816666666667</v>
      </c>
      <c r="AL29" s="51" t="str">
        <f>IFERROR((_xlfn.XLOOKUP($G29,'Modelling New'!D:D,'Modelling New'!$O:$O)*PA[[#This Row],[Lost PoA(kWh/m2)]]*PA[[#This Row],[DC Capacity Affected (kW)]]),"")</f>
        <v/>
      </c>
      <c r="AM29" s="33"/>
      <c r="AN29" s="33"/>
      <c r="AO29" s="37"/>
      <c r="AP29" s="37"/>
    </row>
    <row r="30" spans="1:42">
      <c r="A30" s="30">
        <v>29</v>
      </c>
      <c r="B30" s="304"/>
      <c r="C30" s="307">
        <f>YEAR(PA[[#This Row],[Date]])+IF(MONTH(PA[[#This Row],[Date]])&gt;=4,1,0)</f>
        <v>1900</v>
      </c>
      <c r="D30" s="32">
        <f>YEAR(PA[[#This Row],[Date]])</f>
        <v>1900</v>
      </c>
      <c r="E30" s="33" t="s">
        <v>157</v>
      </c>
      <c r="F30" s="33" t="s">
        <v>157</v>
      </c>
      <c r="G30" s="194">
        <f>PA[[#This Row],[Date]]-DAY(PA[[#This Row],[Date]])+1</f>
        <v>1</v>
      </c>
      <c r="H30" s="32">
        <f>DAY(EOMONTH(PA[[#This Row],[Month Year]],0))</f>
        <v>31</v>
      </c>
      <c r="I30" s="121"/>
      <c r="J30" s="121"/>
      <c r="K30" s="35">
        <f>IFERROR((PA[[#This Row],[Sunset Time (POA&lt;20 W/m2)]]-PA[[#This Row],[Sunrise Time (POA&gt;20 W/m2)]])*24,"")</f>
        <v>0</v>
      </c>
      <c r="L30" s="33"/>
      <c r="M30" s="33"/>
      <c r="N30" s="33"/>
      <c r="O30" s="36"/>
      <c r="P30" s="36"/>
      <c r="Q30" s="33"/>
      <c r="R30" s="32">
        <f>IF((PA[[#This Row],[String Type(If String BD)]]&amp;PA[[#This Row],[Equipment (If any BD other than PV  array and inv)]])="",1,0)</f>
        <v>1</v>
      </c>
      <c r="S30" s="32">
        <f>IF(PA[[#This Row],[String Type(If String BD)]]="",1,0)</f>
        <v>1</v>
      </c>
      <c r="T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" s="35" t="str">
        <f>IFERROR(_xlfn.XLOOKUP(PA[[#This Row],[Affected Equipment ]],'Basic Data'!N:N,'Basic Data'!Q:Q),"")</f>
        <v/>
      </c>
      <c r="V30" s="305" t="str">
        <f>IFERROR(_xlfn.XLOOKUP(PA[[#This Row],[Affected Equipment ]],'Basic Data'!N:N,'Basic Data'!R:R),"")</f>
        <v/>
      </c>
      <c r="W30" s="36" t="s">
        <v>240</v>
      </c>
      <c r="X30" s="40"/>
      <c r="Y30" s="40" t="s">
        <v>316</v>
      </c>
      <c r="Z30" s="46">
        <v>0.25763888888888886</v>
      </c>
      <c r="AA30" s="42">
        <v>0.25763888888888886</v>
      </c>
      <c r="AB30" s="306">
        <v>0.25763888888888886</v>
      </c>
      <c r="AC30" s="46">
        <v>0.49444444444444446</v>
      </c>
      <c r="AD30" s="44">
        <f>IF(PA[[#This Row],[Acknowledgement Time ]]="NA","",(PA[[#This Row],[Acknowledgement Time ]]-PA[[#This Row],[Fault Time]])*24)</f>
        <v>0</v>
      </c>
      <c r="AE30" s="44">
        <f>IF(PA[[#This Row],[Work Start time on Fault]]="NA","",(PA[[#This Row],[Work Start time on Fault]]-PA[[#This Row],[Fault Time]])*24)</f>
        <v>0</v>
      </c>
      <c r="AF30" s="45">
        <f>IF(PA[[#This Row],[Status]]="Open","",(PA[[#This Row],[Work Completion time on fault]]-PA[[#This Row],[Fault Time]])*24)</f>
        <v>5.6833333333333345</v>
      </c>
      <c r="AG30" s="44">
        <f>IFERROR((PA[[#This Row],[Work Completion time on fault]]-PA[[#This Row],[Fault Time]])*24,"")</f>
        <v>5.6833333333333345</v>
      </c>
      <c r="AH30" s="36" t="s">
        <v>251</v>
      </c>
      <c r="AI30" s="33" t="s">
        <v>235</v>
      </c>
      <c r="AJ30" s="35" t="str">
        <f>IFERROR(PA[[#This Row],[Breakdown Time]]*PA[[#This Row],[Plant Equivalent Weightage]],"")</f>
        <v/>
      </c>
      <c r="AK30" s="36">
        <v>2.9549836750000003</v>
      </c>
      <c r="AL30" s="51" t="str">
        <f>IFERROR((_xlfn.XLOOKUP($G30,'Modelling New'!D:D,'Modelling New'!$O:$O)*PA[[#This Row],[Lost PoA(kWh/m2)]]*PA[[#This Row],[DC Capacity Affected (kW)]]),"")</f>
        <v/>
      </c>
      <c r="AM30" s="33"/>
      <c r="AN30" s="33"/>
      <c r="AO30" s="37"/>
      <c r="AP30" s="37"/>
    </row>
    <row r="31" spans="1:42">
      <c r="A31" s="30">
        <v>30</v>
      </c>
      <c r="B31" s="304"/>
      <c r="C31" s="307">
        <f>YEAR(PA[[#This Row],[Date]])+IF(MONTH(PA[[#This Row],[Date]])&gt;=4,1,0)</f>
        <v>1900</v>
      </c>
      <c r="D31" s="32">
        <f>YEAR(PA[[#This Row],[Date]])</f>
        <v>1900</v>
      </c>
      <c r="E31" s="33" t="s">
        <v>157</v>
      </c>
      <c r="F31" s="33" t="s">
        <v>157</v>
      </c>
      <c r="G31" s="194">
        <f>PA[[#This Row],[Date]]-DAY(PA[[#This Row],[Date]])+1</f>
        <v>1</v>
      </c>
      <c r="H31" s="32">
        <f>DAY(EOMONTH(PA[[#This Row],[Month Year]],0))</f>
        <v>31</v>
      </c>
      <c r="I31" s="121"/>
      <c r="J31" s="121"/>
      <c r="K31" s="35">
        <f>IFERROR((PA[[#This Row],[Sunset Time (POA&lt;20 W/m2)]]-PA[[#This Row],[Sunrise Time (POA&gt;20 W/m2)]])*24,"")</f>
        <v>0</v>
      </c>
      <c r="L31" s="33"/>
      <c r="M31" s="33"/>
      <c r="N31" s="33"/>
      <c r="O31" s="36"/>
      <c r="P31" s="36"/>
      <c r="Q31" s="33"/>
      <c r="R31" s="32">
        <f>IF((PA[[#This Row],[String Type(If String BD)]]&amp;PA[[#This Row],[Equipment (If any BD other than PV  array and inv)]])="",1,0)</f>
        <v>1</v>
      </c>
      <c r="S31" s="32">
        <f>IF(PA[[#This Row],[String Type(If String BD)]]="",1,0)</f>
        <v>1</v>
      </c>
      <c r="T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" s="35" t="str">
        <f>IFERROR(_xlfn.XLOOKUP(PA[[#This Row],[Affected Equipment ]],'Basic Data'!N:N,'Basic Data'!Q:Q),"")</f>
        <v/>
      </c>
      <c r="V31" s="305" t="str">
        <f>IFERROR(_xlfn.XLOOKUP(PA[[#This Row],[Affected Equipment ]],'Basic Data'!N:N,'Basic Data'!R:R),"")</f>
        <v/>
      </c>
      <c r="W31" s="36" t="s">
        <v>240</v>
      </c>
      <c r="X31" s="40"/>
      <c r="Y31" s="40" t="s">
        <v>316</v>
      </c>
      <c r="Z31" s="46">
        <v>0.25763888888888886</v>
      </c>
      <c r="AA31" s="42">
        <v>0.25763888888888886</v>
      </c>
      <c r="AB31" s="306">
        <v>0.25763888888888886</v>
      </c>
      <c r="AC31" s="46">
        <v>0.49444444444444446</v>
      </c>
      <c r="AD31" s="44">
        <f>IF(PA[[#This Row],[Acknowledgement Time ]]="NA","",(PA[[#This Row],[Acknowledgement Time ]]-PA[[#This Row],[Fault Time]])*24)</f>
        <v>0</v>
      </c>
      <c r="AE31" s="44">
        <f>IF(PA[[#This Row],[Work Start time on Fault]]="NA","",(PA[[#This Row],[Work Start time on Fault]]-PA[[#This Row],[Fault Time]])*24)</f>
        <v>0</v>
      </c>
      <c r="AF31" s="45">
        <f>IF(PA[[#This Row],[Status]]="Open","",(PA[[#This Row],[Work Completion time on fault]]-PA[[#This Row],[Fault Time]])*24)</f>
        <v>5.6833333333333345</v>
      </c>
      <c r="AG31" s="44">
        <f>IFERROR((PA[[#This Row],[Work Completion time on fault]]-PA[[#This Row],[Fault Time]])*24,"")</f>
        <v>5.6833333333333345</v>
      </c>
      <c r="AH31" s="36" t="s">
        <v>251</v>
      </c>
      <c r="AI31" s="33" t="s">
        <v>235</v>
      </c>
      <c r="AJ31" s="35" t="str">
        <f>IFERROR(PA[[#This Row],[Breakdown Time]]*PA[[#This Row],[Plant Equivalent Weightage]],"")</f>
        <v/>
      </c>
      <c r="AK31" s="36">
        <v>2.9549836750000003</v>
      </c>
      <c r="AL31" s="51" t="str">
        <f>IFERROR((_xlfn.XLOOKUP($G31,'Modelling New'!D:D,'Modelling New'!$O:$O)*PA[[#This Row],[Lost PoA(kWh/m2)]]*PA[[#This Row],[DC Capacity Affected (kW)]]),"")</f>
        <v/>
      </c>
      <c r="AM31" s="33"/>
      <c r="AN31" s="33"/>
      <c r="AO31" s="37"/>
      <c r="AP31" s="37"/>
    </row>
    <row r="32" spans="1:42">
      <c r="A32" s="30">
        <v>31</v>
      </c>
      <c r="B32" s="304"/>
      <c r="C32" s="307">
        <f>YEAR(PA[[#This Row],[Date]])+IF(MONTH(PA[[#This Row],[Date]])&gt;=4,1,0)</f>
        <v>1900</v>
      </c>
      <c r="D32" s="32">
        <f>YEAR(PA[[#This Row],[Date]])</f>
        <v>1900</v>
      </c>
      <c r="E32" s="33" t="s">
        <v>157</v>
      </c>
      <c r="F32" s="33" t="s">
        <v>157</v>
      </c>
      <c r="G32" s="194">
        <f>PA[[#This Row],[Date]]-DAY(PA[[#This Row],[Date]])+1</f>
        <v>1</v>
      </c>
      <c r="H32" s="32">
        <f>DAY(EOMONTH(PA[[#This Row],[Month Year]],0))</f>
        <v>31</v>
      </c>
      <c r="I32" s="121"/>
      <c r="J32" s="121"/>
      <c r="K32" s="35">
        <f>IFERROR((PA[[#This Row],[Sunset Time (POA&lt;20 W/m2)]]-PA[[#This Row],[Sunrise Time (POA&gt;20 W/m2)]])*24,"")</f>
        <v>0</v>
      </c>
      <c r="L32" s="33"/>
      <c r="M32" s="33"/>
      <c r="N32" s="33"/>
      <c r="O32" s="36"/>
      <c r="P32" s="36"/>
      <c r="Q32" s="33"/>
      <c r="R32" s="32">
        <f>IF((PA[[#This Row],[String Type(If String BD)]]&amp;PA[[#This Row],[Equipment (If any BD other than PV  array and inv)]])="",1,0)</f>
        <v>1</v>
      </c>
      <c r="S32" s="32">
        <f>IF(PA[[#This Row],[String Type(If String BD)]]="",1,0)</f>
        <v>1</v>
      </c>
      <c r="T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" s="35" t="str">
        <f>IFERROR(_xlfn.XLOOKUP(PA[[#This Row],[Affected Equipment ]],'Basic Data'!N:N,'Basic Data'!Q:Q),"")</f>
        <v/>
      </c>
      <c r="V32" s="305" t="str">
        <f>IFERROR(_xlfn.XLOOKUP(PA[[#This Row],[Affected Equipment ]],'Basic Data'!N:N,'Basic Data'!R:R),"")</f>
        <v/>
      </c>
      <c r="W32" s="36" t="s">
        <v>240</v>
      </c>
      <c r="X32" s="40"/>
      <c r="Y32" s="40" t="s">
        <v>317</v>
      </c>
      <c r="Z32" s="46">
        <v>0.49513888888888891</v>
      </c>
      <c r="AA32" s="42">
        <v>0.49513888888888891</v>
      </c>
      <c r="AB32" s="306">
        <v>0.49513888888888891</v>
      </c>
      <c r="AC32" s="46">
        <v>0.55208333333333337</v>
      </c>
      <c r="AD32" s="44">
        <f>IF(PA[[#This Row],[Acknowledgement Time ]]="NA","",(PA[[#This Row],[Acknowledgement Time ]]-PA[[#This Row],[Fault Time]])*24)</f>
        <v>0</v>
      </c>
      <c r="AE32" s="44">
        <f>IF(PA[[#This Row],[Work Start time on Fault]]="NA","",(PA[[#This Row],[Work Start time on Fault]]-PA[[#This Row],[Fault Time]])*24)</f>
        <v>0</v>
      </c>
      <c r="AF32" s="45">
        <f>IF(PA[[#This Row],[Status]]="Open","",(PA[[#This Row],[Work Completion time on fault]]-PA[[#This Row],[Fault Time]])*24)</f>
        <v>1.3666666666666671</v>
      </c>
      <c r="AG32" s="44">
        <f>IFERROR((PA[[#This Row],[Work Completion time on fault]]-PA[[#This Row],[Fault Time]])*24,"")</f>
        <v>1.3666666666666671</v>
      </c>
      <c r="AH32" s="36" t="s">
        <v>318</v>
      </c>
      <c r="AI32" s="33" t="s">
        <v>235</v>
      </c>
      <c r="AJ32" s="35" t="str">
        <f>IFERROR(PA[[#This Row],[Breakdown Time]]*PA[[#This Row],[Plant Equivalent Weightage]],"")</f>
        <v/>
      </c>
      <c r="AK32" s="36">
        <v>1.3017003466666666</v>
      </c>
      <c r="AL32" s="51" t="str">
        <f>IFERROR((_xlfn.XLOOKUP($G32,'Modelling New'!D:D,'Modelling New'!$O:$O)*PA[[#This Row],[Lost PoA(kWh/m2)]]*PA[[#This Row],[DC Capacity Affected (kW)]]),"")</f>
        <v/>
      </c>
      <c r="AM32" s="33"/>
      <c r="AN32" s="33"/>
      <c r="AO32" s="37"/>
      <c r="AP32" s="37"/>
    </row>
    <row r="33" spans="1:42">
      <c r="A33" s="30">
        <v>32</v>
      </c>
      <c r="B33" s="304"/>
      <c r="C33" s="307">
        <f>YEAR(PA[[#This Row],[Date]])+IF(MONTH(PA[[#This Row],[Date]])&gt;=4,1,0)</f>
        <v>1900</v>
      </c>
      <c r="D33" s="32">
        <f>YEAR(PA[[#This Row],[Date]])</f>
        <v>1900</v>
      </c>
      <c r="E33" s="33" t="s">
        <v>157</v>
      </c>
      <c r="F33" s="33" t="s">
        <v>157</v>
      </c>
      <c r="G33" s="194">
        <f>PA[[#This Row],[Date]]-DAY(PA[[#This Row],[Date]])+1</f>
        <v>1</v>
      </c>
      <c r="H33" s="32">
        <f>DAY(EOMONTH(PA[[#This Row],[Month Year]],0))</f>
        <v>31</v>
      </c>
      <c r="I33" s="121"/>
      <c r="J33" s="121"/>
      <c r="K33" s="35">
        <f>IFERROR((PA[[#This Row],[Sunset Time (POA&lt;20 W/m2)]]-PA[[#This Row],[Sunrise Time (POA&gt;20 W/m2)]])*24,"")</f>
        <v>0</v>
      </c>
      <c r="L33" s="33"/>
      <c r="M33" s="33"/>
      <c r="N33" s="33"/>
      <c r="O33" s="36"/>
      <c r="P33" s="36"/>
      <c r="Q33" s="33"/>
      <c r="R33" s="32">
        <f>IF((PA[[#This Row],[String Type(If String BD)]]&amp;PA[[#This Row],[Equipment (If any BD other than PV  array and inv)]])="",1,0)</f>
        <v>1</v>
      </c>
      <c r="S33" s="32">
        <f>IF(PA[[#This Row],[String Type(If String BD)]]="",1,0)</f>
        <v>1</v>
      </c>
      <c r="T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" s="35" t="str">
        <f>IFERROR(_xlfn.XLOOKUP(PA[[#This Row],[Affected Equipment ]],'Basic Data'!N:N,'Basic Data'!Q:Q),"")</f>
        <v/>
      </c>
      <c r="V33" s="305" t="str">
        <f>IFERROR(_xlfn.XLOOKUP(PA[[#This Row],[Affected Equipment ]],'Basic Data'!N:N,'Basic Data'!R:R),"")</f>
        <v/>
      </c>
      <c r="W33" s="36" t="s">
        <v>240</v>
      </c>
      <c r="X33" s="40"/>
      <c r="Y33" s="40" t="s">
        <v>317</v>
      </c>
      <c r="Z33" s="46">
        <v>0.60138888888888886</v>
      </c>
      <c r="AA33" s="42">
        <v>0.60138888888888886</v>
      </c>
      <c r="AB33" s="306">
        <v>0.60138888888888886</v>
      </c>
      <c r="AC33" s="46">
        <v>0.66388888888888886</v>
      </c>
      <c r="AD33" s="44">
        <f>IF(PA[[#This Row],[Acknowledgement Time ]]="NA","",(PA[[#This Row],[Acknowledgement Time ]]-PA[[#This Row],[Fault Time]])*24)</f>
        <v>0</v>
      </c>
      <c r="AE33" s="44">
        <f>IF(PA[[#This Row],[Work Start time on Fault]]="NA","",(PA[[#This Row],[Work Start time on Fault]]-PA[[#This Row],[Fault Time]])*24)</f>
        <v>0</v>
      </c>
      <c r="AF33" s="45">
        <f>IF(PA[[#This Row],[Status]]="Open","",(PA[[#This Row],[Work Completion time on fault]]-PA[[#This Row],[Fault Time]])*24)</f>
        <v>1.5</v>
      </c>
      <c r="AG33" s="44">
        <f>IFERROR((PA[[#This Row],[Work Completion time on fault]]-PA[[#This Row],[Fault Time]])*24,"")</f>
        <v>1.5</v>
      </c>
      <c r="AH33" s="36" t="s">
        <v>318</v>
      </c>
      <c r="AI33" s="33" t="s">
        <v>235</v>
      </c>
      <c r="AJ33" s="35" t="str">
        <f>IFERROR(PA[[#This Row],[Breakdown Time]]*PA[[#This Row],[Plant Equivalent Weightage]],"")</f>
        <v/>
      </c>
      <c r="AK33" s="36">
        <v>0.81630319833333331</v>
      </c>
      <c r="AL33" s="51" t="str">
        <f>IFERROR((_xlfn.XLOOKUP($G33,'Modelling New'!D:D,'Modelling New'!$O:$O)*PA[[#This Row],[Lost PoA(kWh/m2)]]*PA[[#This Row],[DC Capacity Affected (kW)]]),"")</f>
        <v/>
      </c>
      <c r="AM33" s="33"/>
      <c r="AN33" s="33"/>
      <c r="AO33" s="37"/>
      <c r="AP33" s="37"/>
    </row>
    <row r="34" spans="1:42">
      <c r="A34" s="30">
        <v>33</v>
      </c>
      <c r="B34" s="304"/>
      <c r="C34" s="307">
        <f>YEAR(PA[[#This Row],[Date]])+IF(MONTH(PA[[#This Row],[Date]])&gt;=4,1,0)</f>
        <v>1900</v>
      </c>
      <c r="D34" s="32">
        <f>YEAR(PA[[#This Row],[Date]])</f>
        <v>1900</v>
      </c>
      <c r="E34" s="33" t="s">
        <v>157</v>
      </c>
      <c r="F34" s="33" t="s">
        <v>157</v>
      </c>
      <c r="G34" s="194">
        <f>PA[[#This Row],[Date]]-DAY(PA[[#This Row],[Date]])+1</f>
        <v>1</v>
      </c>
      <c r="H34" s="32">
        <f>DAY(EOMONTH(PA[[#This Row],[Month Year]],0))</f>
        <v>31</v>
      </c>
      <c r="I34" s="121"/>
      <c r="J34" s="121"/>
      <c r="K34" s="35">
        <f>IFERROR((PA[[#This Row],[Sunset Time (POA&lt;20 W/m2)]]-PA[[#This Row],[Sunrise Time (POA&gt;20 W/m2)]])*24,"")</f>
        <v>0</v>
      </c>
      <c r="L34" s="33"/>
      <c r="M34" s="33"/>
      <c r="N34" s="33"/>
      <c r="O34" s="36"/>
      <c r="P34" s="36"/>
      <c r="Q34" s="33"/>
      <c r="R34" s="32">
        <f>IF((PA[[#This Row],[String Type(If String BD)]]&amp;PA[[#This Row],[Equipment (If any BD other than PV  array and inv)]])="",1,0)</f>
        <v>1</v>
      </c>
      <c r="S34" s="32">
        <f>IF(PA[[#This Row],[String Type(If String BD)]]="",1,0)</f>
        <v>1</v>
      </c>
      <c r="T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" s="35" t="str">
        <f>IFERROR(_xlfn.XLOOKUP(PA[[#This Row],[Affected Equipment ]],'Basic Data'!N:N,'Basic Data'!Q:Q),"")</f>
        <v/>
      </c>
      <c r="V34" s="305" t="str">
        <f>IFERROR(_xlfn.XLOOKUP(PA[[#This Row],[Affected Equipment ]],'Basic Data'!N:N,'Basic Data'!R:R),"")</f>
        <v/>
      </c>
      <c r="W34" s="36" t="s">
        <v>240</v>
      </c>
      <c r="X34" s="40"/>
      <c r="Y34" s="40" t="s">
        <v>316</v>
      </c>
      <c r="Z34" s="46">
        <v>0.25694444444444442</v>
      </c>
      <c r="AA34" s="42">
        <v>0.25694444444444442</v>
      </c>
      <c r="AB34" s="306">
        <v>0.25694444444444442</v>
      </c>
      <c r="AC34" s="46">
        <v>0.76944444444444449</v>
      </c>
      <c r="AD34" s="44">
        <f>IF(PA[[#This Row],[Acknowledgement Time ]]="NA","",(PA[[#This Row],[Acknowledgement Time ]]-PA[[#This Row],[Fault Time]])*24)</f>
        <v>0</v>
      </c>
      <c r="AE34" s="44">
        <f>IF(PA[[#This Row],[Work Start time on Fault]]="NA","",(PA[[#This Row],[Work Start time on Fault]]-PA[[#This Row],[Fault Time]])*24)</f>
        <v>0</v>
      </c>
      <c r="AF34" s="45">
        <f>IF(PA[[#This Row],[Status]]="Open","",(PA[[#This Row],[Work Completion time on fault]]-PA[[#This Row],[Fault Time]])*24)</f>
        <v>12.3</v>
      </c>
      <c r="AG34" s="44">
        <f>IFERROR((PA[[#This Row],[Work Completion time on fault]]-PA[[#This Row],[Fault Time]])*24,"")</f>
        <v>12.3</v>
      </c>
      <c r="AH34" s="36" t="s">
        <v>251</v>
      </c>
      <c r="AI34" s="33" t="s">
        <v>235</v>
      </c>
      <c r="AJ34" s="35" t="str">
        <f>IFERROR(PA[[#This Row],[Breakdown Time]]*PA[[#This Row],[Plant Equivalent Weightage]],"")</f>
        <v/>
      </c>
      <c r="AK34" s="36">
        <v>6.79</v>
      </c>
      <c r="AL34" s="51" t="str">
        <f>IFERROR((_xlfn.XLOOKUP($G34,'Modelling New'!D:D,'Modelling New'!$O:$O)*PA[[#This Row],[Lost PoA(kWh/m2)]]*PA[[#This Row],[DC Capacity Affected (kW)]]),"")</f>
        <v/>
      </c>
      <c r="AM34" s="33"/>
      <c r="AN34" s="33"/>
      <c r="AO34" s="37"/>
      <c r="AP34" s="37"/>
    </row>
    <row r="35" spans="1:42">
      <c r="A35" s="30">
        <v>34</v>
      </c>
      <c r="B35" s="304"/>
      <c r="C35" s="307">
        <f>YEAR(PA[[#This Row],[Date]])+IF(MONTH(PA[[#This Row],[Date]])&gt;=4,1,0)</f>
        <v>1900</v>
      </c>
      <c r="D35" s="32">
        <f>YEAR(PA[[#This Row],[Date]])</f>
        <v>1900</v>
      </c>
      <c r="E35" s="33" t="s">
        <v>157</v>
      </c>
      <c r="F35" s="33" t="s">
        <v>157</v>
      </c>
      <c r="G35" s="194">
        <f>PA[[#This Row],[Date]]-DAY(PA[[#This Row],[Date]])+1</f>
        <v>1</v>
      </c>
      <c r="H35" s="32">
        <f>DAY(EOMONTH(PA[[#This Row],[Month Year]],0))</f>
        <v>31</v>
      </c>
      <c r="I35" s="121"/>
      <c r="J35" s="121"/>
      <c r="K35" s="35">
        <f>IFERROR((PA[[#This Row],[Sunset Time (POA&lt;20 W/m2)]]-PA[[#This Row],[Sunrise Time (POA&gt;20 W/m2)]])*24,"")</f>
        <v>0</v>
      </c>
      <c r="L35" s="33"/>
      <c r="M35" s="33"/>
      <c r="N35" s="33"/>
      <c r="O35" s="36"/>
      <c r="P35" s="36"/>
      <c r="Q35" s="33"/>
      <c r="R35" s="32">
        <f>IF((PA[[#This Row],[String Type(If String BD)]]&amp;PA[[#This Row],[Equipment (If any BD other than PV  array and inv)]])="",1,0)</f>
        <v>1</v>
      </c>
      <c r="S35" s="32">
        <f>IF(PA[[#This Row],[String Type(If String BD)]]="",1,0)</f>
        <v>1</v>
      </c>
      <c r="T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" s="35" t="str">
        <f>IFERROR(_xlfn.XLOOKUP(PA[[#This Row],[Affected Equipment ]],'Basic Data'!N:N,'Basic Data'!Q:Q),"")</f>
        <v/>
      </c>
      <c r="V35" s="305" t="str">
        <f>IFERROR(_xlfn.XLOOKUP(PA[[#This Row],[Affected Equipment ]],'Basic Data'!N:N,'Basic Data'!R:R),"")</f>
        <v/>
      </c>
      <c r="W35" s="36" t="s">
        <v>240</v>
      </c>
      <c r="X35" s="40"/>
      <c r="Y35" s="40" t="s">
        <v>319</v>
      </c>
      <c r="Z35" s="46">
        <v>0.25694444444444442</v>
      </c>
      <c r="AA35" s="42">
        <v>0.25694444444444442</v>
      </c>
      <c r="AB35" s="306">
        <v>0.25694444444444442</v>
      </c>
      <c r="AC35" s="46">
        <v>0.76944444444444449</v>
      </c>
      <c r="AD35" s="44">
        <f>IF(PA[[#This Row],[Acknowledgement Time ]]="NA","",(PA[[#This Row],[Acknowledgement Time ]]-PA[[#This Row],[Fault Time]])*24)</f>
        <v>0</v>
      </c>
      <c r="AE35" s="44">
        <f>IF(PA[[#This Row],[Work Start time on Fault]]="NA","",(PA[[#This Row],[Work Start time on Fault]]-PA[[#This Row],[Fault Time]])*24)</f>
        <v>0</v>
      </c>
      <c r="AF35" s="45">
        <f>IF(PA[[#This Row],[Status]]="Open","",(PA[[#This Row],[Work Completion time on fault]]-PA[[#This Row],[Fault Time]])*24)</f>
        <v>12.3</v>
      </c>
      <c r="AG35" s="44">
        <f>IFERROR((PA[[#This Row],[Work Completion time on fault]]-PA[[#This Row],[Fault Time]])*24,"")</f>
        <v>12.3</v>
      </c>
      <c r="AH35" s="36" t="s">
        <v>251</v>
      </c>
      <c r="AI35" s="33" t="s">
        <v>235</v>
      </c>
      <c r="AJ35" s="35" t="str">
        <f>IFERROR(PA[[#This Row],[Breakdown Time]]*PA[[#This Row],[Plant Equivalent Weightage]],"")</f>
        <v/>
      </c>
      <c r="AK35" s="36">
        <v>6.79</v>
      </c>
      <c r="AL35" s="51" t="str">
        <f>IFERROR((_xlfn.XLOOKUP($G35,'Modelling New'!D:D,'Modelling New'!$O:$O)*PA[[#This Row],[Lost PoA(kWh/m2)]]*PA[[#This Row],[DC Capacity Affected (kW)]]),"")</f>
        <v/>
      </c>
      <c r="AM35" s="33"/>
      <c r="AN35" s="33"/>
      <c r="AO35" s="37"/>
      <c r="AP35" s="37"/>
    </row>
    <row r="36" spans="1:42">
      <c r="A36" s="30">
        <v>35</v>
      </c>
      <c r="B36" s="304"/>
      <c r="C36" s="307">
        <f>YEAR(PA[[#This Row],[Date]])+IF(MONTH(PA[[#This Row],[Date]])&gt;=4,1,0)</f>
        <v>1900</v>
      </c>
      <c r="D36" s="32">
        <f>YEAR(PA[[#This Row],[Date]])</f>
        <v>1900</v>
      </c>
      <c r="E36" s="33" t="s">
        <v>157</v>
      </c>
      <c r="F36" s="33" t="s">
        <v>157</v>
      </c>
      <c r="G36" s="194">
        <f>PA[[#This Row],[Date]]-DAY(PA[[#This Row],[Date]])+1</f>
        <v>1</v>
      </c>
      <c r="H36" s="32">
        <f>DAY(EOMONTH(PA[[#This Row],[Month Year]],0))</f>
        <v>31</v>
      </c>
      <c r="I36" s="121"/>
      <c r="J36" s="121"/>
      <c r="K36" s="35">
        <f>IFERROR((PA[[#This Row],[Sunset Time (POA&lt;20 W/m2)]]-PA[[#This Row],[Sunrise Time (POA&gt;20 W/m2)]])*24,"")</f>
        <v>0</v>
      </c>
      <c r="L36" s="33"/>
      <c r="M36" s="33"/>
      <c r="N36" s="33"/>
      <c r="O36" s="36"/>
      <c r="P36" s="36"/>
      <c r="Q36" s="33"/>
      <c r="R36" s="32">
        <f>IF((PA[[#This Row],[String Type(If String BD)]]&amp;PA[[#This Row],[Equipment (If any BD other than PV  array and inv)]])="",1,0)</f>
        <v>1</v>
      </c>
      <c r="S36" s="32">
        <f>IF(PA[[#This Row],[String Type(If String BD)]]="",1,0)</f>
        <v>1</v>
      </c>
      <c r="T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" s="35" t="str">
        <f>IFERROR(_xlfn.XLOOKUP(PA[[#This Row],[Affected Equipment ]],'Basic Data'!N:N,'Basic Data'!Q:Q),"")</f>
        <v/>
      </c>
      <c r="V36" s="305" t="str">
        <f>IFERROR(_xlfn.XLOOKUP(PA[[#This Row],[Affected Equipment ]],'Basic Data'!N:N,'Basic Data'!R:R),"")</f>
        <v/>
      </c>
      <c r="W36" s="36" t="s">
        <v>312</v>
      </c>
      <c r="X36" s="40"/>
      <c r="Y36" s="40" t="s">
        <v>289</v>
      </c>
      <c r="Z36" s="46">
        <v>0.25694444444444442</v>
      </c>
      <c r="AA36" s="42">
        <v>0.25694444444444442</v>
      </c>
      <c r="AB36" s="306">
        <v>0.25694444444444442</v>
      </c>
      <c r="AC36" s="46">
        <v>0.67013888888888884</v>
      </c>
      <c r="AD36" s="44">
        <f>IF(PA[[#This Row],[Acknowledgement Time ]]="NA","",(PA[[#This Row],[Acknowledgement Time ]]-PA[[#This Row],[Fault Time]])*24)</f>
        <v>0</v>
      </c>
      <c r="AE36" s="44">
        <f>IF(PA[[#This Row],[Work Start time on Fault]]="NA","",(PA[[#This Row],[Work Start time on Fault]]-PA[[#This Row],[Fault Time]])*24)</f>
        <v>0</v>
      </c>
      <c r="AF36" s="45">
        <f>IF(PA[[#This Row],[Status]]="Open","",(PA[[#This Row],[Work Completion time on fault]]-PA[[#This Row],[Fault Time]])*24)</f>
        <v>9.9166666666666661</v>
      </c>
      <c r="AG36" s="44">
        <f>IFERROR((PA[[#This Row],[Work Completion time on fault]]-PA[[#This Row],[Fault Time]])*24,"")</f>
        <v>9.9166666666666661</v>
      </c>
      <c r="AH36" s="36" t="s">
        <v>290</v>
      </c>
      <c r="AI36" s="33" t="s">
        <v>235</v>
      </c>
      <c r="AJ36" s="35" t="str">
        <f>IFERROR(PA[[#This Row],[Breakdown Time]]*PA[[#This Row],[Plant Equivalent Weightage]],"")</f>
        <v/>
      </c>
      <c r="AK36" s="36">
        <v>6.2793905216666666</v>
      </c>
      <c r="AL36" s="51" t="str">
        <f>IFERROR((_xlfn.XLOOKUP($G36,'Modelling New'!D:D,'Modelling New'!$O:$O)*PA[[#This Row],[Lost PoA(kWh/m2)]]*PA[[#This Row],[DC Capacity Affected (kW)]]),"")</f>
        <v/>
      </c>
      <c r="AM36" s="33"/>
      <c r="AN36" s="33"/>
      <c r="AO36" s="37"/>
      <c r="AP36" s="37"/>
    </row>
    <row r="37" spans="1:42">
      <c r="A37" s="30">
        <v>36</v>
      </c>
      <c r="B37" s="304"/>
      <c r="C37" s="307">
        <f>YEAR(PA[[#This Row],[Date]])+IF(MONTH(PA[[#This Row],[Date]])&gt;=4,1,0)</f>
        <v>1900</v>
      </c>
      <c r="D37" s="32">
        <f>YEAR(PA[[#This Row],[Date]])</f>
        <v>1900</v>
      </c>
      <c r="E37" s="33" t="s">
        <v>157</v>
      </c>
      <c r="F37" s="33" t="s">
        <v>157</v>
      </c>
      <c r="G37" s="194">
        <f>PA[[#This Row],[Date]]-DAY(PA[[#This Row],[Date]])+1</f>
        <v>1</v>
      </c>
      <c r="H37" s="32">
        <f>DAY(EOMONTH(PA[[#This Row],[Month Year]],0))</f>
        <v>31</v>
      </c>
      <c r="I37" s="121"/>
      <c r="J37" s="121"/>
      <c r="K37" s="35">
        <f>IFERROR((PA[[#This Row],[Sunset Time (POA&lt;20 W/m2)]]-PA[[#This Row],[Sunrise Time (POA&gt;20 W/m2)]])*24,"")</f>
        <v>0</v>
      </c>
      <c r="L37" s="33"/>
      <c r="M37" s="33"/>
      <c r="N37" s="33"/>
      <c r="O37" s="36"/>
      <c r="P37" s="36"/>
      <c r="Q37" s="33"/>
      <c r="R37" s="32">
        <f>IF((PA[[#This Row],[String Type(If String BD)]]&amp;PA[[#This Row],[Equipment (If any BD other than PV  array and inv)]])="",1,0)</f>
        <v>1</v>
      </c>
      <c r="S37" s="32">
        <f>IF(PA[[#This Row],[String Type(If String BD)]]="",1,0)</f>
        <v>1</v>
      </c>
      <c r="T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" s="35" t="str">
        <f>IFERROR(_xlfn.XLOOKUP(PA[[#This Row],[Affected Equipment ]],'Basic Data'!N:N,'Basic Data'!Q:Q),"")</f>
        <v/>
      </c>
      <c r="V37" s="305" t="str">
        <f>IFERROR(_xlfn.XLOOKUP(PA[[#This Row],[Affected Equipment ]],'Basic Data'!N:N,'Basic Data'!R:R),"")</f>
        <v/>
      </c>
      <c r="W37" s="36" t="s">
        <v>312</v>
      </c>
      <c r="X37" s="40"/>
      <c r="Y37" s="40" t="s">
        <v>289</v>
      </c>
      <c r="Z37" s="46">
        <v>0.25694444444444442</v>
      </c>
      <c r="AA37" s="42">
        <v>0.25694444444444442</v>
      </c>
      <c r="AB37" s="306">
        <v>0.25694444444444442</v>
      </c>
      <c r="AC37" s="46">
        <v>0.67500000000000004</v>
      </c>
      <c r="AD37" s="44">
        <f>IF(PA[[#This Row],[Acknowledgement Time ]]="NA","",(PA[[#This Row],[Acknowledgement Time ]]-PA[[#This Row],[Fault Time]])*24)</f>
        <v>0</v>
      </c>
      <c r="AE37" s="44">
        <f>IF(PA[[#This Row],[Work Start time on Fault]]="NA","",(PA[[#This Row],[Work Start time on Fault]]-PA[[#This Row],[Fault Time]])*24)</f>
        <v>0</v>
      </c>
      <c r="AF37" s="45">
        <f>IF(PA[[#This Row],[Status]]="Open","",(PA[[#This Row],[Work Completion time on fault]]-PA[[#This Row],[Fault Time]])*24)</f>
        <v>10.033333333333335</v>
      </c>
      <c r="AG37" s="44">
        <f>IFERROR((PA[[#This Row],[Work Completion time on fault]]-PA[[#This Row],[Fault Time]])*24,"")</f>
        <v>10.033333333333335</v>
      </c>
      <c r="AH37" s="36" t="s">
        <v>290</v>
      </c>
      <c r="AI37" s="33" t="s">
        <v>235</v>
      </c>
      <c r="AJ37" s="35" t="str">
        <f>IFERROR(PA[[#This Row],[Breakdown Time]]*PA[[#This Row],[Plant Equivalent Weightage]],"")</f>
        <v/>
      </c>
      <c r="AK37" s="36">
        <v>6.3335369399999992</v>
      </c>
      <c r="AL37" s="51" t="str">
        <f>IFERROR((_xlfn.XLOOKUP($G37,'Modelling New'!D:D,'Modelling New'!$O:$O)*PA[[#This Row],[Lost PoA(kWh/m2)]]*PA[[#This Row],[DC Capacity Affected (kW)]]),"")</f>
        <v/>
      </c>
      <c r="AM37" s="33"/>
      <c r="AN37" s="33"/>
      <c r="AO37" s="37"/>
      <c r="AP37" s="37"/>
    </row>
    <row r="38" spans="1:42">
      <c r="A38" s="30">
        <v>37</v>
      </c>
      <c r="B38" s="304"/>
      <c r="C38" s="307">
        <f>YEAR(PA[[#This Row],[Date]])+IF(MONTH(PA[[#This Row],[Date]])&gt;=4,1,0)</f>
        <v>1900</v>
      </c>
      <c r="D38" s="32">
        <f>YEAR(PA[[#This Row],[Date]])</f>
        <v>1900</v>
      </c>
      <c r="E38" s="33" t="s">
        <v>157</v>
      </c>
      <c r="F38" s="33" t="s">
        <v>157</v>
      </c>
      <c r="G38" s="194">
        <f>PA[[#This Row],[Date]]-DAY(PA[[#This Row],[Date]])+1</f>
        <v>1</v>
      </c>
      <c r="H38" s="32">
        <f>DAY(EOMONTH(PA[[#This Row],[Month Year]],0))</f>
        <v>31</v>
      </c>
      <c r="I38" s="121"/>
      <c r="J38" s="121"/>
      <c r="K38" s="35">
        <f>IFERROR((PA[[#This Row],[Sunset Time (POA&lt;20 W/m2)]]-PA[[#This Row],[Sunrise Time (POA&gt;20 W/m2)]])*24,"")</f>
        <v>0</v>
      </c>
      <c r="L38" s="33"/>
      <c r="M38" s="33"/>
      <c r="N38" s="33"/>
      <c r="O38" s="36"/>
      <c r="P38" s="36"/>
      <c r="Q38" s="33"/>
      <c r="R38" s="32">
        <f>IF((PA[[#This Row],[String Type(If String BD)]]&amp;PA[[#This Row],[Equipment (If any BD other than PV  array and inv)]])="",1,0)</f>
        <v>1</v>
      </c>
      <c r="S38" s="32">
        <f>IF(PA[[#This Row],[String Type(If String BD)]]="",1,0)</f>
        <v>1</v>
      </c>
      <c r="T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" s="35" t="str">
        <f>IFERROR(_xlfn.XLOOKUP(PA[[#This Row],[Affected Equipment ]],'Basic Data'!N:N,'Basic Data'!Q:Q),"")</f>
        <v/>
      </c>
      <c r="V38" s="305" t="str">
        <f>IFERROR(_xlfn.XLOOKUP(PA[[#This Row],[Affected Equipment ]],'Basic Data'!N:N,'Basic Data'!R:R),"")</f>
        <v/>
      </c>
      <c r="W38" s="36" t="s">
        <v>312</v>
      </c>
      <c r="X38" s="40"/>
      <c r="Y38" s="40" t="s">
        <v>289</v>
      </c>
      <c r="Z38" s="46">
        <v>0.25694444444444442</v>
      </c>
      <c r="AA38" s="42">
        <v>0.25694444444444442</v>
      </c>
      <c r="AB38" s="306">
        <v>0.25694444444444442</v>
      </c>
      <c r="AC38" s="46">
        <v>0.68472222222222223</v>
      </c>
      <c r="AD38" s="44">
        <f>IF(PA[[#This Row],[Acknowledgement Time ]]="NA","",(PA[[#This Row],[Acknowledgement Time ]]-PA[[#This Row],[Fault Time]])*24)</f>
        <v>0</v>
      </c>
      <c r="AE38" s="44">
        <f>IF(PA[[#This Row],[Work Start time on Fault]]="NA","",(PA[[#This Row],[Work Start time on Fault]]-PA[[#This Row],[Fault Time]])*24)</f>
        <v>0</v>
      </c>
      <c r="AF38" s="45">
        <f>IF(PA[[#This Row],[Status]]="Open","",(PA[[#This Row],[Work Completion time on fault]]-PA[[#This Row],[Fault Time]])*24)</f>
        <v>10.266666666666667</v>
      </c>
      <c r="AG38" s="44">
        <f>IFERROR((PA[[#This Row],[Work Completion time on fault]]-PA[[#This Row],[Fault Time]])*24,"")</f>
        <v>10.266666666666667</v>
      </c>
      <c r="AH38" s="36" t="s">
        <v>290</v>
      </c>
      <c r="AI38" s="33" t="s">
        <v>235</v>
      </c>
      <c r="AJ38" s="35" t="str">
        <f>IFERROR(PA[[#This Row],[Breakdown Time]]*PA[[#This Row],[Plant Equivalent Weightage]],"")</f>
        <v/>
      </c>
      <c r="AK38" s="36">
        <v>6.427634741666667</v>
      </c>
      <c r="AL38" s="51" t="str">
        <f>IFERROR((_xlfn.XLOOKUP($G38,'Modelling New'!D:D,'Modelling New'!$O:$O)*PA[[#This Row],[Lost PoA(kWh/m2)]]*PA[[#This Row],[DC Capacity Affected (kW)]]),"")</f>
        <v/>
      </c>
      <c r="AM38" s="33"/>
      <c r="AN38" s="33"/>
      <c r="AO38" s="37"/>
      <c r="AP38" s="37"/>
    </row>
    <row r="39" spans="1:42">
      <c r="A39" s="30">
        <v>38</v>
      </c>
      <c r="B39" s="304"/>
      <c r="C39" s="307">
        <f>YEAR(PA[[#This Row],[Date]])+IF(MONTH(PA[[#This Row],[Date]])&gt;=4,1,0)</f>
        <v>1900</v>
      </c>
      <c r="D39" s="32">
        <f>YEAR(PA[[#This Row],[Date]])</f>
        <v>1900</v>
      </c>
      <c r="E39" s="33" t="s">
        <v>157</v>
      </c>
      <c r="F39" s="33" t="s">
        <v>157</v>
      </c>
      <c r="G39" s="194">
        <f>PA[[#This Row],[Date]]-DAY(PA[[#This Row],[Date]])+1</f>
        <v>1</v>
      </c>
      <c r="H39" s="32">
        <f>DAY(EOMONTH(PA[[#This Row],[Month Year]],0))</f>
        <v>31</v>
      </c>
      <c r="I39" s="121"/>
      <c r="J39" s="121"/>
      <c r="K39" s="35">
        <f>IFERROR((PA[[#This Row],[Sunset Time (POA&lt;20 W/m2)]]-PA[[#This Row],[Sunrise Time (POA&gt;20 W/m2)]])*24,"")</f>
        <v>0</v>
      </c>
      <c r="L39" s="33"/>
      <c r="M39" s="33"/>
      <c r="N39" s="33"/>
      <c r="O39" s="36"/>
      <c r="P39" s="36"/>
      <c r="Q39" s="33"/>
      <c r="R39" s="32">
        <f>IF((PA[[#This Row],[String Type(If String BD)]]&amp;PA[[#This Row],[Equipment (If any BD other than PV  array and inv)]])="",1,0)</f>
        <v>1</v>
      </c>
      <c r="S39" s="32">
        <f>IF(PA[[#This Row],[String Type(If String BD)]]="",1,0)</f>
        <v>1</v>
      </c>
      <c r="T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" s="35" t="str">
        <f>IFERROR(_xlfn.XLOOKUP(PA[[#This Row],[Affected Equipment ]],'Basic Data'!N:N,'Basic Data'!Q:Q),"")</f>
        <v/>
      </c>
      <c r="V39" s="305" t="str">
        <f>IFERROR(_xlfn.XLOOKUP(PA[[#This Row],[Affected Equipment ]],'Basic Data'!N:N,'Basic Data'!R:R),"")</f>
        <v/>
      </c>
      <c r="W39" s="36" t="s">
        <v>312</v>
      </c>
      <c r="X39" s="40"/>
      <c r="Y39" s="40" t="s">
        <v>316</v>
      </c>
      <c r="Z39" s="46">
        <v>0.25694444444444442</v>
      </c>
      <c r="AA39" s="42">
        <v>0.25694444444444442</v>
      </c>
      <c r="AB39" s="306">
        <v>0.25694444444444442</v>
      </c>
      <c r="AC39" s="46">
        <v>0.72152777777777777</v>
      </c>
      <c r="AD39" s="44">
        <f>IF(PA[[#This Row],[Acknowledgement Time ]]="NA","",(PA[[#This Row],[Acknowledgement Time ]]-PA[[#This Row],[Fault Time]])*24)</f>
        <v>0</v>
      </c>
      <c r="AE39" s="44">
        <f>IF(PA[[#This Row],[Work Start time on Fault]]="NA","",(PA[[#This Row],[Work Start time on Fault]]-PA[[#This Row],[Fault Time]])*24)</f>
        <v>0</v>
      </c>
      <c r="AF39" s="45">
        <f>IF(PA[[#This Row],[Status]]="Open","",(PA[[#This Row],[Work Completion time on fault]]-PA[[#This Row],[Fault Time]])*24)</f>
        <v>11.15</v>
      </c>
      <c r="AG39" s="44">
        <f>IFERROR((PA[[#This Row],[Work Completion time on fault]]-PA[[#This Row],[Fault Time]])*24,"")</f>
        <v>11.15</v>
      </c>
      <c r="AH39" s="36" t="s">
        <v>251</v>
      </c>
      <c r="AI39" s="33" t="s">
        <v>235</v>
      </c>
      <c r="AJ39" s="35" t="str">
        <f>IFERROR(PA[[#This Row],[Breakdown Time]]*PA[[#This Row],[Plant Equivalent Weightage]],"")</f>
        <v/>
      </c>
      <c r="AK39" s="36">
        <v>5.79</v>
      </c>
      <c r="AL39" s="51" t="str">
        <f>IFERROR((_xlfn.XLOOKUP($G39,'Modelling New'!D:D,'Modelling New'!$O:$O)*PA[[#This Row],[Lost PoA(kWh/m2)]]*PA[[#This Row],[DC Capacity Affected (kW)]]),"")</f>
        <v/>
      </c>
      <c r="AM39" s="33"/>
      <c r="AN39" s="33"/>
      <c r="AO39" s="37"/>
      <c r="AP39" s="37"/>
    </row>
    <row r="40" spans="1:42">
      <c r="A40" s="30">
        <v>39</v>
      </c>
      <c r="B40" s="304"/>
      <c r="C40" s="307">
        <f>YEAR(PA[[#This Row],[Date]])+IF(MONTH(PA[[#This Row],[Date]])&gt;=4,1,0)</f>
        <v>1900</v>
      </c>
      <c r="D40" s="32">
        <f>YEAR(PA[[#This Row],[Date]])</f>
        <v>1900</v>
      </c>
      <c r="E40" s="33" t="s">
        <v>157</v>
      </c>
      <c r="F40" s="33" t="s">
        <v>157</v>
      </c>
      <c r="G40" s="194">
        <f>PA[[#This Row],[Date]]-DAY(PA[[#This Row],[Date]])+1</f>
        <v>1</v>
      </c>
      <c r="H40" s="32">
        <f>DAY(EOMONTH(PA[[#This Row],[Month Year]],0))</f>
        <v>31</v>
      </c>
      <c r="I40" s="121"/>
      <c r="J40" s="121"/>
      <c r="K40" s="35">
        <f>IFERROR((PA[[#This Row],[Sunset Time (POA&lt;20 W/m2)]]-PA[[#This Row],[Sunrise Time (POA&gt;20 W/m2)]])*24,"")</f>
        <v>0</v>
      </c>
      <c r="L40" s="33"/>
      <c r="M40" s="33"/>
      <c r="N40" s="33"/>
      <c r="O40" s="36"/>
      <c r="P40" s="36"/>
      <c r="Q40" s="33"/>
      <c r="R40" s="32">
        <f>IF((PA[[#This Row],[String Type(If String BD)]]&amp;PA[[#This Row],[Equipment (If any BD other than PV  array and inv)]])="",1,0)</f>
        <v>1</v>
      </c>
      <c r="S40" s="32">
        <f>IF(PA[[#This Row],[String Type(If String BD)]]="",1,0)</f>
        <v>1</v>
      </c>
      <c r="T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" s="35" t="str">
        <f>IFERROR(_xlfn.XLOOKUP(PA[[#This Row],[Affected Equipment ]],'Basic Data'!N:N,'Basic Data'!Q:Q),"")</f>
        <v/>
      </c>
      <c r="V40" s="305" t="str">
        <f>IFERROR(_xlfn.XLOOKUP(PA[[#This Row],[Affected Equipment ]],'Basic Data'!N:N,'Basic Data'!R:R),"")</f>
        <v/>
      </c>
      <c r="W40" s="36" t="s">
        <v>312</v>
      </c>
      <c r="X40" s="40"/>
      <c r="Y40" s="40" t="s">
        <v>319</v>
      </c>
      <c r="Z40" s="46">
        <v>0.25694444444444442</v>
      </c>
      <c r="AA40" s="42">
        <v>0.25694444444444442</v>
      </c>
      <c r="AB40" s="306">
        <v>0.25694444444444442</v>
      </c>
      <c r="AC40" s="46">
        <v>0.72152777777777777</v>
      </c>
      <c r="AD40" s="44">
        <f>IF(PA[[#This Row],[Acknowledgement Time ]]="NA","",(PA[[#This Row],[Acknowledgement Time ]]-PA[[#This Row],[Fault Time]])*24)</f>
        <v>0</v>
      </c>
      <c r="AE40" s="44">
        <f>IF(PA[[#This Row],[Work Start time on Fault]]="NA","",(PA[[#This Row],[Work Start time on Fault]]-PA[[#This Row],[Fault Time]])*24)</f>
        <v>0</v>
      </c>
      <c r="AF40" s="45">
        <f>IF(PA[[#This Row],[Status]]="Open","",(PA[[#This Row],[Work Completion time on fault]]-PA[[#This Row],[Fault Time]])*24)</f>
        <v>11.15</v>
      </c>
      <c r="AG40" s="44">
        <f>IFERROR((PA[[#This Row],[Work Completion time on fault]]-PA[[#This Row],[Fault Time]])*24,"")</f>
        <v>11.15</v>
      </c>
      <c r="AH40" s="36" t="s">
        <v>251</v>
      </c>
      <c r="AI40" s="33" t="s">
        <v>235</v>
      </c>
      <c r="AJ40" s="35" t="str">
        <f>IFERROR(PA[[#This Row],[Breakdown Time]]*PA[[#This Row],[Plant Equivalent Weightage]],"")</f>
        <v/>
      </c>
      <c r="AK40" s="36">
        <v>5.79</v>
      </c>
      <c r="AL40" s="51" t="str">
        <f>IFERROR((_xlfn.XLOOKUP($G40,'Modelling New'!D:D,'Modelling New'!$O:$O)*PA[[#This Row],[Lost PoA(kWh/m2)]]*PA[[#This Row],[DC Capacity Affected (kW)]]),"")</f>
        <v/>
      </c>
      <c r="AM40" s="33"/>
      <c r="AN40" s="33"/>
      <c r="AO40" s="37"/>
      <c r="AP40" s="37"/>
    </row>
    <row r="41" spans="1:42">
      <c r="A41" s="30">
        <v>40</v>
      </c>
      <c r="B41" s="304"/>
      <c r="C41" s="307">
        <f>YEAR(PA[[#This Row],[Date]])+IF(MONTH(PA[[#This Row],[Date]])&gt;=4,1,0)</f>
        <v>1900</v>
      </c>
      <c r="D41" s="32">
        <f>YEAR(PA[[#This Row],[Date]])</f>
        <v>1900</v>
      </c>
      <c r="E41" s="33" t="s">
        <v>157</v>
      </c>
      <c r="F41" s="33" t="s">
        <v>157</v>
      </c>
      <c r="G41" s="194">
        <f>PA[[#This Row],[Date]]-DAY(PA[[#This Row],[Date]])+1</f>
        <v>1</v>
      </c>
      <c r="H41" s="32">
        <f>DAY(EOMONTH(PA[[#This Row],[Month Year]],0))</f>
        <v>31</v>
      </c>
      <c r="I41" s="121"/>
      <c r="J41" s="121"/>
      <c r="K41" s="35">
        <f>IFERROR((PA[[#This Row],[Sunset Time (POA&lt;20 W/m2)]]-PA[[#This Row],[Sunrise Time (POA&gt;20 W/m2)]])*24,"")</f>
        <v>0</v>
      </c>
      <c r="L41" s="33"/>
      <c r="M41" s="33"/>
      <c r="N41" s="33"/>
      <c r="O41" s="36"/>
      <c r="P41" s="36"/>
      <c r="Q41" s="33"/>
      <c r="R41" s="32">
        <f>IF((PA[[#This Row],[String Type(If String BD)]]&amp;PA[[#This Row],[Equipment (If any BD other than PV  array and inv)]])="",1,0)</f>
        <v>1</v>
      </c>
      <c r="S41" s="32">
        <f>IF(PA[[#This Row],[String Type(If String BD)]]="",1,0)</f>
        <v>1</v>
      </c>
      <c r="T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" s="35" t="str">
        <f>IFERROR(_xlfn.XLOOKUP(PA[[#This Row],[Affected Equipment ]],'Basic Data'!N:N,'Basic Data'!Q:Q),"")</f>
        <v/>
      </c>
      <c r="V41" s="305" t="str">
        <f>IFERROR(_xlfn.XLOOKUP(PA[[#This Row],[Affected Equipment ]],'Basic Data'!N:N,'Basic Data'!R:R),"")</f>
        <v/>
      </c>
      <c r="W41" s="36" t="s">
        <v>240</v>
      </c>
      <c r="X41" s="40"/>
      <c r="Y41" s="40" t="s">
        <v>247</v>
      </c>
      <c r="Z41" s="46">
        <v>0.32847222222222222</v>
      </c>
      <c r="AA41" s="42">
        <v>0.32847222222222222</v>
      </c>
      <c r="AB41" s="306">
        <v>0.32847222222222222</v>
      </c>
      <c r="AC41" s="46">
        <v>0.38541666666666669</v>
      </c>
      <c r="AD41" s="44">
        <f>IF(PA[[#This Row],[Acknowledgement Time ]]="NA","",(PA[[#This Row],[Acknowledgement Time ]]-PA[[#This Row],[Fault Time]])*24)</f>
        <v>0</v>
      </c>
      <c r="AE41" s="44">
        <f>IF(PA[[#This Row],[Work Start time on Fault]]="NA","",(PA[[#This Row],[Work Start time on Fault]]-PA[[#This Row],[Fault Time]])*24)</f>
        <v>0</v>
      </c>
      <c r="AF41" s="45">
        <f>IF(PA[[#This Row],[Status]]="Open","",(PA[[#This Row],[Work Completion time on fault]]-PA[[#This Row],[Fault Time]])*24)</f>
        <v>1.3666666666666671</v>
      </c>
      <c r="AG41" s="44">
        <f>IFERROR((PA[[#This Row],[Work Completion time on fault]]-PA[[#This Row],[Fault Time]])*24,"")</f>
        <v>1.3666666666666671</v>
      </c>
      <c r="AH41" s="36" t="s">
        <v>248</v>
      </c>
      <c r="AI41" s="33" t="s">
        <v>235</v>
      </c>
      <c r="AJ41" s="35" t="str">
        <f>IFERROR(PA[[#This Row],[Breakdown Time]]*PA[[#This Row],[Plant Equivalent Weightage]],"")</f>
        <v/>
      </c>
      <c r="AK41" s="36">
        <v>0.80448330000000001</v>
      </c>
      <c r="AL41" s="51" t="str">
        <f>IFERROR((_xlfn.XLOOKUP($G41,'Modelling New'!D:D,'Modelling New'!$O:$O)*PA[[#This Row],[Lost PoA(kWh/m2)]]*PA[[#This Row],[DC Capacity Affected (kW)]]),"")</f>
        <v/>
      </c>
      <c r="AM41" s="33"/>
      <c r="AN41" s="33"/>
      <c r="AO41" s="37"/>
      <c r="AP41" s="37"/>
    </row>
    <row r="42" spans="1:42">
      <c r="A42" s="30">
        <v>41</v>
      </c>
      <c r="B42" s="304"/>
      <c r="C42" s="307">
        <f>YEAR(PA[[#This Row],[Date]])+IF(MONTH(PA[[#This Row],[Date]])&gt;=4,1,0)</f>
        <v>1900</v>
      </c>
      <c r="D42" s="32">
        <f>YEAR(PA[[#This Row],[Date]])</f>
        <v>1900</v>
      </c>
      <c r="E42" s="33" t="s">
        <v>157</v>
      </c>
      <c r="F42" s="33" t="s">
        <v>157</v>
      </c>
      <c r="G42" s="194">
        <f>PA[[#This Row],[Date]]-DAY(PA[[#This Row],[Date]])+1</f>
        <v>1</v>
      </c>
      <c r="H42" s="32">
        <f>DAY(EOMONTH(PA[[#This Row],[Month Year]],0))</f>
        <v>31</v>
      </c>
      <c r="I42" s="121"/>
      <c r="J42" s="121"/>
      <c r="K42" s="35">
        <f>IFERROR((PA[[#This Row],[Sunset Time (POA&lt;20 W/m2)]]-PA[[#This Row],[Sunrise Time (POA&gt;20 W/m2)]])*24,"")</f>
        <v>0</v>
      </c>
      <c r="L42" s="33"/>
      <c r="M42" s="33"/>
      <c r="N42" s="33"/>
      <c r="O42" s="36"/>
      <c r="P42" s="36"/>
      <c r="Q42" s="33"/>
      <c r="R42" s="32">
        <f>IF((PA[[#This Row],[String Type(If String BD)]]&amp;PA[[#This Row],[Equipment (If any BD other than PV  array and inv)]])="",1,0)</f>
        <v>1</v>
      </c>
      <c r="S42" s="32">
        <f>IF(PA[[#This Row],[String Type(If String BD)]]="",1,0)</f>
        <v>1</v>
      </c>
      <c r="T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" s="35" t="str">
        <f>IFERROR(_xlfn.XLOOKUP(PA[[#This Row],[Affected Equipment ]],'Basic Data'!N:N,'Basic Data'!Q:Q),"")</f>
        <v/>
      </c>
      <c r="V42" s="305" t="str">
        <f>IFERROR(_xlfn.XLOOKUP(PA[[#This Row],[Affected Equipment ]],'Basic Data'!N:N,'Basic Data'!R:R),"")</f>
        <v/>
      </c>
      <c r="W42" s="36" t="s">
        <v>240</v>
      </c>
      <c r="X42" s="40"/>
      <c r="Y42" s="40" t="s">
        <v>247</v>
      </c>
      <c r="Z42" s="46">
        <v>0.32361111111111113</v>
      </c>
      <c r="AA42" s="42">
        <v>0.32361111111111113</v>
      </c>
      <c r="AB42" s="306">
        <v>0.32361111111111113</v>
      </c>
      <c r="AC42" s="46">
        <v>0.40347222222222223</v>
      </c>
      <c r="AD42" s="44">
        <f>IF(PA[[#This Row],[Acknowledgement Time ]]="NA","",(PA[[#This Row],[Acknowledgement Time ]]-PA[[#This Row],[Fault Time]])*24)</f>
        <v>0</v>
      </c>
      <c r="AE42" s="44">
        <f>IF(PA[[#This Row],[Work Start time on Fault]]="NA","",(PA[[#This Row],[Work Start time on Fault]]-PA[[#This Row],[Fault Time]])*24)</f>
        <v>0</v>
      </c>
      <c r="AF42" s="45">
        <f>IF(PA[[#This Row],[Status]]="Open","",(PA[[#This Row],[Work Completion time on fault]]-PA[[#This Row],[Fault Time]])*24)</f>
        <v>1.9166666666666665</v>
      </c>
      <c r="AG42" s="44">
        <f>IFERROR((PA[[#This Row],[Work Completion time on fault]]-PA[[#This Row],[Fault Time]])*24,"")</f>
        <v>1.9166666666666665</v>
      </c>
      <c r="AH42" s="36" t="s">
        <v>248</v>
      </c>
      <c r="AI42" s="33" t="s">
        <v>235</v>
      </c>
      <c r="AJ42" s="35" t="str">
        <f>IFERROR(PA[[#This Row],[Breakdown Time]]*PA[[#This Row],[Plant Equivalent Weightage]],"")</f>
        <v/>
      </c>
      <c r="AK42" s="36">
        <v>0.96765959999999995</v>
      </c>
      <c r="AL42" s="51" t="str">
        <f>IFERROR((_xlfn.XLOOKUP($G42,'Modelling New'!D:D,'Modelling New'!$O:$O)*PA[[#This Row],[Lost PoA(kWh/m2)]]*PA[[#This Row],[DC Capacity Affected (kW)]]),"")</f>
        <v/>
      </c>
      <c r="AM42" s="33"/>
      <c r="AN42" s="33"/>
      <c r="AO42" s="37"/>
      <c r="AP42" s="37"/>
    </row>
    <row r="43" spans="1:42">
      <c r="A43" s="30">
        <v>42</v>
      </c>
      <c r="B43" s="304"/>
      <c r="C43" s="307">
        <f>YEAR(PA[[#This Row],[Date]])+IF(MONTH(PA[[#This Row],[Date]])&gt;=4,1,0)</f>
        <v>1900</v>
      </c>
      <c r="D43" s="32">
        <f>YEAR(PA[[#This Row],[Date]])</f>
        <v>1900</v>
      </c>
      <c r="E43" s="33" t="s">
        <v>157</v>
      </c>
      <c r="F43" s="33" t="s">
        <v>157</v>
      </c>
      <c r="G43" s="194">
        <f>PA[[#This Row],[Date]]-DAY(PA[[#This Row],[Date]])+1</f>
        <v>1</v>
      </c>
      <c r="H43" s="32">
        <f>DAY(EOMONTH(PA[[#This Row],[Month Year]],0))</f>
        <v>31</v>
      </c>
      <c r="I43" s="121"/>
      <c r="J43" s="121"/>
      <c r="K43" s="35">
        <f>IFERROR((PA[[#This Row],[Sunset Time (POA&lt;20 W/m2)]]-PA[[#This Row],[Sunrise Time (POA&gt;20 W/m2)]])*24,"")</f>
        <v>0</v>
      </c>
      <c r="L43" s="33"/>
      <c r="M43" s="33"/>
      <c r="N43" s="33"/>
      <c r="O43" s="36"/>
      <c r="P43" s="36"/>
      <c r="Q43" s="33"/>
      <c r="R43" s="32">
        <f>IF((PA[[#This Row],[String Type(If String BD)]]&amp;PA[[#This Row],[Equipment (If any BD other than PV  array and inv)]])="",1,0)</f>
        <v>1</v>
      </c>
      <c r="S43" s="32">
        <f>IF(PA[[#This Row],[String Type(If String BD)]]="",1,0)</f>
        <v>1</v>
      </c>
      <c r="T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" s="35" t="str">
        <f>IFERROR(_xlfn.XLOOKUP(PA[[#This Row],[Affected Equipment ]],'Basic Data'!N:N,'Basic Data'!Q:Q),"")</f>
        <v/>
      </c>
      <c r="V43" s="305" t="str">
        <f>IFERROR(_xlfn.XLOOKUP(PA[[#This Row],[Affected Equipment ]],'Basic Data'!N:N,'Basic Data'!R:R),"")</f>
        <v/>
      </c>
      <c r="W43" s="36" t="s">
        <v>240</v>
      </c>
      <c r="X43" s="40"/>
      <c r="Y43" s="40" t="s">
        <v>316</v>
      </c>
      <c r="Z43" s="46">
        <v>0.30069444444444443</v>
      </c>
      <c r="AA43" s="42">
        <v>0.30069444444444443</v>
      </c>
      <c r="AB43" s="306">
        <v>0.30069444444444443</v>
      </c>
      <c r="AC43" s="46">
        <v>0.36249999999999999</v>
      </c>
      <c r="AD43" s="44">
        <f>IF(PA[[#This Row],[Acknowledgement Time ]]="NA","",(PA[[#This Row],[Acknowledgement Time ]]-PA[[#This Row],[Fault Time]])*24)</f>
        <v>0</v>
      </c>
      <c r="AE43" s="44">
        <f>IF(PA[[#This Row],[Work Start time on Fault]]="NA","",(PA[[#This Row],[Work Start time on Fault]]-PA[[#This Row],[Fault Time]])*24)</f>
        <v>0</v>
      </c>
      <c r="AF43" s="45">
        <f>IF(PA[[#This Row],[Status]]="Open","",(PA[[#This Row],[Work Completion time on fault]]-PA[[#This Row],[Fault Time]])*24)</f>
        <v>1.4833333333333334</v>
      </c>
      <c r="AG43" s="44">
        <f>IFERROR((PA[[#This Row],[Work Completion time on fault]]-PA[[#This Row],[Fault Time]])*24,"")</f>
        <v>1.4833333333333334</v>
      </c>
      <c r="AH43" s="36" t="s">
        <v>320</v>
      </c>
      <c r="AI43" s="33" t="s">
        <v>235</v>
      </c>
      <c r="AJ43" s="35" t="str">
        <f>IFERROR(PA[[#This Row],[Breakdown Time]]*PA[[#This Row],[Plant Equivalent Weightage]],"")</f>
        <v/>
      </c>
      <c r="AK43" s="36">
        <v>0.49937130000000002</v>
      </c>
      <c r="AL43" s="51" t="str">
        <f>IFERROR((_xlfn.XLOOKUP($G43,'Modelling New'!D:D,'Modelling New'!$O:$O)*PA[[#This Row],[Lost PoA(kWh/m2)]]*PA[[#This Row],[DC Capacity Affected (kW)]]),"")</f>
        <v/>
      </c>
      <c r="AM43" s="33"/>
      <c r="AN43" s="33"/>
      <c r="AO43" s="37"/>
      <c r="AP43" s="37"/>
    </row>
    <row r="44" spans="1:42">
      <c r="A44" s="30">
        <v>43</v>
      </c>
      <c r="B44" s="304"/>
      <c r="C44" s="307">
        <f>YEAR(PA[[#This Row],[Date]])+IF(MONTH(PA[[#This Row],[Date]])&gt;=4,1,0)</f>
        <v>1900</v>
      </c>
      <c r="D44" s="32">
        <f>YEAR(PA[[#This Row],[Date]])</f>
        <v>1900</v>
      </c>
      <c r="E44" s="33" t="s">
        <v>157</v>
      </c>
      <c r="F44" s="33" t="s">
        <v>157</v>
      </c>
      <c r="G44" s="194">
        <f>PA[[#This Row],[Date]]-DAY(PA[[#This Row],[Date]])+1</f>
        <v>1</v>
      </c>
      <c r="H44" s="32">
        <f>DAY(EOMONTH(PA[[#This Row],[Month Year]],0))</f>
        <v>31</v>
      </c>
      <c r="I44" s="121"/>
      <c r="J44" s="121"/>
      <c r="K44" s="35">
        <f>IFERROR((PA[[#This Row],[Sunset Time (POA&lt;20 W/m2)]]-PA[[#This Row],[Sunrise Time (POA&gt;20 W/m2)]])*24,"")</f>
        <v>0</v>
      </c>
      <c r="L44" s="33"/>
      <c r="M44" s="33"/>
      <c r="N44" s="33"/>
      <c r="O44" s="36"/>
      <c r="P44" s="36"/>
      <c r="Q44" s="33"/>
      <c r="R44" s="32">
        <f>IF((PA[[#This Row],[String Type(If String BD)]]&amp;PA[[#This Row],[Equipment (If any BD other than PV  array and inv)]])="",1,0)</f>
        <v>1</v>
      </c>
      <c r="S44" s="32">
        <f>IF(PA[[#This Row],[String Type(If String BD)]]="",1,0)</f>
        <v>1</v>
      </c>
      <c r="T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" s="35" t="str">
        <f>IFERROR(_xlfn.XLOOKUP(PA[[#This Row],[Affected Equipment ]],'Basic Data'!N:N,'Basic Data'!Q:Q),"")</f>
        <v/>
      </c>
      <c r="V44" s="305" t="str">
        <f>IFERROR(_xlfn.XLOOKUP(PA[[#This Row],[Affected Equipment ]],'Basic Data'!N:N,'Basic Data'!R:R),"")</f>
        <v/>
      </c>
      <c r="W44" s="36" t="s">
        <v>240</v>
      </c>
      <c r="X44" s="40"/>
      <c r="Y44" s="40" t="s">
        <v>319</v>
      </c>
      <c r="Z44" s="46">
        <v>0.30069444444444443</v>
      </c>
      <c r="AA44" s="42">
        <v>0.30069444444444443</v>
      </c>
      <c r="AB44" s="306">
        <v>0.30069444444444443</v>
      </c>
      <c r="AC44" s="46">
        <v>0.31527777777777777</v>
      </c>
      <c r="AD44" s="44">
        <f>IF(PA[[#This Row],[Acknowledgement Time ]]="NA","",(PA[[#This Row],[Acknowledgement Time ]]-PA[[#This Row],[Fault Time]])*24)</f>
        <v>0</v>
      </c>
      <c r="AE44" s="44">
        <f>IF(PA[[#This Row],[Work Start time on Fault]]="NA","",(PA[[#This Row],[Work Start time on Fault]]-PA[[#This Row],[Fault Time]])*24)</f>
        <v>0</v>
      </c>
      <c r="AF44" s="45">
        <f>IF(PA[[#This Row],[Status]]="Open","",(PA[[#This Row],[Work Completion time on fault]]-PA[[#This Row],[Fault Time]])*24)</f>
        <v>0.35000000000000009</v>
      </c>
      <c r="AG44" s="44">
        <f>IFERROR((PA[[#This Row],[Work Completion time on fault]]-PA[[#This Row],[Fault Time]])*24,"")</f>
        <v>0.35000000000000009</v>
      </c>
      <c r="AH44" s="36" t="s">
        <v>320</v>
      </c>
      <c r="AI44" s="33" t="s">
        <v>235</v>
      </c>
      <c r="AJ44" s="35" t="str">
        <f>IFERROR(PA[[#This Row],[Breakdown Time]]*PA[[#This Row],[Plant Equivalent Weightage]],"")</f>
        <v/>
      </c>
      <c r="AK44" s="36">
        <v>7.5863299999999995E-2</v>
      </c>
      <c r="AL44" s="51" t="str">
        <f>IFERROR((_xlfn.XLOOKUP($G44,'Modelling New'!D:D,'Modelling New'!$O:$O)*PA[[#This Row],[Lost PoA(kWh/m2)]]*PA[[#This Row],[DC Capacity Affected (kW)]]),"")</f>
        <v/>
      </c>
      <c r="AM44" s="33"/>
      <c r="AN44" s="33"/>
      <c r="AO44" s="37"/>
      <c r="AP44" s="37"/>
    </row>
    <row r="45" spans="1:42">
      <c r="A45" s="30">
        <v>44</v>
      </c>
      <c r="B45" s="304"/>
      <c r="C45" s="307">
        <f>YEAR(PA[[#This Row],[Date]])+IF(MONTH(PA[[#This Row],[Date]])&gt;=4,1,0)</f>
        <v>1900</v>
      </c>
      <c r="D45" s="32">
        <f>YEAR(PA[[#This Row],[Date]])</f>
        <v>1900</v>
      </c>
      <c r="E45" s="33" t="s">
        <v>157</v>
      </c>
      <c r="F45" s="33" t="s">
        <v>157</v>
      </c>
      <c r="G45" s="194">
        <f>PA[[#This Row],[Date]]-DAY(PA[[#This Row],[Date]])+1</f>
        <v>1</v>
      </c>
      <c r="H45" s="32">
        <f>DAY(EOMONTH(PA[[#This Row],[Month Year]],0))</f>
        <v>31</v>
      </c>
      <c r="I45" s="121"/>
      <c r="J45" s="121"/>
      <c r="K45" s="35">
        <f>IFERROR((PA[[#This Row],[Sunset Time (POA&lt;20 W/m2)]]-PA[[#This Row],[Sunrise Time (POA&gt;20 W/m2)]])*24,"")</f>
        <v>0</v>
      </c>
      <c r="L45" s="33"/>
      <c r="M45" s="33"/>
      <c r="N45" s="33"/>
      <c r="O45" s="36"/>
      <c r="P45" s="36"/>
      <c r="Q45" s="33"/>
      <c r="R45" s="32">
        <f>IF((PA[[#This Row],[String Type(If String BD)]]&amp;PA[[#This Row],[Equipment (If any BD other than PV  array and inv)]])="",1,0)</f>
        <v>1</v>
      </c>
      <c r="S45" s="32">
        <f>IF(PA[[#This Row],[String Type(If String BD)]]="",1,0)</f>
        <v>1</v>
      </c>
      <c r="T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" s="35" t="str">
        <f>IFERROR(_xlfn.XLOOKUP(PA[[#This Row],[Affected Equipment ]],'Basic Data'!N:N,'Basic Data'!Q:Q),"")</f>
        <v/>
      </c>
      <c r="V45" s="305" t="str">
        <f>IFERROR(_xlfn.XLOOKUP(PA[[#This Row],[Affected Equipment ]],'Basic Data'!N:N,'Basic Data'!R:R),"")</f>
        <v/>
      </c>
      <c r="W45" s="36" t="s">
        <v>240</v>
      </c>
      <c r="X45" s="40"/>
      <c r="Y45" s="40" t="s">
        <v>321</v>
      </c>
      <c r="Z45" s="46">
        <v>0.30069444444444443</v>
      </c>
      <c r="AA45" s="42">
        <v>0.30069444444444443</v>
      </c>
      <c r="AB45" s="306">
        <v>0.30069444444444443</v>
      </c>
      <c r="AC45" s="46">
        <v>0.76666666666666672</v>
      </c>
      <c r="AD45" s="44">
        <f>IF(PA[[#This Row],[Acknowledgement Time ]]="NA","",(PA[[#This Row],[Acknowledgement Time ]]-PA[[#This Row],[Fault Time]])*24)</f>
        <v>0</v>
      </c>
      <c r="AE45" s="44">
        <f>IF(PA[[#This Row],[Work Start time on Fault]]="NA","",(PA[[#This Row],[Work Start time on Fault]]-PA[[#This Row],[Fault Time]])*24)</f>
        <v>0</v>
      </c>
      <c r="AF45" s="45">
        <f>IF(PA[[#This Row],[Status]]="Open","",(PA[[#This Row],[Work Completion time on fault]]-PA[[#This Row],[Fault Time]])*24)</f>
        <v>11.183333333333335</v>
      </c>
      <c r="AG45" s="44">
        <f>IFERROR((PA[[#This Row],[Work Completion time on fault]]-PA[[#This Row],[Fault Time]])*24,"")</f>
        <v>11.183333333333335</v>
      </c>
      <c r="AH45" s="36" t="s">
        <v>251</v>
      </c>
      <c r="AI45" s="33" t="s">
        <v>235</v>
      </c>
      <c r="AJ45" s="35" t="str">
        <f>IFERROR(PA[[#This Row],[Breakdown Time]]*PA[[#This Row],[Plant Equivalent Weightage]],"")</f>
        <v/>
      </c>
      <c r="AK45" s="36">
        <v>7.3</v>
      </c>
      <c r="AL45" s="51" t="str">
        <f>IFERROR((_xlfn.XLOOKUP($G45,'Modelling New'!D:D,'Modelling New'!$O:$O)*PA[[#This Row],[Lost PoA(kWh/m2)]]*PA[[#This Row],[DC Capacity Affected (kW)]]),"")</f>
        <v/>
      </c>
      <c r="AM45" s="33"/>
      <c r="AN45" s="33"/>
      <c r="AO45" s="37"/>
      <c r="AP45" s="37"/>
    </row>
    <row r="46" spans="1:42">
      <c r="A46" s="30">
        <v>45</v>
      </c>
      <c r="B46" s="31"/>
      <c r="C46" s="32">
        <f>YEAR(PA[[#This Row],[Date]])+IF(MONTH(PA[[#This Row],[Date]])&gt;=4,1,0)</f>
        <v>1900</v>
      </c>
      <c r="D46" s="32">
        <f>YEAR(PA[[#This Row],[Date]])</f>
        <v>1900</v>
      </c>
      <c r="E46" s="33" t="s">
        <v>157</v>
      </c>
      <c r="F46" s="33" t="s">
        <v>157</v>
      </c>
      <c r="G46" s="194">
        <f>PA[[#This Row],[Date]]-DAY(PA[[#This Row],[Date]])+1</f>
        <v>1</v>
      </c>
      <c r="H46" s="32">
        <f>DAY(EOMONTH(PA[[#This Row],[Month Year]],0))</f>
        <v>31</v>
      </c>
      <c r="I46" s="121"/>
      <c r="J46" s="121"/>
      <c r="K46" s="35">
        <f>IFERROR((PA[[#This Row],[Sunset Time (POA&lt;20 W/m2)]]-PA[[#This Row],[Sunrise Time (POA&gt;20 W/m2)]])*24,"")</f>
        <v>0</v>
      </c>
      <c r="L46" s="33"/>
      <c r="M46" s="33"/>
      <c r="N46" s="33"/>
      <c r="O46" s="38"/>
      <c r="P46" s="38"/>
      <c r="Q46" s="37"/>
      <c r="R46" s="32">
        <f>IF((PA[[#This Row],[String Type(If String BD)]]&amp;PA[[#This Row],[Equipment (If any BD other than PV  array and inv)]])="",1,0)</f>
        <v>1</v>
      </c>
      <c r="S46" s="32">
        <f>IF(PA[[#This Row],[String Type(If String BD)]]="",1,0)</f>
        <v>1</v>
      </c>
      <c r="T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" s="35" t="str">
        <f>IFERROR(_xlfn.XLOOKUP(PA[[#This Row],[Affected Equipment ]],'Basic Data'!N:N,'Basic Data'!Q:Q),"")</f>
        <v/>
      </c>
      <c r="V46" s="39" t="str">
        <f>IFERROR(_xlfn.XLOOKUP(PA[[#This Row],[Affected Equipment ]],'Basic Data'!N:N,'Basic Data'!R:R),"")</f>
        <v/>
      </c>
      <c r="W46" s="36" t="s">
        <v>240</v>
      </c>
      <c r="X46" s="41"/>
      <c r="Y46" s="283" t="s">
        <v>247</v>
      </c>
      <c r="Z46" s="42">
        <v>0.32847222222222222</v>
      </c>
      <c r="AA46" s="42">
        <v>0.32847222222222222</v>
      </c>
      <c r="AB46" s="42">
        <v>0.32847222222222222</v>
      </c>
      <c r="AC46" s="42">
        <v>0.40625</v>
      </c>
      <c r="AD46" s="44">
        <f>IF(PA[[#This Row],[Acknowledgement Time ]]="NA","",(PA[[#This Row],[Acknowledgement Time ]]-PA[[#This Row],[Fault Time]])*24)</f>
        <v>0</v>
      </c>
      <c r="AE46" s="44">
        <f>IF(PA[[#This Row],[Work Start time on Fault]]="NA","",(PA[[#This Row],[Work Start time on Fault]]-PA[[#This Row],[Fault Time]])*24)</f>
        <v>0</v>
      </c>
      <c r="AF46" s="45">
        <f>IF(PA[[#This Row],[Status]]="Open","",(PA[[#This Row],[Work Completion time on fault]]-PA[[#This Row],[Fault Time]])*24)</f>
        <v>1.8666666666666667</v>
      </c>
      <c r="AG46" s="44">
        <f>IFERROR((PA[[#This Row],[Work Completion time on fault]]-PA[[#This Row],[Fault Time]])*24,"")</f>
        <v>1.8666666666666667</v>
      </c>
      <c r="AH46" s="284" t="s">
        <v>248</v>
      </c>
      <c r="AI46" s="33" t="s">
        <v>235</v>
      </c>
      <c r="AJ46" s="35" t="str">
        <f>IFERROR(PA[[#This Row],[Breakdown Time]]*PA[[#This Row],[Plant Equivalent Weightage]],"")</f>
        <v/>
      </c>
      <c r="AK46" s="38">
        <v>1.05</v>
      </c>
      <c r="AL46" s="51" t="str">
        <f>IFERROR((_xlfn.XLOOKUP($G46,'Modelling New'!D:D,'Modelling New'!$O:$O)*PA[[#This Row],[Lost PoA(kWh/m2)]]*PA[[#This Row],[DC Capacity Affected (kW)]]),"")</f>
        <v/>
      </c>
      <c r="AM46" s="33"/>
      <c r="AN46" s="33"/>
      <c r="AO46" s="33"/>
      <c r="AP46" s="33"/>
    </row>
    <row r="47" spans="1:42">
      <c r="A47" s="30">
        <v>46</v>
      </c>
      <c r="B47" s="31"/>
      <c r="C47" s="32">
        <f>YEAR(PA[[#This Row],[Date]])+IF(MONTH(PA[[#This Row],[Date]])&gt;=4,1,0)</f>
        <v>1900</v>
      </c>
      <c r="D47" s="32">
        <f>YEAR(PA[[#This Row],[Date]])</f>
        <v>1900</v>
      </c>
      <c r="E47" s="33" t="s">
        <v>157</v>
      </c>
      <c r="F47" s="33" t="s">
        <v>157</v>
      </c>
      <c r="G47" s="194">
        <f>PA[[#This Row],[Date]]-DAY(PA[[#This Row],[Date]])+1</f>
        <v>1</v>
      </c>
      <c r="H47" s="32">
        <f>DAY(EOMONTH(PA[[#This Row],[Month Year]],0))</f>
        <v>31</v>
      </c>
      <c r="I47" s="121"/>
      <c r="J47" s="121"/>
      <c r="K47" s="35">
        <f>IFERROR((PA[[#This Row],[Sunset Time (POA&lt;20 W/m2)]]-PA[[#This Row],[Sunrise Time (POA&gt;20 W/m2)]])*24,"")</f>
        <v>0</v>
      </c>
      <c r="L47" s="33"/>
      <c r="M47" s="33"/>
      <c r="N47" s="33"/>
      <c r="O47" s="38"/>
      <c r="P47" s="38"/>
      <c r="Q47" s="37"/>
      <c r="R47" s="32">
        <f>IF((PA[[#This Row],[String Type(If String BD)]]&amp;PA[[#This Row],[Equipment (If any BD other than PV  array and inv)]])="",1,0)</f>
        <v>1</v>
      </c>
      <c r="S47" s="32">
        <f>IF(PA[[#This Row],[String Type(If String BD)]]="",1,0)</f>
        <v>1</v>
      </c>
      <c r="T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7" s="35" t="str">
        <f>IFERROR(_xlfn.XLOOKUP(PA[[#This Row],[Affected Equipment ]],'Basic Data'!N:N,'Basic Data'!Q:Q),"")</f>
        <v/>
      </c>
      <c r="V47" s="39" t="str">
        <f>IFERROR(_xlfn.XLOOKUP(PA[[#This Row],[Affected Equipment ]],'Basic Data'!N:N,'Basic Data'!R:R),"")</f>
        <v/>
      </c>
      <c r="W47" s="36" t="s">
        <v>240</v>
      </c>
      <c r="X47" s="41"/>
      <c r="Y47" s="283" t="s">
        <v>247</v>
      </c>
      <c r="Z47" s="42">
        <v>0.72986111111111107</v>
      </c>
      <c r="AA47" s="42">
        <v>0.72986111111111107</v>
      </c>
      <c r="AB47" s="42">
        <v>0.72986111111111107</v>
      </c>
      <c r="AC47" s="42">
        <v>0.75277777777777777</v>
      </c>
      <c r="AD47" s="44">
        <f>IF(PA[[#This Row],[Acknowledgement Time ]]="NA","",(PA[[#This Row],[Acknowledgement Time ]]-PA[[#This Row],[Fault Time]])*24)</f>
        <v>0</v>
      </c>
      <c r="AE47" s="44">
        <f>IF(PA[[#This Row],[Work Start time on Fault]]="NA","",(PA[[#This Row],[Work Start time on Fault]]-PA[[#This Row],[Fault Time]])*24)</f>
        <v>0</v>
      </c>
      <c r="AF47" s="45">
        <f>IF(PA[[#This Row],[Status]]="Open","",(PA[[#This Row],[Work Completion time on fault]]-PA[[#This Row],[Fault Time]])*24)</f>
        <v>0.55000000000000071</v>
      </c>
      <c r="AG47" s="44">
        <f>IFERROR((PA[[#This Row],[Work Completion time on fault]]-PA[[#This Row],[Fault Time]])*24,"")</f>
        <v>0.55000000000000071</v>
      </c>
      <c r="AH47" s="284" t="s">
        <v>248</v>
      </c>
      <c r="AI47" s="33" t="s">
        <v>235</v>
      </c>
      <c r="AJ47" s="35" t="str">
        <f>IFERROR(PA[[#This Row],[Breakdown Time]]*PA[[#This Row],[Plant Equivalent Weightage]],"")</f>
        <v/>
      </c>
      <c r="AK47" s="38">
        <v>3.1E-2</v>
      </c>
      <c r="AL47" s="51" t="str">
        <f>IFERROR((_xlfn.XLOOKUP($G47,'Modelling New'!D:D,'Modelling New'!$O:$O)*PA[[#This Row],[Lost PoA(kWh/m2)]]*PA[[#This Row],[DC Capacity Affected (kW)]]),"")</f>
        <v/>
      </c>
      <c r="AM47" s="33"/>
      <c r="AN47" s="33"/>
      <c r="AO47" s="33"/>
      <c r="AP47" s="33"/>
    </row>
    <row r="48" spans="1:42">
      <c r="A48" s="30">
        <v>47</v>
      </c>
      <c r="B48" s="31"/>
      <c r="C48" s="32">
        <f>YEAR(PA[[#This Row],[Date]])+IF(MONTH(PA[[#This Row],[Date]])&gt;=4,1,0)</f>
        <v>1900</v>
      </c>
      <c r="D48" s="32">
        <f>YEAR(PA[[#This Row],[Date]])</f>
        <v>1900</v>
      </c>
      <c r="E48" s="33" t="s">
        <v>157</v>
      </c>
      <c r="F48" s="33" t="s">
        <v>157</v>
      </c>
      <c r="G48" s="194">
        <f>PA[[#This Row],[Date]]-DAY(PA[[#This Row],[Date]])+1</f>
        <v>1</v>
      </c>
      <c r="H48" s="32">
        <f>DAY(EOMONTH(PA[[#This Row],[Month Year]],0))</f>
        <v>31</v>
      </c>
      <c r="I48" s="121"/>
      <c r="J48" s="121"/>
      <c r="K48" s="35">
        <f>IFERROR((PA[[#This Row],[Sunset Time (POA&lt;20 W/m2)]]-PA[[#This Row],[Sunrise Time (POA&gt;20 W/m2)]])*24,"")</f>
        <v>0</v>
      </c>
      <c r="L48" s="33"/>
      <c r="M48" s="33"/>
      <c r="N48" s="33"/>
      <c r="O48" s="38"/>
      <c r="P48" s="38"/>
      <c r="Q48" s="37"/>
      <c r="R48" s="32">
        <f>IF((PA[[#This Row],[String Type(If String BD)]]&amp;PA[[#This Row],[Equipment (If any BD other than PV  array and inv)]])="",1,0)</f>
        <v>1</v>
      </c>
      <c r="S48" s="32">
        <f>IF(PA[[#This Row],[String Type(If String BD)]]="",1,0)</f>
        <v>1</v>
      </c>
      <c r="T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8" s="35" t="str">
        <f>IFERROR(_xlfn.XLOOKUP(PA[[#This Row],[Affected Equipment ]],'Basic Data'!N:N,'Basic Data'!Q:Q),"")</f>
        <v/>
      </c>
      <c r="V48" s="39" t="str">
        <f>IFERROR(_xlfn.XLOOKUP(PA[[#This Row],[Affected Equipment ]],'Basic Data'!N:N,'Basic Data'!R:R),"")</f>
        <v/>
      </c>
      <c r="W48" s="36" t="s">
        <v>240</v>
      </c>
      <c r="X48" s="41"/>
      <c r="Y48" s="283" t="s">
        <v>250</v>
      </c>
      <c r="Z48" s="42">
        <v>0.25486111111111109</v>
      </c>
      <c r="AA48" s="42">
        <v>0.25486111111111109</v>
      </c>
      <c r="AB48" s="42">
        <v>0.25486111111111109</v>
      </c>
      <c r="AC48" s="42">
        <v>0.75277777777777777</v>
      </c>
      <c r="AD48" s="44">
        <f>IF(PA[[#This Row],[Acknowledgement Time ]]="NA","",(PA[[#This Row],[Acknowledgement Time ]]-PA[[#This Row],[Fault Time]])*24)</f>
        <v>0</v>
      </c>
      <c r="AE48" s="44">
        <f>IF(PA[[#This Row],[Work Start time on Fault]]="NA","",(PA[[#This Row],[Work Start time on Fault]]-PA[[#This Row],[Fault Time]])*24)</f>
        <v>0</v>
      </c>
      <c r="AF48" s="45">
        <f>IF(PA[[#This Row],[Status]]="Open","",(PA[[#This Row],[Work Completion time on fault]]-PA[[#This Row],[Fault Time]])*24)</f>
        <v>11.95</v>
      </c>
      <c r="AG48" s="44">
        <f>IFERROR((PA[[#This Row],[Work Completion time on fault]]-PA[[#This Row],[Fault Time]])*24,"")</f>
        <v>11.95</v>
      </c>
      <c r="AH48" s="36" t="s">
        <v>251</v>
      </c>
      <c r="AI48" s="33" t="s">
        <v>235</v>
      </c>
      <c r="AJ48" s="35" t="str">
        <f>IFERROR(PA[[#This Row],[Breakdown Time]]*PA[[#This Row],[Plant Equivalent Weightage]],"")</f>
        <v/>
      </c>
      <c r="AK48" s="38">
        <v>7.12</v>
      </c>
      <c r="AL48" s="51" t="str">
        <f>IFERROR((_xlfn.XLOOKUP($G48,'Modelling New'!D:D,'Modelling New'!$O:$O)*PA[[#This Row],[Lost PoA(kWh/m2)]]*PA[[#This Row],[DC Capacity Affected (kW)]]),"")</f>
        <v/>
      </c>
      <c r="AM48" s="33"/>
      <c r="AN48" s="33"/>
      <c r="AO48" s="33"/>
      <c r="AP48" s="33"/>
    </row>
    <row r="49" spans="1:42">
      <c r="A49" s="30">
        <v>48</v>
      </c>
      <c r="B49" s="31"/>
      <c r="C49" s="32">
        <f>YEAR(PA[[#This Row],[Date]])+IF(MONTH(PA[[#This Row],[Date]])&gt;=4,1,0)</f>
        <v>1900</v>
      </c>
      <c r="D49" s="32">
        <f>YEAR(PA[[#This Row],[Date]])</f>
        <v>1900</v>
      </c>
      <c r="E49" s="33" t="s">
        <v>157</v>
      </c>
      <c r="F49" s="33" t="s">
        <v>157</v>
      </c>
      <c r="G49" s="194">
        <f>PA[[#This Row],[Date]]-DAY(PA[[#This Row],[Date]])+1</f>
        <v>1</v>
      </c>
      <c r="H49" s="32">
        <f>DAY(EOMONTH(PA[[#This Row],[Month Year]],0))</f>
        <v>31</v>
      </c>
      <c r="I49" s="121"/>
      <c r="J49" s="121"/>
      <c r="K49" s="35">
        <f>IFERROR((PA[[#This Row],[Sunset Time (POA&lt;20 W/m2)]]-PA[[#This Row],[Sunrise Time (POA&gt;20 W/m2)]])*24,"")</f>
        <v>0</v>
      </c>
      <c r="L49" s="33"/>
      <c r="M49" s="33"/>
      <c r="N49" s="33"/>
      <c r="O49" s="38"/>
      <c r="P49" s="38"/>
      <c r="Q49" s="37"/>
      <c r="R49" s="32">
        <f>IF((PA[[#This Row],[String Type(If String BD)]]&amp;PA[[#This Row],[Equipment (If any BD other than PV  array and inv)]])="",1,0)</f>
        <v>1</v>
      </c>
      <c r="S49" s="32">
        <f>IF(PA[[#This Row],[String Type(If String BD)]]="",1,0)</f>
        <v>1</v>
      </c>
      <c r="T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9" s="35" t="str">
        <f>IFERROR(_xlfn.XLOOKUP(PA[[#This Row],[Affected Equipment ]],'Basic Data'!N:N,'Basic Data'!Q:Q),"")</f>
        <v/>
      </c>
      <c r="V49" s="39" t="str">
        <f>IFERROR(_xlfn.XLOOKUP(PA[[#This Row],[Affected Equipment ]],'Basic Data'!N:N,'Basic Data'!R:R),"")</f>
        <v/>
      </c>
      <c r="W49" s="36" t="s">
        <v>240</v>
      </c>
      <c r="X49" s="41"/>
      <c r="Y49" s="283" t="s">
        <v>253</v>
      </c>
      <c r="Z49" s="42">
        <v>0.25486111111111109</v>
      </c>
      <c r="AA49" s="42">
        <v>0.25486111111111109</v>
      </c>
      <c r="AB49" s="42">
        <v>0.25486111111111109</v>
      </c>
      <c r="AC49" s="42">
        <v>0.75277777777777777</v>
      </c>
      <c r="AD49" s="44">
        <f>IF(PA[[#This Row],[Acknowledgement Time ]]="NA","",(PA[[#This Row],[Acknowledgement Time ]]-PA[[#This Row],[Fault Time]])*24)</f>
        <v>0</v>
      </c>
      <c r="AE49" s="44">
        <f>IF(PA[[#This Row],[Work Start time on Fault]]="NA","",(PA[[#This Row],[Work Start time on Fault]]-PA[[#This Row],[Fault Time]])*24)</f>
        <v>0</v>
      </c>
      <c r="AF49" s="45">
        <f>IF(PA[[#This Row],[Status]]="Open","",(PA[[#This Row],[Work Completion time on fault]]-PA[[#This Row],[Fault Time]])*24)</f>
        <v>11.95</v>
      </c>
      <c r="AG49" s="44">
        <f>IFERROR((PA[[#This Row],[Work Completion time on fault]]-PA[[#This Row],[Fault Time]])*24,"")</f>
        <v>11.95</v>
      </c>
      <c r="AH49" s="36" t="s">
        <v>251</v>
      </c>
      <c r="AI49" s="33" t="s">
        <v>235</v>
      </c>
      <c r="AJ49" s="35" t="str">
        <f>IFERROR(PA[[#This Row],[Breakdown Time]]*PA[[#This Row],[Plant Equivalent Weightage]],"")</f>
        <v/>
      </c>
      <c r="AK49" s="38">
        <v>7.12</v>
      </c>
      <c r="AL49" s="51" t="str">
        <f>IFERROR((_xlfn.XLOOKUP($G49,'Modelling New'!D:D,'Modelling New'!$O:$O)*PA[[#This Row],[Lost PoA(kWh/m2)]]*PA[[#This Row],[DC Capacity Affected (kW)]]),"")</f>
        <v/>
      </c>
      <c r="AM49" s="285"/>
      <c r="AN49" s="285"/>
      <c r="AO49" s="285"/>
      <c r="AP49" s="285"/>
    </row>
    <row r="50" spans="1:42">
      <c r="A50" s="30">
        <v>49</v>
      </c>
      <c r="B50" s="31"/>
      <c r="C50" s="32">
        <f>YEAR(PA[[#This Row],[Date]])+IF(MONTH(PA[[#This Row],[Date]])&gt;=4,1,0)</f>
        <v>1900</v>
      </c>
      <c r="D50" s="32">
        <f>YEAR(PA[[#This Row],[Date]])</f>
        <v>1900</v>
      </c>
      <c r="E50" s="33" t="s">
        <v>157</v>
      </c>
      <c r="F50" s="33" t="s">
        <v>157</v>
      </c>
      <c r="G50" s="194">
        <f>PA[[#This Row],[Date]]-DAY(PA[[#This Row],[Date]])+1</f>
        <v>1</v>
      </c>
      <c r="H50" s="32">
        <f>DAY(EOMONTH(PA[[#This Row],[Month Year]],0))</f>
        <v>31</v>
      </c>
      <c r="I50" s="121"/>
      <c r="J50" s="121"/>
      <c r="K50" s="35">
        <f>IFERROR((PA[[#This Row],[Sunset Time (POA&lt;20 W/m2)]]-PA[[#This Row],[Sunrise Time (POA&gt;20 W/m2)]])*24,"")</f>
        <v>0</v>
      </c>
      <c r="L50" s="33"/>
      <c r="M50" s="33"/>
      <c r="N50" s="37"/>
      <c r="O50" s="38"/>
      <c r="P50" s="38"/>
      <c r="Q50" s="37"/>
      <c r="R50" s="32">
        <f>IF((PA[[#This Row],[String Type(If String BD)]]&amp;PA[[#This Row],[Equipment (If any BD other than PV  array and inv)]])="",1,0)</f>
        <v>1</v>
      </c>
      <c r="S50" s="32">
        <f>IF(PA[[#This Row],[String Type(If String BD)]]="",1,0)</f>
        <v>1</v>
      </c>
      <c r="T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0" s="35" t="str">
        <f>IFERROR(_xlfn.XLOOKUP(PA[[#This Row],[Affected Equipment ]],'Basic Data'!N:N,'Basic Data'!Q:Q),"")</f>
        <v/>
      </c>
      <c r="V50" s="39" t="str">
        <f>IFERROR(_xlfn.XLOOKUP(PA[[#This Row],[Affected Equipment ]],'Basic Data'!N:N,'Basic Data'!R:R),"")</f>
        <v/>
      </c>
      <c r="W50" s="36" t="s">
        <v>240</v>
      </c>
      <c r="X50" s="41"/>
      <c r="Y50" s="283" t="s">
        <v>247</v>
      </c>
      <c r="Z50" s="42">
        <v>0.31527777777777777</v>
      </c>
      <c r="AA50" s="42">
        <v>0.31527777777777777</v>
      </c>
      <c r="AB50" s="42">
        <v>0.31527777777777777</v>
      </c>
      <c r="AC50" s="42">
        <v>0.43680555555555556</v>
      </c>
      <c r="AD50" s="44">
        <f>IF(PA[[#This Row],[Acknowledgement Time ]]="NA","",(PA[[#This Row],[Acknowledgement Time ]]-PA[[#This Row],[Fault Time]])*24)</f>
        <v>0</v>
      </c>
      <c r="AE50" s="44">
        <f>IF(PA[[#This Row],[Work Start time on Fault]]="NA","",(PA[[#This Row],[Work Start time on Fault]]-PA[[#This Row],[Fault Time]])*24)</f>
        <v>0</v>
      </c>
      <c r="AF50" s="45">
        <f>IF(PA[[#This Row],[Status]]="Open","",(PA[[#This Row],[Work Completion time on fault]]-PA[[#This Row],[Fault Time]])*24)</f>
        <v>2.916666666666667</v>
      </c>
      <c r="AG50" s="44">
        <f>IFERROR((PA[[#This Row],[Work Completion time on fault]]-PA[[#This Row],[Fault Time]])*24,"")</f>
        <v>2.916666666666667</v>
      </c>
      <c r="AH50" s="284" t="s">
        <v>248</v>
      </c>
      <c r="AI50" s="33" t="s">
        <v>235</v>
      </c>
      <c r="AJ50" s="35" t="str">
        <f>IFERROR(PA[[#This Row],[Breakdown Time]]*PA[[#This Row],[Plant Equivalent Weightage]],"")</f>
        <v/>
      </c>
      <c r="AK50" s="38">
        <v>1.74</v>
      </c>
      <c r="AL50" s="51" t="str">
        <f>IFERROR((_xlfn.XLOOKUP($G50,'Modelling New'!D:D,'Modelling New'!$O:$O)*PA[[#This Row],[Lost PoA(kWh/m2)]]*PA[[#This Row],[DC Capacity Affected (kW)]]),"")</f>
        <v/>
      </c>
      <c r="AM50" s="285"/>
      <c r="AN50" s="285"/>
      <c r="AO50" s="285"/>
      <c r="AP50" s="285"/>
    </row>
    <row r="51" spans="1:42">
      <c r="A51" s="30">
        <v>50</v>
      </c>
      <c r="B51" s="31"/>
      <c r="C51" s="32">
        <f>YEAR(PA[[#This Row],[Date]])+IF(MONTH(PA[[#This Row],[Date]])&gt;=4,1,0)</f>
        <v>1900</v>
      </c>
      <c r="D51" s="32">
        <f>YEAR(PA[[#This Row],[Date]])</f>
        <v>1900</v>
      </c>
      <c r="E51" s="33" t="s">
        <v>157</v>
      </c>
      <c r="F51" s="33" t="s">
        <v>157</v>
      </c>
      <c r="G51" s="194">
        <f>PA[[#This Row],[Date]]-DAY(PA[[#This Row],[Date]])+1</f>
        <v>1</v>
      </c>
      <c r="H51" s="32">
        <f>DAY(EOMONTH(PA[[#This Row],[Month Year]],0))</f>
        <v>31</v>
      </c>
      <c r="I51" s="121"/>
      <c r="J51" s="121"/>
      <c r="K51" s="35">
        <f>IFERROR((PA[[#This Row],[Sunset Time (POA&lt;20 W/m2)]]-PA[[#This Row],[Sunrise Time (POA&gt;20 W/m2)]])*24,"")</f>
        <v>0</v>
      </c>
      <c r="L51" s="33"/>
      <c r="M51" s="33"/>
      <c r="N51" s="37"/>
      <c r="O51" s="38"/>
      <c r="P51" s="38"/>
      <c r="Q51" s="37"/>
      <c r="R51" s="32">
        <f>IF((PA[[#This Row],[String Type(If String BD)]]&amp;PA[[#This Row],[Equipment (If any BD other than PV  array and inv)]])="",1,0)</f>
        <v>1</v>
      </c>
      <c r="S51" s="32">
        <f>IF(PA[[#This Row],[String Type(If String BD)]]="",1,0)</f>
        <v>1</v>
      </c>
      <c r="T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1" s="35" t="str">
        <f>IFERROR(_xlfn.XLOOKUP(PA[[#This Row],[Affected Equipment ]],'Basic Data'!N:N,'Basic Data'!Q:Q),"")</f>
        <v/>
      </c>
      <c r="V51" s="39" t="str">
        <f>IFERROR(_xlfn.XLOOKUP(PA[[#This Row],[Affected Equipment ]],'Basic Data'!N:N,'Basic Data'!R:R),"")</f>
        <v/>
      </c>
      <c r="W51" s="36" t="s">
        <v>240</v>
      </c>
      <c r="X51" s="41"/>
      <c r="Y51" s="283" t="s">
        <v>247</v>
      </c>
      <c r="Z51" s="42">
        <v>0.52013888888888893</v>
      </c>
      <c r="AA51" s="42">
        <v>0.52013888888888893</v>
      </c>
      <c r="AB51" s="42">
        <v>0.52013888888888893</v>
      </c>
      <c r="AC51" s="42">
        <v>0.52638888888888891</v>
      </c>
      <c r="AD51" s="44">
        <f>IF(PA[[#This Row],[Acknowledgement Time ]]="NA","",(PA[[#This Row],[Acknowledgement Time ]]-PA[[#This Row],[Fault Time]])*24)</f>
        <v>0</v>
      </c>
      <c r="AE51" s="44">
        <f>IF(PA[[#This Row],[Work Start time on Fault]]="NA","",(PA[[#This Row],[Work Start time on Fault]]-PA[[#This Row],[Fault Time]])*24)</f>
        <v>0</v>
      </c>
      <c r="AF51" s="45">
        <f>IF(PA[[#This Row],[Status]]="Open","",(PA[[#This Row],[Work Completion time on fault]]-PA[[#This Row],[Fault Time]])*24)</f>
        <v>0.14999999999999947</v>
      </c>
      <c r="AG51" s="44">
        <f>IFERROR((PA[[#This Row],[Work Completion time on fault]]-PA[[#This Row],[Fault Time]])*24,"")</f>
        <v>0.14999999999999947</v>
      </c>
      <c r="AH51" s="284" t="s">
        <v>248</v>
      </c>
      <c r="AI51" s="33" t="s">
        <v>235</v>
      </c>
      <c r="AJ51" s="35" t="str">
        <f>IFERROR(PA[[#This Row],[Breakdown Time]]*PA[[#This Row],[Plant Equivalent Weightage]],"")</f>
        <v/>
      </c>
      <c r="AK51" s="38">
        <v>0.16590530000000001</v>
      </c>
      <c r="AL51" s="51" t="str">
        <f>IFERROR((_xlfn.XLOOKUP($G51,'Modelling New'!D:D,'Modelling New'!$O:$O)*PA[[#This Row],[Lost PoA(kWh/m2)]]*PA[[#This Row],[DC Capacity Affected (kW)]]),"")</f>
        <v/>
      </c>
      <c r="AM51" s="285"/>
      <c r="AN51" s="285"/>
      <c r="AO51" s="285"/>
      <c r="AP51" s="285"/>
    </row>
    <row r="52" spans="1:42">
      <c r="A52" s="30">
        <v>51</v>
      </c>
      <c r="B52" s="31"/>
      <c r="C52" s="32">
        <f>YEAR(PA[[#This Row],[Date]])+IF(MONTH(PA[[#This Row],[Date]])&gt;=4,1,0)</f>
        <v>1900</v>
      </c>
      <c r="D52" s="32">
        <f>YEAR(PA[[#This Row],[Date]])</f>
        <v>1900</v>
      </c>
      <c r="E52" s="33" t="s">
        <v>157</v>
      </c>
      <c r="F52" s="33" t="s">
        <v>157</v>
      </c>
      <c r="G52" s="194">
        <f>PA[[#This Row],[Date]]-DAY(PA[[#This Row],[Date]])+1</f>
        <v>1</v>
      </c>
      <c r="H52" s="32">
        <f>DAY(EOMONTH(PA[[#This Row],[Month Year]],0))</f>
        <v>31</v>
      </c>
      <c r="I52" s="121"/>
      <c r="J52" s="121"/>
      <c r="K52" s="35">
        <f>IFERROR((PA[[#This Row],[Sunset Time (POA&lt;20 W/m2)]]-PA[[#This Row],[Sunrise Time (POA&gt;20 W/m2)]])*24,"")</f>
        <v>0</v>
      </c>
      <c r="L52" s="33"/>
      <c r="M52" s="33"/>
      <c r="N52" s="37"/>
      <c r="O52" s="38"/>
      <c r="P52" s="38"/>
      <c r="Q52" s="37"/>
      <c r="R52" s="32">
        <f>IF((PA[[#This Row],[String Type(If String BD)]]&amp;PA[[#This Row],[Equipment (If any BD other than PV  array and inv)]])="",1,0)</f>
        <v>1</v>
      </c>
      <c r="S52" s="32">
        <f>IF(PA[[#This Row],[String Type(If String BD)]]="",1,0)</f>
        <v>1</v>
      </c>
      <c r="T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2" s="35" t="str">
        <f>IFERROR(_xlfn.XLOOKUP(PA[[#This Row],[Affected Equipment ]],'Basic Data'!N:N,'Basic Data'!Q:Q),"")</f>
        <v/>
      </c>
      <c r="V52" s="39" t="str">
        <f>IFERROR(_xlfn.XLOOKUP(PA[[#This Row],[Affected Equipment ]],'Basic Data'!N:N,'Basic Data'!R:R),"")</f>
        <v/>
      </c>
      <c r="W52" s="36" t="s">
        <v>240</v>
      </c>
      <c r="X52" s="41"/>
      <c r="Y52" s="283" t="s">
        <v>247</v>
      </c>
      <c r="Z52" s="42">
        <v>0.54305555555555551</v>
      </c>
      <c r="AA52" s="42">
        <v>0.54305555555555551</v>
      </c>
      <c r="AB52" s="42">
        <v>0.54305555555555551</v>
      </c>
      <c r="AC52" s="42">
        <v>0.56527777777777777</v>
      </c>
      <c r="AD52" s="44">
        <f>IF(PA[[#This Row],[Acknowledgement Time ]]="NA","",(PA[[#This Row],[Acknowledgement Time ]]-PA[[#This Row],[Fault Time]])*24)</f>
        <v>0</v>
      </c>
      <c r="AE52" s="44">
        <f>IF(PA[[#This Row],[Work Start time on Fault]]="NA","",(PA[[#This Row],[Work Start time on Fault]]-PA[[#This Row],[Fault Time]])*24)</f>
        <v>0</v>
      </c>
      <c r="AF52" s="45">
        <f>IF(PA[[#This Row],[Status]]="Open","",(PA[[#This Row],[Work Completion time on fault]]-PA[[#This Row],[Fault Time]])*24)</f>
        <v>0.5333333333333341</v>
      </c>
      <c r="AG52" s="44">
        <f>IFERROR((PA[[#This Row],[Work Completion time on fault]]-PA[[#This Row],[Fault Time]])*24,"")</f>
        <v>0.5333333333333341</v>
      </c>
      <c r="AH52" s="284" t="s">
        <v>248</v>
      </c>
      <c r="AI52" s="33" t="s">
        <v>235</v>
      </c>
      <c r="AJ52" s="35" t="str">
        <f>IFERROR(PA[[#This Row],[Breakdown Time]]*PA[[#This Row],[Plant Equivalent Weightage]],"")</f>
        <v/>
      </c>
      <c r="AK52" s="38">
        <v>0.50135470000000004</v>
      </c>
      <c r="AL52" s="51" t="str">
        <f>IFERROR((_xlfn.XLOOKUP($G52,'Modelling New'!D:D,'Modelling New'!$O:$O)*PA[[#This Row],[Lost PoA(kWh/m2)]]*PA[[#This Row],[DC Capacity Affected (kW)]]),"")</f>
        <v/>
      </c>
      <c r="AM52" s="33"/>
      <c r="AN52" s="33"/>
      <c r="AO52" s="33"/>
      <c r="AP52" s="33"/>
    </row>
    <row r="53" spans="1:42">
      <c r="A53" s="30">
        <v>52</v>
      </c>
      <c r="B53" s="31"/>
      <c r="C53" s="32">
        <f>YEAR(PA[[#This Row],[Date]])+IF(MONTH(PA[[#This Row],[Date]])&gt;=4,1,0)</f>
        <v>1900</v>
      </c>
      <c r="D53" s="32">
        <f>YEAR(PA[[#This Row],[Date]])</f>
        <v>1900</v>
      </c>
      <c r="E53" s="33" t="s">
        <v>157</v>
      </c>
      <c r="F53" s="33" t="s">
        <v>157</v>
      </c>
      <c r="G53" s="194">
        <f>PA[[#This Row],[Date]]-DAY(PA[[#This Row],[Date]])+1</f>
        <v>1</v>
      </c>
      <c r="H53" s="32">
        <f>DAY(EOMONTH(PA[[#This Row],[Month Year]],0))</f>
        <v>31</v>
      </c>
      <c r="I53" s="121"/>
      <c r="J53" s="121"/>
      <c r="K53" s="35">
        <f>IFERROR((PA[[#This Row],[Sunset Time (POA&lt;20 W/m2)]]-PA[[#This Row],[Sunrise Time (POA&gt;20 W/m2)]])*24,"")</f>
        <v>0</v>
      </c>
      <c r="L53" s="33"/>
      <c r="M53" s="33"/>
      <c r="N53" s="37"/>
      <c r="O53" s="38"/>
      <c r="P53" s="38"/>
      <c r="Q53" s="37"/>
      <c r="R53" s="32">
        <f>IF((PA[[#This Row],[String Type(If String BD)]]&amp;PA[[#This Row],[Equipment (If any BD other than PV  array and inv)]])="",1,0)</f>
        <v>1</v>
      </c>
      <c r="S53" s="32">
        <f>IF(PA[[#This Row],[String Type(If String BD)]]="",1,0)</f>
        <v>1</v>
      </c>
      <c r="T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3" s="35" t="str">
        <f>IFERROR(_xlfn.XLOOKUP(PA[[#This Row],[Affected Equipment ]],'Basic Data'!N:N,'Basic Data'!Q:Q),"")</f>
        <v/>
      </c>
      <c r="V53" s="39" t="str">
        <f>IFERROR(_xlfn.XLOOKUP(PA[[#This Row],[Affected Equipment ]],'Basic Data'!N:N,'Basic Data'!R:R),"")</f>
        <v/>
      </c>
      <c r="W53" s="36" t="s">
        <v>240</v>
      </c>
      <c r="X53" s="41"/>
      <c r="Y53" s="283" t="s">
        <v>247</v>
      </c>
      <c r="Z53" s="42">
        <v>0.72430555555555554</v>
      </c>
      <c r="AA53" s="42">
        <v>0.72430555555555554</v>
      </c>
      <c r="AB53" s="42">
        <v>0.72430555555555554</v>
      </c>
      <c r="AC53" s="42">
        <v>0.75277777777777777</v>
      </c>
      <c r="AD53" s="44">
        <f>IF(PA[[#This Row],[Acknowledgement Time ]]="NA","",(PA[[#This Row],[Acknowledgement Time ]]-PA[[#This Row],[Fault Time]])*24)</f>
        <v>0</v>
      </c>
      <c r="AE53" s="44">
        <f>IF(PA[[#This Row],[Work Start time on Fault]]="NA","",(PA[[#This Row],[Work Start time on Fault]]-PA[[#This Row],[Fault Time]])*24)</f>
        <v>0</v>
      </c>
      <c r="AF53" s="45">
        <f>IF(PA[[#This Row],[Status]]="Open","",(PA[[#This Row],[Work Completion time on fault]]-PA[[#This Row],[Fault Time]])*24)</f>
        <v>0.68333333333333357</v>
      </c>
      <c r="AG53" s="44">
        <f>IFERROR((PA[[#This Row],[Work Completion time on fault]]-PA[[#This Row],[Fault Time]])*24,"")</f>
        <v>0.68333333333333357</v>
      </c>
      <c r="AH53" s="284" t="s">
        <v>248</v>
      </c>
      <c r="AI53" s="33" t="s">
        <v>235</v>
      </c>
      <c r="AJ53" s="35" t="str">
        <f>IFERROR(PA[[#This Row],[Breakdown Time]]*PA[[#This Row],[Plant Equivalent Weightage]],"")</f>
        <v/>
      </c>
      <c r="AK53" s="38">
        <v>5.3963999999999998E-2</v>
      </c>
      <c r="AL53" s="51" t="str">
        <f>IFERROR((_xlfn.XLOOKUP($G53,'Modelling New'!D:D,'Modelling New'!$O:$O)*PA[[#This Row],[Lost PoA(kWh/m2)]]*PA[[#This Row],[DC Capacity Affected (kW)]]),"")</f>
        <v/>
      </c>
      <c r="AM53" s="33"/>
      <c r="AN53" s="33"/>
      <c r="AO53" s="33"/>
      <c r="AP53" s="33"/>
    </row>
    <row r="54" spans="1:42">
      <c r="A54" s="30">
        <v>53</v>
      </c>
      <c r="B54" s="31"/>
      <c r="C54" s="32">
        <f>YEAR(PA[[#This Row],[Date]])+IF(MONTH(PA[[#This Row],[Date]])&gt;=4,1,0)</f>
        <v>1900</v>
      </c>
      <c r="D54" s="32">
        <f>YEAR(PA[[#This Row],[Date]])</f>
        <v>1900</v>
      </c>
      <c r="E54" s="33" t="s">
        <v>157</v>
      </c>
      <c r="F54" s="33" t="s">
        <v>157</v>
      </c>
      <c r="G54" s="194">
        <f>PA[[#This Row],[Date]]-DAY(PA[[#This Row],[Date]])+1</f>
        <v>1</v>
      </c>
      <c r="H54" s="32">
        <f>DAY(EOMONTH(PA[[#This Row],[Month Year]],0))</f>
        <v>31</v>
      </c>
      <c r="I54" s="121"/>
      <c r="J54" s="121"/>
      <c r="K54" s="35">
        <f>IFERROR((PA[[#This Row],[Sunset Time (POA&lt;20 W/m2)]]-PA[[#This Row],[Sunrise Time (POA&gt;20 W/m2)]])*24,"")</f>
        <v>0</v>
      </c>
      <c r="L54" s="33"/>
      <c r="M54" s="33"/>
      <c r="N54" s="33"/>
      <c r="O54" s="36"/>
      <c r="P54" s="36"/>
      <c r="Q54" s="285"/>
      <c r="R54" s="32">
        <f>IF((PA[[#This Row],[String Type(If String BD)]]&amp;PA[[#This Row],[Equipment (If any BD other than PV  array and inv)]])="",1,0)</f>
        <v>1</v>
      </c>
      <c r="S54" s="32">
        <f>IF(PA[[#This Row],[String Type(If String BD)]]="",1,0)</f>
        <v>1</v>
      </c>
      <c r="T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4" s="35" t="str">
        <f>IFERROR(_xlfn.XLOOKUP(PA[[#This Row],[Affected Equipment ]],'Basic Data'!N:N,'Basic Data'!Q:Q),"")</f>
        <v/>
      </c>
      <c r="V54" s="39" t="str">
        <f>IFERROR(_xlfn.XLOOKUP(PA[[#This Row],[Affected Equipment ]],'Basic Data'!N:N,'Basic Data'!R:R),"")</f>
        <v/>
      </c>
      <c r="W54" s="36" t="s">
        <v>240</v>
      </c>
      <c r="X54" s="41"/>
      <c r="Y54" s="283" t="s">
        <v>247</v>
      </c>
      <c r="Z54" s="42">
        <v>0.35069444444444442</v>
      </c>
      <c r="AA54" s="42">
        <v>0.35069444444444442</v>
      </c>
      <c r="AB54" s="42">
        <v>0.35069444444444442</v>
      </c>
      <c r="AC54" s="42">
        <v>0.38333333333333336</v>
      </c>
      <c r="AD54" s="44">
        <f>IF(PA[[#This Row],[Acknowledgement Time ]]="NA","",(PA[[#This Row],[Acknowledgement Time ]]-PA[[#This Row],[Fault Time]])*24)</f>
        <v>0</v>
      </c>
      <c r="AE54" s="44">
        <f>IF(PA[[#This Row],[Work Start time on Fault]]="NA","",(PA[[#This Row],[Work Start time on Fault]]-PA[[#This Row],[Fault Time]])*24)</f>
        <v>0</v>
      </c>
      <c r="AF54" s="45">
        <f>IF(PA[[#This Row],[Status]]="Open","",(PA[[#This Row],[Work Completion time on fault]]-PA[[#This Row],[Fault Time]])*24)</f>
        <v>0.78333333333333455</v>
      </c>
      <c r="AG54" s="44">
        <f>IFERROR((PA[[#This Row],[Work Completion time on fault]]-PA[[#This Row],[Fault Time]])*24,"")</f>
        <v>0.78333333333333455</v>
      </c>
      <c r="AH54" s="284" t="s">
        <v>248</v>
      </c>
      <c r="AI54" s="33" t="s">
        <v>235</v>
      </c>
      <c r="AJ54" s="35" t="str">
        <f>IFERROR(PA[[#This Row],[Breakdown Time]]*PA[[#This Row],[Plant Equivalent Weightage]],"")</f>
        <v/>
      </c>
      <c r="AK54" s="36">
        <v>0.359659065</v>
      </c>
      <c r="AL54" s="51" t="str">
        <f>IFERROR((_xlfn.XLOOKUP($G54,'Modelling New'!D:D,'Modelling New'!$O:$O)*PA[[#This Row],[Lost PoA(kWh/m2)]]*PA[[#This Row],[DC Capacity Affected (kW)]]),"")</f>
        <v/>
      </c>
      <c r="AM54" s="285"/>
      <c r="AN54" s="285"/>
      <c r="AO54" s="285"/>
      <c r="AP54" s="285"/>
    </row>
    <row r="55" spans="1:42">
      <c r="A55" s="30">
        <v>54</v>
      </c>
      <c r="B55" s="31"/>
      <c r="C55" s="32">
        <f>YEAR(PA[[#This Row],[Date]])+IF(MONTH(PA[[#This Row],[Date]])&gt;=4,1,0)</f>
        <v>1900</v>
      </c>
      <c r="D55" s="32">
        <f>YEAR(PA[[#This Row],[Date]])</f>
        <v>1900</v>
      </c>
      <c r="E55" s="33" t="s">
        <v>157</v>
      </c>
      <c r="F55" s="33" t="s">
        <v>157</v>
      </c>
      <c r="G55" s="194">
        <f>PA[[#This Row],[Date]]-DAY(PA[[#This Row],[Date]])+1</f>
        <v>1</v>
      </c>
      <c r="H55" s="32">
        <f>DAY(EOMONTH(PA[[#This Row],[Month Year]],0))</f>
        <v>31</v>
      </c>
      <c r="I55" s="121"/>
      <c r="J55" s="121"/>
      <c r="K55" s="35">
        <f>IFERROR((PA[[#This Row],[Sunset Time (POA&lt;20 W/m2)]]-PA[[#This Row],[Sunrise Time (POA&gt;20 W/m2)]])*24,"")</f>
        <v>0</v>
      </c>
      <c r="L55" s="33"/>
      <c r="M55" s="33"/>
      <c r="N55" s="33"/>
      <c r="O55" s="36"/>
      <c r="P55" s="36"/>
      <c r="Q55" s="285"/>
      <c r="R55" s="32">
        <f>IF((PA[[#This Row],[String Type(If String BD)]]&amp;PA[[#This Row],[Equipment (If any BD other than PV  array and inv)]])="",1,0)</f>
        <v>1</v>
      </c>
      <c r="S55" s="32">
        <f>IF(PA[[#This Row],[String Type(If String BD)]]="",1,0)</f>
        <v>1</v>
      </c>
      <c r="T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5" s="35" t="str">
        <f>IFERROR(_xlfn.XLOOKUP(PA[[#This Row],[Affected Equipment ]],'Basic Data'!N:N,'Basic Data'!Q:Q),"")</f>
        <v/>
      </c>
      <c r="V55" s="39" t="str">
        <f>IFERROR(_xlfn.XLOOKUP(PA[[#This Row],[Affected Equipment ]],'Basic Data'!N:N,'Basic Data'!R:R),"")</f>
        <v/>
      </c>
      <c r="W55" s="36" t="s">
        <v>240</v>
      </c>
      <c r="X55" s="41"/>
      <c r="Y55" s="283" t="s">
        <v>247</v>
      </c>
      <c r="Z55" s="42">
        <v>0.33402777777777776</v>
      </c>
      <c r="AA55" s="42">
        <v>0.33402777777777776</v>
      </c>
      <c r="AB55" s="42">
        <v>0.33402777777777776</v>
      </c>
      <c r="AC55" s="42">
        <v>0.42152777777777778</v>
      </c>
      <c r="AD55" s="44">
        <f>IF(PA[[#This Row],[Acknowledgement Time ]]="NA","",(PA[[#This Row],[Acknowledgement Time ]]-PA[[#This Row],[Fault Time]])*24)</f>
        <v>0</v>
      </c>
      <c r="AE55" s="44">
        <f>IF(PA[[#This Row],[Work Start time on Fault]]="NA","",(PA[[#This Row],[Work Start time on Fault]]-PA[[#This Row],[Fault Time]])*24)</f>
        <v>0</v>
      </c>
      <c r="AF55" s="45">
        <f>IF(PA[[#This Row],[Status]]="Open","",(PA[[#This Row],[Work Completion time on fault]]-PA[[#This Row],[Fault Time]])*24)</f>
        <v>2.1000000000000005</v>
      </c>
      <c r="AG55" s="44">
        <f>IFERROR((PA[[#This Row],[Work Completion time on fault]]-PA[[#This Row],[Fault Time]])*24,"")</f>
        <v>2.1000000000000005</v>
      </c>
      <c r="AH55" s="284" t="s">
        <v>248</v>
      </c>
      <c r="AI55" s="33" t="s">
        <v>235</v>
      </c>
      <c r="AJ55" s="35" t="str">
        <f>IFERROR(PA[[#This Row],[Breakdown Time]]*PA[[#This Row],[Plant Equivalent Weightage]],"")</f>
        <v/>
      </c>
      <c r="AK55" s="36">
        <v>1.09785</v>
      </c>
      <c r="AL55" s="51" t="str">
        <f>IFERROR((_xlfn.XLOOKUP($G55,'Modelling New'!D:D,'Modelling New'!$O:$O)*PA[[#This Row],[Lost PoA(kWh/m2)]]*PA[[#This Row],[DC Capacity Affected (kW)]]),"")</f>
        <v/>
      </c>
      <c r="AM55" s="33"/>
      <c r="AN55" s="33"/>
      <c r="AO55" s="33"/>
      <c r="AP55" s="33"/>
    </row>
    <row r="56" spans="1:42">
      <c r="A56" s="30">
        <v>55</v>
      </c>
      <c r="B56" s="31"/>
      <c r="C56" s="32">
        <f>YEAR(PA[[#This Row],[Date]])+IF(MONTH(PA[[#This Row],[Date]])&gt;=4,1,0)</f>
        <v>1900</v>
      </c>
      <c r="D56" s="32">
        <f>YEAR(PA[[#This Row],[Date]])</f>
        <v>1900</v>
      </c>
      <c r="E56" s="33" t="s">
        <v>157</v>
      </c>
      <c r="F56" s="33" t="s">
        <v>157</v>
      </c>
      <c r="G56" s="194">
        <f>PA[[#This Row],[Date]]-DAY(PA[[#This Row],[Date]])+1</f>
        <v>1</v>
      </c>
      <c r="H56" s="32">
        <f>DAY(EOMONTH(PA[[#This Row],[Month Year]],0))</f>
        <v>31</v>
      </c>
      <c r="I56" s="121"/>
      <c r="J56" s="121"/>
      <c r="K56" s="35">
        <f>IFERROR((PA[[#This Row],[Sunset Time (POA&lt;20 W/m2)]]-PA[[#This Row],[Sunrise Time (POA&gt;20 W/m2)]])*24,"")</f>
        <v>0</v>
      </c>
      <c r="L56" s="33"/>
      <c r="M56" s="33"/>
      <c r="N56" s="33"/>
      <c r="O56" s="36"/>
      <c r="P56" s="36"/>
      <c r="Q56" s="285"/>
      <c r="R56" s="32">
        <f>IF((PA[[#This Row],[String Type(If String BD)]]&amp;PA[[#This Row],[Equipment (If any BD other than PV  array and inv)]])="",1,0)</f>
        <v>1</v>
      </c>
      <c r="S56" s="32">
        <f>IF(PA[[#This Row],[String Type(If String BD)]]="",1,0)</f>
        <v>1</v>
      </c>
      <c r="T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6" s="35" t="str">
        <f>IFERROR(_xlfn.XLOOKUP(PA[[#This Row],[Affected Equipment ]],'Basic Data'!N:N,'Basic Data'!Q:Q),"")</f>
        <v/>
      </c>
      <c r="V56" s="39" t="str">
        <f>IFERROR(_xlfn.XLOOKUP(PA[[#This Row],[Affected Equipment ]],'Basic Data'!N:N,'Basic Data'!R:R),"")</f>
        <v/>
      </c>
      <c r="W56" s="36" t="s">
        <v>240</v>
      </c>
      <c r="X56" s="40"/>
      <c r="Y56" s="283" t="s">
        <v>254</v>
      </c>
      <c r="Z56" s="42">
        <v>0.25763888888888886</v>
      </c>
      <c r="AA56" s="42">
        <v>0.25763888888888886</v>
      </c>
      <c r="AB56" s="42">
        <v>0.25763888888888886</v>
      </c>
      <c r="AC56" s="42">
        <v>0.625</v>
      </c>
      <c r="AD56" s="44">
        <f>IF(PA[[#This Row],[Acknowledgement Time ]]="NA","",(PA[[#This Row],[Acknowledgement Time ]]-PA[[#This Row],[Fault Time]])*24)</f>
        <v>0</v>
      </c>
      <c r="AE56" s="44">
        <f>IF(PA[[#This Row],[Work Start time on Fault]]="NA","",(PA[[#This Row],[Work Start time on Fault]]-PA[[#This Row],[Fault Time]])*24)</f>
        <v>0</v>
      </c>
      <c r="AF56" s="45">
        <f>IF(PA[[#This Row],[Status]]="Open","",(PA[[#This Row],[Work Completion time on fault]]-PA[[#This Row],[Fault Time]])*24)</f>
        <v>8.8166666666666664</v>
      </c>
      <c r="AG56" s="44">
        <f>IFERROR((PA[[#This Row],[Work Completion time on fault]]-PA[[#This Row],[Fault Time]])*24,"")</f>
        <v>8.8166666666666664</v>
      </c>
      <c r="AH56" s="284" t="s">
        <v>248</v>
      </c>
      <c r="AI56" s="33" t="s">
        <v>235</v>
      </c>
      <c r="AJ56" s="35" t="str">
        <f>IFERROR(PA[[#This Row],[Breakdown Time]]*PA[[#This Row],[Plant Equivalent Weightage]],"")</f>
        <v/>
      </c>
      <c r="AK56" s="36">
        <v>6.57</v>
      </c>
      <c r="AL56" s="51" t="str">
        <f>IFERROR((_xlfn.XLOOKUP($G56,'Modelling New'!D:D,'Modelling New'!$O:$O)*PA[[#This Row],[Lost PoA(kWh/m2)]]*PA[[#This Row],[DC Capacity Affected (kW)]]),"")</f>
        <v/>
      </c>
      <c r="AM56" s="33"/>
      <c r="AN56" s="33"/>
      <c r="AO56" s="33"/>
      <c r="AP56" s="33"/>
    </row>
    <row r="57" spans="1:42">
      <c r="A57" s="30">
        <v>56</v>
      </c>
      <c r="B57" s="31"/>
      <c r="C57" s="32">
        <f>YEAR(PA[[#This Row],[Date]])+IF(MONTH(PA[[#This Row],[Date]])&gt;=4,1,0)</f>
        <v>1900</v>
      </c>
      <c r="D57" s="32">
        <f>YEAR(PA[[#This Row],[Date]])</f>
        <v>1900</v>
      </c>
      <c r="E57" s="33" t="s">
        <v>157</v>
      </c>
      <c r="F57" s="33" t="s">
        <v>157</v>
      </c>
      <c r="G57" s="194">
        <f>PA[[#This Row],[Date]]-DAY(PA[[#This Row],[Date]])+1</f>
        <v>1</v>
      </c>
      <c r="H57" s="32">
        <f>DAY(EOMONTH(PA[[#This Row],[Month Year]],0))</f>
        <v>31</v>
      </c>
      <c r="I57" s="121"/>
      <c r="J57" s="121"/>
      <c r="K57" s="35">
        <f>IFERROR((PA[[#This Row],[Sunset Time (POA&lt;20 W/m2)]]-PA[[#This Row],[Sunrise Time (POA&gt;20 W/m2)]])*24,"")</f>
        <v>0</v>
      </c>
      <c r="L57" s="33"/>
      <c r="M57" s="33"/>
      <c r="N57" s="33"/>
      <c r="O57" s="36"/>
      <c r="P57" s="36"/>
      <c r="Q57" s="33"/>
      <c r="R57" s="32">
        <f>IF((PA[[#This Row],[String Type(If String BD)]]&amp;PA[[#This Row],[Equipment (If any BD other than PV  array and inv)]])="",1,0)</f>
        <v>1</v>
      </c>
      <c r="S57" s="32">
        <f>IF(PA[[#This Row],[String Type(If String BD)]]="",1,0)</f>
        <v>1</v>
      </c>
      <c r="T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7" s="35" t="str">
        <f>IFERROR(_xlfn.XLOOKUP(PA[[#This Row],[Affected Equipment ]],'Basic Data'!N:N,'Basic Data'!Q:Q),"")</f>
        <v/>
      </c>
      <c r="V57" s="39" t="str">
        <f>IFERROR(_xlfn.XLOOKUP(PA[[#This Row],[Affected Equipment ]],'Basic Data'!N:N,'Basic Data'!R:R),"")</f>
        <v/>
      </c>
      <c r="W57" s="36" t="s">
        <v>240</v>
      </c>
      <c r="X57" s="40"/>
      <c r="Y57" s="283" t="s">
        <v>255</v>
      </c>
      <c r="Z57" s="42">
        <v>0.25763888888888886</v>
      </c>
      <c r="AA57" s="42">
        <v>0.25763888888888886</v>
      </c>
      <c r="AB57" s="42">
        <v>0.25763888888888886</v>
      </c>
      <c r="AC57" s="42">
        <v>0.625</v>
      </c>
      <c r="AD57" s="44">
        <f>IF(PA[[#This Row],[Acknowledgement Time ]]="NA","",(PA[[#This Row],[Acknowledgement Time ]]-PA[[#This Row],[Fault Time]])*24)</f>
        <v>0</v>
      </c>
      <c r="AE57" s="44">
        <f>IF(PA[[#This Row],[Work Start time on Fault]]="NA","",(PA[[#This Row],[Work Start time on Fault]]-PA[[#This Row],[Fault Time]])*24)</f>
        <v>0</v>
      </c>
      <c r="AF57" s="45">
        <f>IF(PA[[#This Row],[Status]]="Open","",(PA[[#This Row],[Work Completion time on fault]]-PA[[#This Row],[Fault Time]])*24)</f>
        <v>8.8166666666666664</v>
      </c>
      <c r="AG57" s="44">
        <f>IFERROR((PA[[#This Row],[Work Completion time on fault]]-PA[[#This Row],[Fault Time]])*24,"")</f>
        <v>8.8166666666666664</v>
      </c>
      <c r="AH57" s="284" t="s">
        <v>248</v>
      </c>
      <c r="AI57" s="33" t="s">
        <v>235</v>
      </c>
      <c r="AJ57" s="35" t="str">
        <f>IFERROR(PA[[#This Row],[Breakdown Time]]*PA[[#This Row],[Plant Equivalent Weightage]],"")</f>
        <v/>
      </c>
      <c r="AK57" s="36">
        <v>6.57</v>
      </c>
      <c r="AL57" s="51" t="str">
        <f>IFERROR((_xlfn.XLOOKUP($G57,'Modelling New'!D:D,'Modelling New'!$O:$O)*PA[[#This Row],[Lost PoA(kWh/m2)]]*PA[[#This Row],[DC Capacity Affected (kW)]]),"")</f>
        <v/>
      </c>
      <c r="AM57" s="33"/>
      <c r="AN57" s="33"/>
      <c r="AO57" s="33"/>
      <c r="AP57" s="33"/>
    </row>
    <row r="58" spans="1:42">
      <c r="A58" s="30">
        <v>57</v>
      </c>
      <c r="B58" s="31"/>
      <c r="C58" s="32">
        <f>YEAR(PA[[#This Row],[Date]])+IF(MONTH(PA[[#This Row],[Date]])&gt;=4,1,0)</f>
        <v>1900</v>
      </c>
      <c r="D58" s="32">
        <f>YEAR(PA[[#This Row],[Date]])</f>
        <v>1900</v>
      </c>
      <c r="E58" s="33" t="s">
        <v>157</v>
      </c>
      <c r="F58" s="33" t="s">
        <v>157</v>
      </c>
      <c r="G58" s="194">
        <f>PA[[#This Row],[Date]]-DAY(PA[[#This Row],[Date]])+1</f>
        <v>1</v>
      </c>
      <c r="H58" s="32">
        <f>DAY(EOMONTH(PA[[#This Row],[Month Year]],0))</f>
        <v>31</v>
      </c>
      <c r="I58" s="121"/>
      <c r="J58" s="121"/>
      <c r="K58" s="35">
        <f>IFERROR((PA[[#This Row],[Sunset Time (POA&lt;20 W/m2)]]-PA[[#This Row],[Sunrise Time (POA&gt;20 W/m2)]])*24,"")</f>
        <v>0</v>
      </c>
      <c r="L58" s="33"/>
      <c r="M58" s="33"/>
      <c r="N58" s="33"/>
      <c r="O58" s="36"/>
      <c r="P58" s="36"/>
      <c r="Q58" s="33"/>
      <c r="R58" s="32">
        <f>IF((PA[[#This Row],[String Type(If String BD)]]&amp;PA[[#This Row],[Equipment (If any BD other than PV  array and inv)]])="",1,0)</f>
        <v>1</v>
      </c>
      <c r="S58" s="32">
        <f>IF(PA[[#This Row],[String Type(If String BD)]]="",1,0)</f>
        <v>1</v>
      </c>
      <c r="T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8" s="35" t="str">
        <f>IFERROR(_xlfn.XLOOKUP(PA[[#This Row],[Affected Equipment ]],'Basic Data'!N:N,'Basic Data'!Q:Q),"")</f>
        <v/>
      </c>
      <c r="V58" s="39" t="str">
        <f>IFERROR(_xlfn.XLOOKUP(PA[[#This Row],[Affected Equipment ]],'Basic Data'!N:N,'Basic Data'!R:R),"")</f>
        <v/>
      </c>
      <c r="W58" s="36" t="s">
        <v>240</v>
      </c>
      <c r="X58" s="40"/>
      <c r="Y58" s="283" t="s">
        <v>257</v>
      </c>
      <c r="Z58" s="42">
        <v>0.25763888888888886</v>
      </c>
      <c r="AA58" s="42">
        <v>0.25763888888888886</v>
      </c>
      <c r="AB58" s="42">
        <v>0.25763888888888886</v>
      </c>
      <c r="AC58" s="42">
        <v>0.75277777777777777</v>
      </c>
      <c r="AD58" s="44">
        <f>IF(PA[[#This Row],[Acknowledgement Time ]]="NA","",(PA[[#This Row],[Acknowledgement Time ]]-PA[[#This Row],[Fault Time]])*24)</f>
        <v>0</v>
      </c>
      <c r="AE58" s="44">
        <f>IF(PA[[#This Row],[Work Start time on Fault]]="NA","",(PA[[#This Row],[Work Start time on Fault]]-PA[[#This Row],[Fault Time]])*24)</f>
        <v>0</v>
      </c>
      <c r="AF58" s="45">
        <f>IF(PA[[#This Row],[Status]]="Open","",(PA[[#This Row],[Work Completion time on fault]]-PA[[#This Row],[Fault Time]])*24)</f>
        <v>11.883333333333333</v>
      </c>
      <c r="AG58" s="44">
        <f>IFERROR((PA[[#This Row],[Work Completion time on fault]]-PA[[#This Row],[Fault Time]])*24,"")</f>
        <v>11.883333333333333</v>
      </c>
      <c r="AH58" s="36" t="s">
        <v>251</v>
      </c>
      <c r="AI58" s="33" t="s">
        <v>235</v>
      </c>
      <c r="AJ58" s="35" t="str">
        <f>IFERROR(PA[[#This Row],[Breakdown Time]]*PA[[#This Row],[Plant Equivalent Weightage]],"")</f>
        <v/>
      </c>
      <c r="AK58" s="36">
        <v>5.5956636766666659</v>
      </c>
      <c r="AL58" s="51" t="str">
        <f>IFERROR((_xlfn.XLOOKUP($G58,'Modelling New'!D:D,'Modelling New'!$O:$O)*PA[[#This Row],[Lost PoA(kWh/m2)]]*PA[[#This Row],[DC Capacity Affected (kW)]]),"")</f>
        <v/>
      </c>
      <c r="AM58" s="33"/>
      <c r="AN58" s="33"/>
      <c r="AO58" s="33"/>
      <c r="AP58" s="33"/>
    </row>
    <row r="59" spans="1:42">
      <c r="A59" s="30">
        <v>58</v>
      </c>
      <c r="B59" s="31"/>
      <c r="C59" s="32">
        <f>YEAR(PA[[#This Row],[Date]])+IF(MONTH(PA[[#This Row],[Date]])&gt;=4,1,0)</f>
        <v>1900</v>
      </c>
      <c r="D59" s="32">
        <f>YEAR(PA[[#This Row],[Date]])</f>
        <v>1900</v>
      </c>
      <c r="E59" s="33" t="s">
        <v>157</v>
      </c>
      <c r="F59" s="33" t="s">
        <v>157</v>
      </c>
      <c r="G59" s="194">
        <f>PA[[#This Row],[Date]]-DAY(PA[[#This Row],[Date]])+1</f>
        <v>1</v>
      </c>
      <c r="H59" s="32">
        <f>DAY(EOMONTH(PA[[#This Row],[Month Year]],0))</f>
        <v>31</v>
      </c>
      <c r="I59" s="121"/>
      <c r="J59" s="121"/>
      <c r="K59" s="35">
        <f>IFERROR((PA[[#This Row],[Sunset Time (POA&lt;20 W/m2)]]-PA[[#This Row],[Sunrise Time (POA&gt;20 W/m2)]])*24,"")</f>
        <v>0</v>
      </c>
      <c r="L59" s="33"/>
      <c r="M59" s="33"/>
      <c r="N59" s="33"/>
      <c r="O59" s="36"/>
      <c r="P59" s="36"/>
      <c r="Q59" s="33"/>
      <c r="R59" s="32">
        <f>IF((PA[[#This Row],[String Type(If String BD)]]&amp;PA[[#This Row],[Equipment (If any BD other than PV  array and inv)]])="",1,0)</f>
        <v>1</v>
      </c>
      <c r="S59" s="32">
        <f>IF(PA[[#This Row],[String Type(If String BD)]]="",1,0)</f>
        <v>1</v>
      </c>
      <c r="T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59" s="35" t="str">
        <f>IFERROR(_xlfn.XLOOKUP(PA[[#This Row],[Affected Equipment ]],'Basic Data'!N:N,'Basic Data'!Q:Q),"")</f>
        <v/>
      </c>
      <c r="V59" s="39" t="str">
        <f>IFERROR(_xlfn.XLOOKUP(PA[[#This Row],[Affected Equipment ]],'Basic Data'!N:N,'Basic Data'!R:R),"")</f>
        <v/>
      </c>
      <c r="W59" s="36" t="s">
        <v>240</v>
      </c>
      <c r="X59" s="40"/>
      <c r="Y59" s="283" t="s">
        <v>259</v>
      </c>
      <c r="Z59" s="42">
        <v>0.25763888888888886</v>
      </c>
      <c r="AA59" s="42">
        <v>0.25763888888888886</v>
      </c>
      <c r="AB59" s="42">
        <v>0.25763888888888886</v>
      </c>
      <c r="AC59" s="42">
        <v>0.75277777777777777</v>
      </c>
      <c r="AD59" s="44">
        <f>IF(PA[[#This Row],[Acknowledgement Time ]]="NA","",(PA[[#This Row],[Acknowledgement Time ]]-PA[[#This Row],[Fault Time]])*24)</f>
        <v>0</v>
      </c>
      <c r="AE59" s="44">
        <f>IF(PA[[#This Row],[Work Start time on Fault]]="NA","",(PA[[#This Row],[Work Start time on Fault]]-PA[[#This Row],[Fault Time]])*24)</f>
        <v>0</v>
      </c>
      <c r="AF59" s="45">
        <f>IF(PA[[#This Row],[Status]]="Open","",(PA[[#This Row],[Work Completion time on fault]]-PA[[#This Row],[Fault Time]])*24)</f>
        <v>11.883333333333333</v>
      </c>
      <c r="AG59" s="44">
        <f>IFERROR((PA[[#This Row],[Work Completion time on fault]]-PA[[#This Row],[Fault Time]])*24,"")</f>
        <v>11.883333333333333</v>
      </c>
      <c r="AH59" s="36" t="s">
        <v>251</v>
      </c>
      <c r="AI59" s="33" t="s">
        <v>235</v>
      </c>
      <c r="AJ59" s="35" t="str">
        <f>IFERROR(PA[[#This Row],[Breakdown Time]]*PA[[#This Row],[Plant Equivalent Weightage]],"")</f>
        <v/>
      </c>
      <c r="AK59" s="36">
        <v>5.5956636766666659</v>
      </c>
      <c r="AL59" s="51" t="str">
        <f>IFERROR((_xlfn.XLOOKUP($G59,'Modelling New'!D:D,'Modelling New'!$O:$O)*PA[[#This Row],[Lost PoA(kWh/m2)]]*PA[[#This Row],[DC Capacity Affected (kW)]]),"")</f>
        <v/>
      </c>
      <c r="AM59" s="33"/>
      <c r="AN59" s="33"/>
      <c r="AO59" s="33"/>
      <c r="AP59" s="33"/>
    </row>
    <row r="60" spans="1:42">
      <c r="A60" s="30">
        <v>59</v>
      </c>
      <c r="B60" s="31"/>
      <c r="C60" s="32">
        <f>YEAR(PA[[#This Row],[Date]])+IF(MONTH(PA[[#This Row],[Date]])&gt;=4,1,0)</f>
        <v>1900</v>
      </c>
      <c r="D60" s="32">
        <f>YEAR(PA[[#This Row],[Date]])</f>
        <v>1900</v>
      </c>
      <c r="E60" s="33" t="s">
        <v>157</v>
      </c>
      <c r="F60" s="33" t="s">
        <v>157</v>
      </c>
      <c r="G60" s="194">
        <f>PA[[#This Row],[Date]]-DAY(PA[[#This Row],[Date]])+1</f>
        <v>1</v>
      </c>
      <c r="H60" s="32">
        <f>DAY(EOMONTH(PA[[#This Row],[Month Year]],0))</f>
        <v>31</v>
      </c>
      <c r="I60" s="121"/>
      <c r="J60" s="121"/>
      <c r="K60" s="35">
        <f>IFERROR((PA[[#This Row],[Sunset Time (POA&lt;20 W/m2)]]-PA[[#This Row],[Sunrise Time (POA&gt;20 W/m2)]])*24,"")</f>
        <v>0</v>
      </c>
      <c r="L60" s="33"/>
      <c r="M60" s="33"/>
      <c r="N60" s="33"/>
      <c r="O60" s="36"/>
      <c r="P60" s="36"/>
      <c r="Q60" s="33"/>
      <c r="R60" s="32">
        <f>IF((PA[[#This Row],[String Type(If String BD)]]&amp;PA[[#This Row],[Equipment (If any BD other than PV  array and inv)]])="",1,0)</f>
        <v>1</v>
      </c>
      <c r="S60" s="32">
        <f>IF(PA[[#This Row],[String Type(If String BD)]]="",1,0)</f>
        <v>1</v>
      </c>
      <c r="T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0" s="35" t="str">
        <f>IFERROR(_xlfn.XLOOKUP(PA[[#This Row],[Affected Equipment ]],'Basic Data'!N:N,'Basic Data'!Q:Q),"")</f>
        <v/>
      </c>
      <c r="V60" s="39" t="str">
        <f>IFERROR(_xlfn.XLOOKUP(PA[[#This Row],[Affected Equipment ]],'Basic Data'!N:N,'Basic Data'!R:R),"")</f>
        <v/>
      </c>
      <c r="W60" s="36" t="s">
        <v>240</v>
      </c>
      <c r="X60" s="40"/>
      <c r="Y60" s="283" t="s">
        <v>254</v>
      </c>
      <c r="Z60" s="42">
        <v>0.26597222222222222</v>
      </c>
      <c r="AA60" s="42">
        <v>0.26597222222222222</v>
      </c>
      <c r="AB60" s="42">
        <v>0.26597222222222222</v>
      </c>
      <c r="AC60" s="42">
        <v>0.76736111111111116</v>
      </c>
      <c r="AD60" s="44">
        <f>IF(PA[[#This Row],[Acknowledgement Time ]]="NA","",(PA[[#This Row],[Acknowledgement Time ]]-PA[[#This Row],[Fault Time]])*24)</f>
        <v>0</v>
      </c>
      <c r="AE60" s="44">
        <f>IF(PA[[#This Row],[Work Start time on Fault]]="NA","",(PA[[#This Row],[Work Start time on Fault]]-PA[[#This Row],[Fault Time]])*24)</f>
        <v>0</v>
      </c>
      <c r="AF60" s="45">
        <f>IF(PA[[#This Row],[Status]]="Open","",(PA[[#This Row],[Work Completion time on fault]]-PA[[#This Row],[Fault Time]])*24)</f>
        <v>12.033333333333333</v>
      </c>
      <c r="AG60" s="44">
        <f>IFERROR((PA[[#This Row],[Work Completion time on fault]]-PA[[#This Row],[Fault Time]])*24,"")</f>
        <v>12.033333333333333</v>
      </c>
      <c r="AH60" s="36" t="s">
        <v>251</v>
      </c>
      <c r="AI60" s="33" t="s">
        <v>235</v>
      </c>
      <c r="AJ60" s="35" t="str">
        <f>IFERROR(PA[[#This Row],[Breakdown Time]]*PA[[#This Row],[Plant Equivalent Weightage]],"")</f>
        <v/>
      </c>
      <c r="AK60" s="36">
        <v>7.02</v>
      </c>
      <c r="AL60" s="51" t="str">
        <f>IFERROR((_xlfn.XLOOKUP($G60,'Modelling New'!D:D,'Modelling New'!$O:$O)*PA[[#This Row],[Lost PoA(kWh/m2)]]*PA[[#This Row],[DC Capacity Affected (kW)]]),"")</f>
        <v/>
      </c>
      <c r="AM60" s="33"/>
      <c r="AN60" s="33"/>
      <c r="AO60" s="33"/>
      <c r="AP60" s="33"/>
    </row>
    <row r="61" spans="1:42">
      <c r="A61" s="30">
        <v>60</v>
      </c>
      <c r="B61" s="31"/>
      <c r="C61" s="32">
        <f>YEAR(PA[[#This Row],[Date]])+IF(MONTH(PA[[#This Row],[Date]])&gt;=4,1,0)</f>
        <v>1900</v>
      </c>
      <c r="D61" s="32">
        <f>YEAR(PA[[#This Row],[Date]])</f>
        <v>1900</v>
      </c>
      <c r="E61" s="33" t="s">
        <v>157</v>
      </c>
      <c r="F61" s="33" t="s">
        <v>157</v>
      </c>
      <c r="G61" s="194">
        <f>PA[[#This Row],[Date]]-DAY(PA[[#This Row],[Date]])+1</f>
        <v>1</v>
      </c>
      <c r="H61" s="32">
        <f>DAY(EOMONTH(PA[[#This Row],[Month Year]],0))</f>
        <v>31</v>
      </c>
      <c r="I61" s="121"/>
      <c r="J61" s="121"/>
      <c r="K61" s="35">
        <f>IFERROR((PA[[#This Row],[Sunset Time (POA&lt;20 W/m2)]]-PA[[#This Row],[Sunrise Time (POA&gt;20 W/m2)]])*24,"")</f>
        <v>0</v>
      </c>
      <c r="L61" s="33"/>
      <c r="M61" s="33"/>
      <c r="N61" s="33"/>
      <c r="O61" s="36"/>
      <c r="P61" s="36"/>
      <c r="Q61" s="33"/>
      <c r="R61" s="32">
        <f>IF((PA[[#This Row],[String Type(If String BD)]]&amp;PA[[#This Row],[Equipment (If any BD other than PV  array and inv)]])="",1,0)</f>
        <v>1</v>
      </c>
      <c r="S61" s="32">
        <f>IF(PA[[#This Row],[String Type(If String BD)]]="",1,0)</f>
        <v>1</v>
      </c>
      <c r="T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1" s="35" t="str">
        <f>IFERROR(_xlfn.XLOOKUP(PA[[#This Row],[Affected Equipment ]],'Basic Data'!N:N,'Basic Data'!Q:Q),"")</f>
        <v/>
      </c>
      <c r="V61" s="39" t="str">
        <f>IFERROR(_xlfn.XLOOKUP(PA[[#This Row],[Affected Equipment ]],'Basic Data'!N:N,'Basic Data'!R:R),"")</f>
        <v/>
      </c>
      <c r="W61" s="36" t="s">
        <v>240</v>
      </c>
      <c r="X61" s="40"/>
      <c r="Y61" s="283" t="s">
        <v>255</v>
      </c>
      <c r="Z61" s="42">
        <v>0.25486111111111109</v>
      </c>
      <c r="AA61" s="42">
        <v>0.25486111111111109</v>
      </c>
      <c r="AB61" s="42">
        <v>0.25486111111111109</v>
      </c>
      <c r="AC61" s="42">
        <v>0.7729166666666667</v>
      </c>
      <c r="AD61" s="44">
        <f>IF(PA[[#This Row],[Acknowledgement Time ]]="NA","",(PA[[#This Row],[Acknowledgement Time ]]-PA[[#This Row],[Fault Time]])*24)</f>
        <v>0</v>
      </c>
      <c r="AE61" s="44">
        <f>IF(PA[[#This Row],[Work Start time on Fault]]="NA","",(PA[[#This Row],[Work Start time on Fault]]-PA[[#This Row],[Fault Time]])*24)</f>
        <v>0</v>
      </c>
      <c r="AF61" s="45">
        <f>IF(PA[[#This Row],[Status]]="Open","",(PA[[#This Row],[Work Completion time on fault]]-PA[[#This Row],[Fault Time]])*24)</f>
        <v>12.433333333333334</v>
      </c>
      <c r="AG61" s="44">
        <f>IFERROR((PA[[#This Row],[Work Completion time on fault]]-PA[[#This Row],[Fault Time]])*24,"")</f>
        <v>12.433333333333334</v>
      </c>
      <c r="AH61" s="36" t="s">
        <v>251</v>
      </c>
      <c r="AI61" s="33" t="s">
        <v>235</v>
      </c>
      <c r="AJ61" s="35" t="str">
        <f>IFERROR(PA[[#This Row],[Breakdown Time]]*PA[[#This Row],[Plant Equivalent Weightage]],"")</f>
        <v/>
      </c>
      <c r="AK61" s="36">
        <v>6.01</v>
      </c>
      <c r="AL61" s="51" t="str">
        <f>IFERROR((_xlfn.XLOOKUP($G61,'Modelling New'!D:D,'Modelling New'!$O:$O)*PA[[#This Row],[Lost PoA(kWh/m2)]]*PA[[#This Row],[DC Capacity Affected (kW)]]),"")</f>
        <v/>
      </c>
      <c r="AM61" s="33"/>
      <c r="AN61" s="33"/>
      <c r="AO61" s="33"/>
      <c r="AP61" s="33"/>
    </row>
    <row r="62" spans="1:42">
      <c r="A62" s="30">
        <v>61</v>
      </c>
      <c r="B62" s="31"/>
      <c r="C62" s="32">
        <f>YEAR(PA[[#This Row],[Date]])+IF(MONTH(PA[[#This Row],[Date]])&gt;=4,1,0)</f>
        <v>1900</v>
      </c>
      <c r="D62" s="32">
        <f>YEAR(PA[[#This Row],[Date]])</f>
        <v>1900</v>
      </c>
      <c r="E62" s="33" t="s">
        <v>157</v>
      </c>
      <c r="F62" s="33" t="s">
        <v>157</v>
      </c>
      <c r="G62" s="194">
        <f>PA[[#This Row],[Date]]-DAY(PA[[#This Row],[Date]])+1</f>
        <v>1</v>
      </c>
      <c r="H62" s="32">
        <f>DAY(EOMONTH(PA[[#This Row],[Month Year]],0))</f>
        <v>31</v>
      </c>
      <c r="I62" s="121"/>
      <c r="J62" s="121"/>
      <c r="K62" s="35">
        <f>IFERROR((PA[[#This Row],[Sunset Time (POA&lt;20 W/m2)]]-PA[[#This Row],[Sunrise Time (POA&gt;20 W/m2)]])*24,"")</f>
        <v>0</v>
      </c>
      <c r="L62" s="33"/>
      <c r="M62" s="33"/>
      <c r="N62" s="33"/>
      <c r="O62" s="36"/>
      <c r="P62" s="36"/>
      <c r="Q62" s="33"/>
      <c r="R62" s="32">
        <f>IF((PA[[#This Row],[String Type(If String BD)]]&amp;PA[[#This Row],[Equipment (If any BD other than PV  array and inv)]])="",1,0)</f>
        <v>1</v>
      </c>
      <c r="S62" s="32">
        <f>IF(PA[[#This Row],[String Type(If String BD)]]="",1,0)</f>
        <v>1</v>
      </c>
      <c r="T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2" s="35" t="str">
        <f>IFERROR(_xlfn.XLOOKUP(PA[[#This Row],[Affected Equipment ]],'Basic Data'!N:N,'Basic Data'!Q:Q),"")</f>
        <v/>
      </c>
      <c r="V62" s="39" t="str">
        <f>IFERROR(_xlfn.XLOOKUP(PA[[#This Row],[Affected Equipment ]],'Basic Data'!N:N,'Basic Data'!R:R),"")</f>
        <v/>
      </c>
      <c r="W62" s="36" t="s">
        <v>240</v>
      </c>
      <c r="X62" s="40"/>
      <c r="Y62" s="283" t="s">
        <v>254</v>
      </c>
      <c r="Z62" s="42">
        <v>0.25486111111111109</v>
      </c>
      <c r="AA62" s="42">
        <v>0.25486111111111109</v>
      </c>
      <c r="AB62" s="42">
        <v>0.25486111111111109</v>
      </c>
      <c r="AC62" s="42">
        <v>0.7729166666666667</v>
      </c>
      <c r="AD62" s="44">
        <f>IF(PA[[#This Row],[Acknowledgement Time ]]="NA","",(PA[[#This Row],[Acknowledgement Time ]]-PA[[#This Row],[Fault Time]])*24)</f>
        <v>0</v>
      </c>
      <c r="AE62" s="44">
        <f>IF(PA[[#This Row],[Work Start time on Fault]]="NA","",(PA[[#This Row],[Work Start time on Fault]]-PA[[#This Row],[Fault Time]])*24)</f>
        <v>0</v>
      </c>
      <c r="AF62" s="45">
        <f>IF(PA[[#This Row],[Status]]="Open","",(PA[[#This Row],[Work Completion time on fault]]-PA[[#This Row],[Fault Time]])*24)</f>
        <v>12.433333333333334</v>
      </c>
      <c r="AG62" s="44">
        <f>IFERROR((PA[[#This Row],[Work Completion time on fault]]-PA[[#This Row],[Fault Time]])*24,"")</f>
        <v>12.433333333333334</v>
      </c>
      <c r="AH62" s="36" t="s">
        <v>251</v>
      </c>
      <c r="AI62" s="33" t="s">
        <v>235</v>
      </c>
      <c r="AJ62" s="35" t="str">
        <f>IFERROR(PA[[#This Row],[Breakdown Time]]*PA[[#This Row],[Plant Equivalent Weightage]],"")</f>
        <v/>
      </c>
      <c r="AK62" s="36">
        <v>6.01</v>
      </c>
      <c r="AL62" s="51" t="str">
        <f>IFERROR((_xlfn.XLOOKUP($G62,'Modelling New'!D:D,'Modelling New'!$O:$O)*PA[[#This Row],[Lost PoA(kWh/m2)]]*PA[[#This Row],[DC Capacity Affected (kW)]]),"")</f>
        <v/>
      </c>
      <c r="AM62" s="33"/>
      <c r="AN62" s="33"/>
      <c r="AO62" s="33"/>
      <c r="AP62" s="33"/>
    </row>
    <row r="63" spans="1:42">
      <c r="A63" s="30">
        <v>62</v>
      </c>
      <c r="B63" s="31"/>
      <c r="C63" s="32">
        <f>YEAR(PA[[#This Row],[Date]])+IF(MONTH(PA[[#This Row],[Date]])&gt;=4,1,0)</f>
        <v>1900</v>
      </c>
      <c r="D63" s="32">
        <f>YEAR(PA[[#This Row],[Date]])</f>
        <v>1900</v>
      </c>
      <c r="E63" s="33" t="s">
        <v>157</v>
      </c>
      <c r="F63" s="33" t="s">
        <v>157</v>
      </c>
      <c r="G63" s="194">
        <f>PA[[#This Row],[Date]]-DAY(PA[[#This Row],[Date]])+1</f>
        <v>1</v>
      </c>
      <c r="H63" s="32">
        <f>DAY(EOMONTH(PA[[#This Row],[Month Year]],0))</f>
        <v>31</v>
      </c>
      <c r="I63" s="121"/>
      <c r="J63" s="121"/>
      <c r="K63" s="35">
        <f>IFERROR((PA[[#This Row],[Sunset Time (POA&lt;20 W/m2)]]-PA[[#This Row],[Sunrise Time (POA&gt;20 W/m2)]])*24,"")</f>
        <v>0</v>
      </c>
      <c r="L63" s="33"/>
      <c r="M63" s="33"/>
      <c r="N63" s="33"/>
      <c r="O63" s="36"/>
      <c r="P63" s="36"/>
      <c r="Q63" s="33"/>
      <c r="R63" s="32">
        <f>IF((PA[[#This Row],[String Type(If String BD)]]&amp;PA[[#This Row],[Equipment (If any BD other than PV  array and inv)]])="",1,0)</f>
        <v>1</v>
      </c>
      <c r="S63" s="32">
        <f>IF(PA[[#This Row],[String Type(If String BD)]]="",1,0)</f>
        <v>1</v>
      </c>
      <c r="T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3" s="35" t="str">
        <f>IFERROR(_xlfn.XLOOKUP(PA[[#This Row],[Affected Equipment ]],'Basic Data'!N:N,'Basic Data'!Q:Q),"")</f>
        <v/>
      </c>
      <c r="V63" s="39" t="str">
        <f>IFERROR(_xlfn.XLOOKUP(PA[[#This Row],[Affected Equipment ]],'Basic Data'!N:N,'Basic Data'!R:R),"")</f>
        <v/>
      </c>
      <c r="W63" s="36" t="s">
        <v>240</v>
      </c>
      <c r="X63" s="40"/>
      <c r="Y63" s="283" t="s">
        <v>260</v>
      </c>
      <c r="Z63" s="42">
        <v>0.26180555555555557</v>
      </c>
      <c r="AA63" s="42">
        <v>0.26180555555555557</v>
      </c>
      <c r="AB63" s="42">
        <v>0.26180555555555557</v>
      </c>
      <c r="AC63" s="42">
        <v>0.76041666666666663</v>
      </c>
      <c r="AD63" s="44">
        <f>IF(PA[[#This Row],[Acknowledgement Time ]]="NA","",(PA[[#This Row],[Acknowledgement Time ]]-PA[[#This Row],[Fault Time]])*24)</f>
        <v>0</v>
      </c>
      <c r="AE63" s="44">
        <f>IF(PA[[#This Row],[Work Start time on Fault]]="NA","",(PA[[#This Row],[Work Start time on Fault]]-PA[[#This Row],[Fault Time]])*24)</f>
        <v>0</v>
      </c>
      <c r="AF63" s="45">
        <f>IF(PA[[#This Row],[Status]]="Open","",(PA[[#This Row],[Work Completion time on fault]]-PA[[#This Row],[Fault Time]])*24)</f>
        <v>11.966666666666665</v>
      </c>
      <c r="AG63" s="44">
        <f>IFERROR((PA[[#This Row],[Work Completion time on fault]]-PA[[#This Row],[Fault Time]])*24,"")</f>
        <v>11.966666666666665</v>
      </c>
      <c r="AH63" s="36" t="s">
        <v>251</v>
      </c>
      <c r="AI63" s="33" t="s">
        <v>235</v>
      </c>
      <c r="AJ63" s="35" t="str">
        <f>IFERROR(PA[[#This Row],[Breakdown Time]]*PA[[#This Row],[Plant Equivalent Weightage]],"")</f>
        <v/>
      </c>
      <c r="AK63" s="36">
        <v>6.45</v>
      </c>
      <c r="AL63" s="51" t="str">
        <f>IFERROR((_xlfn.XLOOKUP($G63,'Modelling New'!D:D,'Modelling New'!$O:$O)*PA[[#This Row],[Lost PoA(kWh/m2)]]*PA[[#This Row],[DC Capacity Affected (kW)]]),"")</f>
        <v/>
      </c>
      <c r="AM63" s="33"/>
      <c r="AN63" s="33"/>
      <c r="AO63" s="33"/>
      <c r="AP63" s="33"/>
    </row>
    <row r="64" spans="1:42">
      <c r="A64" s="30">
        <v>63</v>
      </c>
      <c r="B64" s="31"/>
      <c r="C64" s="32">
        <f>YEAR(PA[[#This Row],[Date]])+IF(MONTH(PA[[#This Row],[Date]])&gt;=4,1,0)</f>
        <v>1900</v>
      </c>
      <c r="D64" s="32">
        <f>YEAR(PA[[#This Row],[Date]])</f>
        <v>1900</v>
      </c>
      <c r="E64" s="33" t="s">
        <v>157</v>
      </c>
      <c r="F64" s="33" t="s">
        <v>157</v>
      </c>
      <c r="G64" s="194">
        <f>PA[[#This Row],[Date]]-DAY(PA[[#This Row],[Date]])+1</f>
        <v>1</v>
      </c>
      <c r="H64" s="32">
        <f>DAY(EOMONTH(PA[[#This Row],[Month Year]],0))</f>
        <v>31</v>
      </c>
      <c r="I64" s="121"/>
      <c r="J64" s="121"/>
      <c r="K64" s="35">
        <f>IFERROR((PA[[#This Row],[Sunset Time (POA&lt;20 W/m2)]]-PA[[#This Row],[Sunrise Time (POA&gt;20 W/m2)]])*24,"")</f>
        <v>0</v>
      </c>
      <c r="L64" s="33"/>
      <c r="M64" s="33"/>
      <c r="N64" s="33"/>
      <c r="O64" s="36"/>
      <c r="P64" s="36"/>
      <c r="Q64" s="33"/>
      <c r="R64" s="32">
        <f>IF((PA[[#This Row],[String Type(If String BD)]]&amp;PA[[#This Row],[Equipment (If any BD other than PV  array and inv)]])="",1,0)</f>
        <v>1</v>
      </c>
      <c r="S64" s="32">
        <f>IF(PA[[#This Row],[String Type(If String BD)]]="",1,0)</f>
        <v>1</v>
      </c>
      <c r="T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4" s="35" t="str">
        <f>IFERROR(_xlfn.XLOOKUP(PA[[#This Row],[Affected Equipment ]],'Basic Data'!N:N,'Basic Data'!Q:Q),"")</f>
        <v/>
      </c>
      <c r="V64" s="39" t="str">
        <f>IFERROR(_xlfn.XLOOKUP(PA[[#This Row],[Affected Equipment ]],'Basic Data'!N:N,'Basic Data'!R:R),"")</f>
        <v/>
      </c>
      <c r="W64" s="36" t="s">
        <v>240</v>
      </c>
      <c r="X64" s="40"/>
      <c r="Y64" s="283" t="s">
        <v>261</v>
      </c>
      <c r="Z64" s="42">
        <v>0.26180555555555557</v>
      </c>
      <c r="AA64" s="42">
        <v>0.26180555555555557</v>
      </c>
      <c r="AB64" s="42">
        <v>0.26180555555555557</v>
      </c>
      <c r="AC64" s="42">
        <v>0.76041666666666663</v>
      </c>
      <c r="AD64" s="44">
        <f>IF(PA[[#This Row],[Acknowledgement Time ]]="NA","",(PA[[#This Row],[Acknowledgement Time ]]-PA[[#This Row],[Fault Time]])*24)</f>
        <v>0</v>
      </c>
      <c r="AE64" s="44">
        <f>IF(PA[[#This Row],[Work Start time on Fault]]="NA","",(PA[[#This Row],[Work Start time on Fault]]-PA[[#This Row],[Fault Time]])*24)</f>
        <v>0</v>
      </c>
      <c r="AF64" s="45">
        <f>IF(PA[[#This Row],[Status]]="Open","",(PA[[#This Row],[Work Completion time on fault]]-PA[[#This Row],[Fault Time]])*24)</f>
        <v>11.966666666666665</v>
      </c>
      <c r="AG64" s="44">
        <f>IFERROR((PA[[#This Row],[Work Completion time on fault]]-PA[[#This Row],[Fault Time]])*24,"")</f>
        <v>11.966666666666665</v>
      </c>
      <c r="AH64" s="36" t="s">
        <v>251</v>
      </c>
      <c r="AI64" s="33" t="s">
        <v>235</v>
      </c>
      <c r="AJ64" s="35" t="str">
        <f>IFERROR(PA[[#This Row],[Breakdown Time]]*PA[[#This Row],[Plant Equivalent Weightage]],"")</f>
        <v/>
      </c>
      <c r="AK64" s="36">
        <v>6.45</v>
      </c>
      <c r="AL64" s="51" t="str">
        <f>IFERROR((_xlfn.XLOOKUP($G64,'Modelling New'!D:D,'Modelling New'!$O:$O)*PA[[#This Row],[Lost PoA(kWh/m2)]]*PA[[#This Row],[DC Capacity Affected (kW)]]),"")</f>
        <v/>
      </c>
      <c r="AM64" s="33"/>
      <c r="AN64" s="33"/>
      <c r="AO64" s="33"/>
      <c r="AP64" s="33"/>
    </row>
    <row r="65" spans="1:42">
      <c r="A65" s="30">
        <v>64</v>
      </c>
      <c r="B65" s="31"/>
      <c r="C65" s="32">
        <f>YEAR(PA[[#This Row],[Date]])+IF(MONTH(PA[[#This Row],[Date]])&gt;=4,1,0)</f>
        <v>1900</v>
      </c>
      <c r="D65" s="32">
        <f>YEAR(PA[[#This Row],[Date]])</f>
        <v>1900</v>
      </c>
      <c r="E65" s="33" t="s">
        <v>157</v>
      </c>
      <c r="F65" s="33" t="s">
        <v>157</v>
      </c>
      <c r="G65" s="194">
        <f>PA[[#This Row],[Date]]-DAY(PA[[#This Row],[Date]])+1</f>
        <v>1</v>
      </c>
      <c r="H65" s="32">
        <f>DAY(EOMONTH(PA[[#This Row],[Month Year]],0))</f>
        <v>31</v>
      </c>
      <c r="I65" s="121"/>
      <c r="J65" s="121"/>
      <c r="K65" s="35">
        <f>IFERROR((PA[[#This Row],[Sunset Time (POA&lt;20 W/m2)]]-PA[[#This Row],[Sunrise Time (POA&gt;20 W/m2)]])*24,"")</f>
        <v>0</v>
      </c>
      <c r="L65" s="33"/>
      <c r="M65" s="33"/>
      <c r="N65" s="33"/>
      <c r="O65" s="36"/>
      <c r="P65" s="36"/>
      <c r="Q65" s="33"/>
      <c r="R65" s="32">
        <f>IF((PA[[#This Row],[String Type(If String BD)]]&amp;PA[[#This Row],[Equipment (If any BD other than PV  array and inv)]])="",1,0)</f>
        <v>1</v>
      </c>
      <c r="S65" s="32">
        <f>IF(PA[[#This Row],[String Type(If String BD)]]="",1,0)</f>
        <v>1</v>
      </c>
      <c r="T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5" s="35" t="str">
        <f>IFERROR(_xlfn.XLOOKUP(PA[[#This Row],[Affected Equipment ]],'Basic Data'!N:N,'Basic Data'!Q:Q),"")</f>
        <v/>
      </c>
      <c r="V65" s="39" t="str">
        <f>IFERROR(_xlfn.XLOOKUP(PA[[#This Row],[Affected Equipment ]],'Basic Data'!N:N,'Basic Data'!R:R),"")</f>
        <v/>
      </c>
      <c r="W65" s="36" t="s">
        <v>240</v>
      </c>
      <c r="X65" s="40"/>
      <c r="Y65" s="283" t="s">
        <v>254</v>
      </c>
      <c r="Z65" s="42">
        <v>0.26041666666666669</v>
      </c>
      <c r="AA65" s="42">
        <v>0.26041666666666669</v>
      </c>
      <c r="AB65" s="42">
        <v>0.26041666666666669</v>
      </c>
      <c r="AC65" s="42">
        <v>0.74027777777777781</v>
      </c>
      <c r="AD65" s="44">
        <f>IF(PA[[#This Row],[Acknowledgement Time ]]="NA","",(PA[[#This Row],[Acknowledgement Time ]]-PA[[#This Row],[Fault Time]])*24)</f>
        <v>0</v>
      </c>
      <c r="AE65" s="44">
        <f>IF(PA[[#This Row],[Work Start time on Fault]]="NA","",(PA[[#This Row],[Work Start time on Fault]]-PA[[#This Row],[Fault Time]])*24)</f>
        <v>0</v>
      </c>
      <c r="AF65" s="45">
        <f>IF(PA[[#This Row],[Status]]="Open","",(PA[[#This Row],[Work Completion time on fault]]-PA[[#This Row],[Fault Time]])*24)</f>
        <v>11.516666666666667</v>
      </c>
      <c r="AG65" s="44">
        <f>IFERROR((PA[[#This Row],[Work Completion time on fault]]-PA[[#This Row],[Fault Time]])*24,"")</f>
        <v>11.516666666666667</v>
      </c>
      <c r="AH65" s="36" t="s">
        <v>251</v>
      </c>
      <c r="AI65" s="33" t="s">
        <v>235</v>
      </c>
      <c r="AJ65" s="35" t="str">
        <f>IFERROR(PA[[#This Row],[Breakdown Time]]*PA[[#This Row],[Plant Equivalent Weightage]],"")</f>
        <v/>
      </c>
      <c r="AK65" s="36">
        <v>2.62</v>
      </c>
      <c r="AL65" s="51" t="str">
        <f>IFERROR((_xlfn.XLOOKUP($G65,'Modelling New'!D:D,'Modelling New'!$O:$O)*PA[[#This Row],[Lost PoA(kWh/m2)]]*PA[[#This Row],[DC Capacity Affected (kW)]]),"")</f>
        <v/>
      </c>
      <c r="AM65" s="33"/>
      <c r="AN65" s="33"/>
      <c r="AO65" s="33"/>
      <c r="AP65" s="33"/>
    </row>
    <row r="66" spans="1:42">
      <c r="A66" s="30">
        <v>65</v>
      </c>
      <c r="B66" s="31"/>
      <c r="C66" s="32">
        <f>YEAR(PA[[#This Row],[Date]])+IF(MONTH(PA[[#This Row],[Date]])&gt;=4,1,0)</f>
        <v>1900</v>
      </c>
      <c r="D66" s="32">
        <f>YEAR(PA[[#This Row],[Date]])</f>
        <v>1900</v>
      </c>
      <c r="E66" s="33" t="s">
        <v>157</v>
      </c>
      <c r="F66" s="33" t="s">
        <v>157</v>
      </c>
      <c r="G66" s="194">
        <f>PA[[#This Row],[Date]]-DAY(PA[[#This Row],[Date]])+1</f>
        <v>1</v>
      </c>
      <c r="H66" s="32">
        <f>DAY(EOMONTH(PA[[#This Row],[Month Year]],0))</f>
        <v>31</v>
      </c>
      <c r="I66" s="121"/>
      <c r="J66" s="121"/>
      <c r="K66" s="35">
        <f>IFERROR((PA[[#This Row],[Sunset Time (POA&lt;20 W/m2)]]-PA[[#This Row],[Sunrise Time (POA&gt;20 W/m2)]])*24,"")</f>
        <v>0</v>
      </c>
      <c r="L66" s="33"/>
      <c r="M66" s="33"/>
      <c r="N66" s="33"/>
      <c r="O66" s="36"/>
      <c r="P66" s="36"/>
      <c r="Q66" s="33"/>
      <c r="R66" s="32">
        <f>IF((PA[[#This Row],[String Type(If String BD)]]&amp;PA[[#This Row],[Equipment (If any BD other than PV  array and inv)]])="",1,0)</f>
        <v>1</v>
      </c>
      <c r="S66" s="32">
        <f>IF(PA[[#This Row],[String Type(If String BD)]]="",1,0)</f>
        <v>1</v>
      </c>
      <c r="T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6" s="35" t="str">
        <f>IFERROR(_xlfn.XLOOKUP(PA[[#This Row],[Affected Equipment ]],'Basic Data'!N:N,'Basic Data'!Q:Q),"")</f>
        <v/>
      </c>
      <c r="V66" s="39" t="str">
        <f>IFERROR(_xlfn.XLOOKUP(PA[[#This Row],[Affected Equipment ]],'Basic Data'!N:N,'Basic Data'!R:R),"")</f>
        <v/>
      </c>
      <c r="W66" s="36" t="s">
        <v>240</v>
      </c>
      <c r="X66" s="40"/>
      <c r="Y66" s="283" t="s">
        <v>254</v>
      </c>
      <c r="Z66" s="42">
        <v>0.26041666666666669</v>
      </c>
      <c r="AA66" s="42">
        <v>0.26041666666666669</v>
      </c>
      <c r="AB66" s="42">
        <v>0.26041666666666669</v>
      </c>
      <c r="AC66" s="42">
        <v>0.74027777777777781</v>
      </c>
      <c r="AD66" s="44">
        <f>IF(PA[[#This Row],[Acknowledgement Time ]]="NA","",(PA[[#This Row],[Acknowledgement Time ]]-PA[[#This Row],[Fault Time]])*24)</f>
        <v>0</v>
      </c>
      <c r="AE66" s="44">
        <f>IF(PA[[#This Row],[Work Start time on Fault]]="NA","",(PA[[#This Row],[Work Start time on Fault]]-PA[[#This Row],[Fault Time]])*24)</f>
        <v>0</v>
      </c>
      <c r="AF66" s="45">
        <f>IF(PA[[#This Row],[Status]]="Open","",(PA[[#This Row],[Work Completion time on fault]]-PA[[#This Row],[Fault Time]])*24)</f>
        <v>11.516666666666667</v>
      </c>
      <c r="AG66" s="44">
        <f>IFERROR((PA[[#This Row],[Work Completion time on fault]]-PA[[#This Row],[Fault Time]])*24,"")</f>
        <v>11.516666666666667</v>
      </c>
      <c r="AH66" s="36" t="s">
        <v>251</v>
      </c>
      <c r="AI66" s="33" t="s">
        <v>235</v>
      </c>
      <c r="AJ66" s="35" t="str">
        <f>IFERROR(PA[[#This Row],[Breakdown Time]]*PA[[#This Row],[Plant Equivalent Weightage]],"")</f>
        <v/>
      </c>
      <c r="AK66" s="36">
        <v>2.62</v>
      </c>
      <c r="AL66" s="51" t="str">
        <f>IFERROR((_xlfn.XLOOKUP($G66,'Modelling New'!D:D,'Modelling New'!$O:$O)*PA[[#This Row],[Lost PoA(kWh/m2)]]*PA[[#This Row],[DC Capacity Affected (kW)]]),"")</f>
        <v/>
      </c>
      <c r="AM66" s="33"/>
      <c r="AN66" s="33"/>
      <c r="AO66" s="33"/>
      <c r="AP66" s="33"/>
    </row>
    <row r="67" spans="1:42">
      <c r="A67" s="30">
        <v>66</v>
      </c>
      <c r="B67" s="31"/>
      <c r="C67" s="32">
        <f>YEAR(PA[[#This Row],[Date]])+IF(MONTH(PA[[#This Row],[Date]])&gt;=4,1,0)</f>
        <v>1900</v>
      </c>
      <c r="D67" s="32">
        <f>YEAR(PA[[#This Row],[Date]])</f>
        <v>1900</v>
      </c>
      <c r="E67" s="33" t="s">
        <v>157</v>
      </c>
      <c r="F67" s="33" t="s">
        <v>157</v>
      </c>
      <c r="G67" s="194">
        <f>PA[[#This Row],[Date]]-DAY(PA[[#This Row],[Date]])+1</f>
        <v>1</v>
      </c>
      <c r="H67" s="32">
        <f>DAY(EOMONTH(PA[[#This Row],[Month Year]],0))</f>
        <v>31</v>
      </c>
      <c r="I67" s="121"/>
      <c r="J67" s="121"/>
      <c r="K67" s="35">
        <f>IFERROR((PA[[#This Row],[Sunset Time (POA&lt;20 W/m2)]]-PA[[#This Row],[Sunrise Time (POA&gt;20 W/m2)]])*24,"")</f>
        <v>0</v>
      </c>
      <c r="L67" s="33"/>
      <c r="M67" s="33"/>
      <c r="N67" s="33"/>
      <c r="O67" s="36"/>
      <c r="P67" s="36"/>
      <c r="Q67" s="33"/>
      <c r="R67" s="32">
        <f>IF((PA[[#This Row],[String Type(If String BD)]]&amp;PA[[#This Row],[Equipment (If any BD other than PV  array and inv)]])="",1,0)</f>
        <v>1</v>
      </c>
      <c r="S67" s="32">
        <f>IF(PA[[#This Row],[String Type(If String BD)]]="",1,0)</f>
        <v>1</v>
      </c>
      <c r="T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7" s="35" t="str">
        <f>IFERROR(_xlfn.XLOOKUP(PA[[#This Row],[Affected Equipment ]],'Basic Data'!N:N,'Basic Data'!Q:Q),"")</f>
        <v/>
      </c>
      <c r="V67" s="39" t="str">
        <f>IFERROR(_xlfn.XLOOKUP(PA[[#This Row],[Affected Equipment ]],'Basic Data'!N:N,'Basic Data'!R:R),"")</f>
        <v/>
      </c>
      <c r="W67" s="36" t="s">
        <v>264</v>
      </c>
      <c r="X67" s="40"/>
      <c r="Y67" s="286" t="s">
        <v>265</v>
      </c>
      <c r="Z67" s="42">
        <v>0.26041666666666669</v>
      </c>
      <c r="AA67" s="42">
        <v>0.26041666666666669</v>
      </c>
      <c r="AB67" s="42">
        <v>0.26041666666666669</v>
      </c>
      <c r="AC67" s="42">
        <v>0.68055555555555558</v>
      </c>
      <c r="AD67" s="44">
        <f>IF(PA[[#This Row],[Acknowledgement Time ]]="NA","",(PA[[#This Row],[Acknowledgement Time ]]-PA[[#This Row],[Fault Time]])*24)</f>
        <v>0</v>
      </c>
      <c r="AE67" s="44">
        <f>IF(PA[[#This Row],[Work Start time on Fault]]="NA","",(PA[[#This Row],[Work Start time on Fault]]-PA[[#This Row],[Fault Time]])*24)</f>
        <v>0</v>
      </c>
      <c r="AF67" s="45">
        <f>IF(PA[[#This Row],[Status]]="Open","",(PA[[#This Row],[Work Completion time on fault]]-PA[[#This Row],[Fault Time]])*24)</f>
        <v>10.083333333333334</v>
      </c>
      <c r="AG67" s="44">
        <f>IFERROR((PA[[#This Row],[Work Completion time on fault]]-PA[[#This Row],[Fault Time]])*24,"")</f>
        <v>10.083333333333334</v>
      </c>
      <c r="AH67" s="36" t="s">
        <v>266</v>
      </c>
      <c r="AI67" s="33" t="s">
        <v>235</v>
      </c>
      <c r="AJ67" s="35" t="str">
        <f>IFERROR(PA[[#This Row],[Breakdown Time]]*PA[[#This Row],[Plant Equivalent Weightage]],"")</f>
        <v/>
      </c>
      <c r="AK67" s="36">
        <v>2.2944166666666668</v>
      </c>
      <c r="AL67" s="51" t="str">
        <f>IFERROR((_xlfn.XLOOKUP($G67,'Modelling New'!D:D,'Modelling New'!$O:$O)*PA[[#This Row],[Lost PoA(kWh/m2)]]*PA[[#This Row],[DC Capacity Affected (kW)]]),"")</f>
        <v/>
      </c>
      <c r="AM67" s="33"/>
      <c r="AN67" s="33"/>
      <c r="AO67" s="33"/>
      <c r="AP67" s="33"/>
    </row>
    <row r="68" spans="1:42">
      <c r="A68" s="30">
        <v>67</v>
      </c>
      <c r="B68" s="31"/>
      <c r="C68" s="32">
        <f>YEAR(PA[[#This Row],[Date]])+IF(MONTH(PA[[#This Row],[Date]])&gt;=4,1,0)</f>
        <v>1900</v>
      </c>
      <c r="D68" s="32">
        <f>YEAR(PA[[#This Row],[Date]])</f>
        <v>1900</v>
      </c>
      <c r="E68" s="33" t="s">
        <v>157</v>
      </c>
      <c r="F68" s="33" t="s">
        <v>157</v>
      </c>
      <c r="G68" s="194">
        <f>PA[[#This Row],[Date]]-DAY(PA[[#This Row],[Date]])+1</f>
        <v>1</v>
      </c>
      <c r="H68" s="32">
        <f>DAY(EOMONTH(PA[[#This Row],[Month Year]],0))</f>
        <v>31</v>
      </c>
      <c r="I68" s="121"/>
      <c r="J68" s="121"/>
      <c r="K68" s="35">
        <f>IFERROR((PA[[#This Row],[Sunset Time (POA&lt;20 W/m2)]]-PA[[#This Row],[Sunrise Time (POA&gt;20 W/m2)]])*24,"")</f>
        <v>0</v>
      </c>
      <c r="L68" s="33"/>
      <c r="M68" s="33"/>
      <c r="N68" s="33"/>
      <c r="O68" s="36"/>
      <c r="P68" s="36"/>
      <c r="Q68" s="33"/>
      <c r="R68" s="32">
        <f>IF((PA[[#This Row],[String Type(If String BD)]]&amp;PA[[#This Row],[Equipment (If any BD other than PV  array and inv)]])="",1,0)</f>
        <v>1</v>
      </c>
      <c r="S68" s="32">
        <f>IF(PA[[#This Row],[String Type(If String BD)]]="",1,0)</f>
        <v>1</v>
      </c>
      <c r="T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8" s="35" t="str">
        <f>IFERROR(_xlfn.XLOOKUP(PA[[#This Row],[Affected Equipment ]],'Basic Data'!N:N,'Basic Data'!Q:Q),"")</f>
        <v/>
      </c>
      <c r="V68" s="39" t="str">
        <f>IFERROR(_xlfn.XLOOKUP(PA[[#This Row],[Affected Equipment ]],'Basic Data'!N:N,'Basic Data'!R:R),"")</f>
        <v/>
      </c>
      <c r="W68" s="36" t="s">
        <v>264</v>
      </c>
      <c r="X68" s="40"/>
      <c r="Y68" s="286" t="s">
        <v>265</v>
      </c>
      <c r="Z68" s="42">
        <v>0.26041666666666669</v>
      </c>
      <c r="AA68" s="42">
        <v>0.26041666666666669</v>
      </c>
      <c r="AB68" s="42">
        <v>0.26041666666666669</v>
      </c>
      <c r="AC68" s="42">
        <v>0.6958333333333333</v>
      </c>
      <c r="AD68" s="44">
        <f>IF(PA[[#This Row],[Acknowledgement Time ]]="NA","",(PA[[#This Row],[Acknowledgement Time ]]-PA[[#This Row],[Fault Time]])*24)</f>
        <v>0</v>
      </c>
      <c r="AE68" s="44">
        <f>IF(PA[[#This Row],[Work Start time on Fault]]="NA","",(PA[[#This Row],[Work Start time on Fault]]-PA[[#This Row],[Fault Time]])*24)</f>
        <v>0</v>
      </c>
      <c r="AF68" s="45">
        <f>IF(PA[[#This Row],[Status]]="Open","",(PA[[#This Row],[Work Completion time on fault]]-PA[[#This Row],[Fault Time]])*24)</f>
        <v>10.45</v>
      </c>
      <c r="AG68" s="44">
        <f>IFERROR((PA[[#This Row],[Work Completion time on fault]]-PA[[#This Row],[Fault Time]])*24,"")</f>
        <v>10.45</v>
      </c>
      <c r="AH68" s="36" t="s">
        <v>266</v>
      </c>
      <c r="AI68" s="33" t="s">
        <v>235</v>
      </c>
      <c r="AJ68" s="35" t="str">
        <f>IFERROR(PA[[#This Row],[Breakdown Time]]*PA[[#This Row],[Plant Equivalent Weightage]],"")</f>
        <v/>
      </c>
      <c r="AK68" s="36">
        <v>2.4308333333333332</v>
      </c>
      <c r="AL68" s="51" t="str">
        <f>IFERROR((_xlfn.XLOOKUP($G68,'Modelling New'!D:D,'Modelling New'!$O:$O)*PA[[#This Row],[Lost PoA(kWh/m2)]]*PA[[#This Row],[DC Capacity Affected (kW)]]),"")</f>
        <v/>
      </c>
      <c r="AM68" s="33"/>
      <c r="AN68" s="33"/>
      <c r="AO68" s="33"/>
      <c r="AP68" s="33"/>
    </row>
    <row r="69" spans="1:42">
      <c r="A69" s="30">
        <v>68</v>
      </c>
      <c r="B69" s="31"/>
      <c r="C69" s="32">
        <f>YEAR(PA[[#This Row],[Date]])+IF(MONTH(PA[[#This Row],[Date]])&gt;=4,1,0)</f>
        <v>1900</v>
      </c>
      <c r="D69" s="32">
        <f>YEAR(PA[[#This Row],[Date]])</f>
        <v>1900</v>
      </c>
      <c r="E69" s="33" t="s">
        <v>157</v>
      </c>
      <c r="F69" s="33" t="s">
        <v>157</v>
      </c>
      <c r="G69" s="194">
        <f>PA[[#This Row],[Date]]-DAY(PA[[#This Row],[Date]])+1</f>
        <v>1</v>
      </c>
      <c r="H69" s="32">
        <f>DAY(EOMONTH(PA[[#This Row],[Month Year]],0))</f>
        <v>31</v>
      </c>
      <c r="I69" s="121"/>
      <c r="J69" s="121"/>
      <c r="K69" s="35">
        <f>IFERROR((PA[[#This Row],[Sunset Time (POA&lt;20 W/m2)]]-PA[[#This Row],[Sunrise Time (POA&gt;20 W/m2)]])*24,"")</f>
        <v>0</v>
      </c>
      <c r="L69" s="33"/>
      <c r="M69" s="33"/>
      <c r="N69" s="33"/>
      <c r="O69" s="36"/>
      <c r="P69" s="36"/>
      <c r="Q69" s="33"/>
      <c r="R69" s="32">
        <f>IF((PA[[#This Row],[String Type(If String BD)]]&amp;PA[[#This Row],[Equipment (If any BD other than PV  array and inv)]])="",1,0)</f>
        <v>1</v>
      </c>
      <c r="S69" s="32">
        <f>IF(PA[[#This Row],[String Type(If String BD)]]="",1,0)</f>
        <v>1</v>
      </c>
      <c r="T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69" s="35" t="str">
        <f>IFERROR(_xlfn.XLOOKUP(PA[[#This Row],[Affected Equipment ]],'Basic Data'!N:N,'Basic Data'!Q:Q),"")</f>
        <v/>
      </c>
      <c r="V69" s="39" t="str">
        <f>IFERROR(_xlfn.XLOOKUP(PA[[#This Row],[Affected Equipment ]],'Basic Data'!N:N,'Basic Data'!R:R),"")</f>
        <v/>
      </c>
      <c r="W69" s="36" t="s">
        <v>240</v>
      </c>
      <c r="X69" s="40"/>
      <c r="Y69" s="283" t="s">
        <v>254</v>
      </c>
      <c r="Z69" s="42">
        <v>0.2951388888888889</v>
      </c>
      <c r="AA69" s="42">
        <v>0.2951388888888889</v>
      </c>
      <c r="AB69" s="42">
        <v>0.2951388888888889</v>
      </c>
      <c r="AC69" s="42">
        <v>0.76944444444444449</v>
      </c>
      <c r="AD69" s="44">
        <f>IF(PA[[#This Row],[Acknowledgement Time ]]="NA","",(PA[[#This Row],[Acknowledgement Time ]]-PA[[#This Row],[Fault Time]])*24)</f>
        <v>0</v>
      </c>
      <c r="AE69" s="44">
        <f>IF(PA[[#This Row],[Work Start time on Fault]]="NA","",(PA[[#This Row],[Work Start time on Fault]]-PA[[#This Row],[Fault Time]])*24)</f>
        <v>0</v>
      </c>
      <c r="AF69" s="45">
        <f>IF(PA[[#This Row],[Status]]="Open","",(PA[[#This Row],[Work Completion time on fault]]-PA[[#This Row],[Fault Time]])*24)</f>
        <v>11.383333333333335</v>
      </c>
      <c r="AG69" s="44">
        <f>IFERROR((PA[[#This Row],[Work Completion time on fault]]-PA[[#This Row],[Fault Time]])*24,"")</f>
        <v>11.383333333333335</v>
      </c>
      <c r="AH69" s="36" t="s">
        <v>251</v>
      </c>
      <c r="AI69" s="33" t="s">
        <v>235</v>
      </c>
      <c r="AJ69" s="35" t="str">
        <f>IFERROR(PA[[#This Row],[Breakdown Time]]*PA[[#This Row],[Plant Equivalent Weightage]],"")</f>
        <v/>
      </c>
      <c r="AK69" s="36">
        <v>3.18</v>
      </c>
      <c r="AL69" s="51" t="str">
        <f>IFERROR((_xlfn.XLOOKUP($G69,'Modelling New'!D:D,'Modelling New'!$O:$O)*PA[[#This Row],[Lost PoA(kWh/m2)]]*PA[[#This Row],[DC Capacity Affected (kW)]]),"")</f>
        <v/>
      </c>
      <c r="AM69" s="33"/>
      <c r="AN69" s="33"/>
      <c r="AO69" s="33"/>
      <c r="AP69" s="33"/>
    </row>
    <row r="70" spans="1:42">
      <c r="A70" s="30">
        <v>69</v>
      </c>
      <c r="B70" s="31"/>
      <c r="C70" s="32">
        <f>YEAR(PA[[#This Row],[Date]])+IF(MONTH(PA[[#This Row],[Date]])&gt;=4,1,0)</f>
        <v>1900</v>
      </c>
      <c r="D70" s="32">
        <f>YEAR(PA[[#This Row],[Date]])</f>
        <v>1900</v>
      </c>
      <c r="E70" s="33" t="s">
        <v>157</v>
      </c>
      <c r="F70" s="33" t="s">
        <v>157</v>
      </c>
      <c r="G70" s="194">
        <f>PA[[#This Row],[Date]]-DAY(PA[[#This Row],[Date]])+1</f>
        <v>1</v>
      </c>
      <c r="H70" s="32">
        <f>DAY(EOMONTH(PA[[#This Row],[Month Year]],0))</f>
        <v>31</v>
      </c>
      <c r="I70" s="121"/>
      <c r="J70" s="121"/>
      <c r="K70" s="35">
        <f>IFERROR((PA[[#This Row],[Sunset Time (POA&lt;20 W/m2)]]-PA[[#This Row],[Sunrise Time (POA&gt;20 W/m2)]])*24,"")</f>
        <v>0</v>
      </c>
      <c r="L70" s="33"/>
      <c r="M70" s="33"/>
      <c r="N70" s="33"/>
      <c r="O70" s="36"/>
      <c r="P70" s="36"/>
      <c r="Q70" s="33"/>
      <c r="R70" s="32">
        <f>IF((PA[[#This Row],[String Type(If String BD)]]&amp;PA[[#This Row],[Equipment (If any BD other than PV  array and inv)]])="",1,0)</f>
        <v>1</v>
      </c>
      <c r="S70" s="32">
        <f>IF(PA[[#This Row],[String Type(If String BD)]]="",1,0)</f>
        <v>1</v>
      </c>
      <c r="T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0" s="35" t="str">
        <f>IFERROR(_xlfn.XLOOKUP(PA[[#This Row],[Affected Equipment ]],'Basic Data'!N:N,'Basic Data'!Q:Q),"")</f>
        <v/>
      </c>
      <c r="V70" s="39" t="str">
        <f>IFERROR(_xlfn.XLOOKUP(PA[[#This Row],[Affected Equipment ]],'Basic Data'!N:N,'Basic Data'!R:R),"")</f>
        <v/>
      </c>
      <c r="W70" s="36" t="s">
        <v>240</v>
      </c>
      <c r="X70" s="40"/>
      <c r="Y70" s="283" t="s">
        <v>255</v>
      </c>
      <c r="Z70" s="42">
        <v>0.2951388888888889</v>
      </c>
      <c r="AA70" s="42">
        <v>0.2951388888888889</v>
      </c>
      <c r="AB70" s="42">
        <v>0.2951388888888889</v>
      </c>
      <c r="AC70" s="42">
        <v>0.76944444444444449</v>
      </c>
      <c r="AD70" s="44">
        <f>IF(PA[[#This Row],[Acknowledgement Time ]]="NA","",(PA[[#This Row],[Acknowledgement Time ]]-PA[[#This Row],[Fault Time]])*24)</f>
        <v>0</v>
      </c>
      <c r="AE70" s="44">
        <f>IF(PA[[#This Row],[Work Start time on Fault]]="NA","",(PA[[#This Row],[Work Start time on Fault]]-PA[[#This Row],[Fault Time]])*24)</f>
        <v>0</v>
      </c>
      <c r="AF70" s="45">
        <f>IF(PA[[#This Row],[Status]]="Open","",(PA[[#This Row],[Work Completion time on fault]]-PA[[#This Row],[Fault Time]])*24)</f>
        <v>11.383333333333335</v>
      </c>
      <c r="AG70" s="44">
        <f>IFERROR((PA[[#This Row],[Work Completion time on fault]]-PA[[#This Row],[Fault Time]])*24,"")</f>
        <v>11.383333333333335</v>
      </c>
      <c r="AH70" s="36" t="s">
        <v>251</v>
      </c>
      <c r="AI70" s="33" t="s">
        <v>235</v>
      </c>
      <c r="AJ70" s="35" t="str">
        <f>IFERROR(PA[[#This Row],[Breakdown Time]]*PA[[#This Row],[Plant Equivalent Weightage]],"")</f>
        <v/>
      </c>
      <c r="AK70" s="36">
        <v>3.18</v>
      </c>
      <c r="AL70" s="51" t="str">
        <f>IFERROR((_xlfn.XLOOKUP($G70,'Modelling New'!D:D,'Modelling New'!$O:$O)*PA[[#This Row],[Lost PoA(kWh/m2)]]*PA[[#This Row],[DC Capacity Affected (kW)]]),"")</f>
        <v/>
      </c>
      <c r="AM70" s="33"/>
      <c r="AN70" s="33"/>
      <c r="AO70" s="33"/>
      <c r="AP70" s="33"/>
    </row>
    <row r="71" spans="1:42">
      <c r="A71" s="30">
        <v>70</v>
      </c>
      <c r="B71" s="31"/>
      <c r="C71" s="32">
        <f>YEAR(PA[[#This Row],[Date]])+IF(MONTH(PA[[#This Row],[Date]])&gt;=4,1,0)</f>
        <v>1900</v>
      </c>
      <c r="D71" s="32">
        <f>YEAR(PA[[#This Row],[Date]])</f>
        <v>1900</v>
      </c>
      <c r="E71" s="33" t="s">
        <v>157</v>
      </c>
      <c r="F71" s="33" t="s">
        <v>157</v>
      </c>
      <c r="G71" s="194">
        <f>PA[[#This Row],[Date]]-DAY(PA[[#This Row],[Date]])+1</f>
        <v>1</v>
      </c>
      <c r="H71" s="32">
        <f>DAY(EOMONTH(PA[[#This Row],[Month Year]],0))</f>
        <v>31</v>
      </c>
      <c r="I71" s="121"/>
      <c r="J71" s="121"/>
      <c r="K71" s="35">
        <f>IFERROR((PA[[#This Row],[Sunset Time (POA&lt;20 W/m2)]]-PA[[#This Row],[Sunrise Time (POA&gt;20 W/m2)]])*24,"")</f>
        <v>0</v>
      </c>
      <c r="L71" s="33"/>
      <c r="M71" s="33"/>
      <c r="N71" s="33"/>
      <c r="O71" s="36"/>
      <c r="P71" s="36"/>
      <c r="Q71" s="33"/>
      <c r="R71" s="32">
        <f>IF((PA[[#This Row],[String Type(If String BD)]]&amp;PA[[#This Row],[Equipment (If any BD other than PV  array and inv)]])="",1,0)</f>
        <v>1</v>
      </c>
      <c r="S71" s="32">
        <f>IF(PA[[#This Row],[String Type(If String BD)]]="",1,0)</f>
        <v>1</v>
      </c>
      <c r="T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1" s="35" t="str">
        <f>IFERROR(_xlfn.XLOOKUP(PA[[#This Row],[Affected Equipment ]],'Basic Data'!N:N,'Basic Data'!Q:Q),"")</f>
        <v/>
      </c>
      <c r="V71" s="39" t="str">
        <f>IFERROR(_xlfn.XLOOKUP(PA[[#This Row],[Affected Equipment ]],'Basic Data'!N:N,'Basic Data'!R:R),"")</f>
        <v/>
      </c>
      <c r="W71" s="36" t="s">
        <v>240</v>
      </c>
      <c r="X71" s="40"/>
      <c r="Y71" s="286" t="s">
        <v>268</v>
      </c>
      <c r="Z71" s="42">
        <v>0.25416666666666665</v>
      </c>
      <c r="AA71" s="42">
        <v>0.25416666666666665</v>
      </c>
      <c r="AB71" s="42">
        <v>0.25416666666666665</v>
      </c>
      <c r="AC71" s="42">
        <v>0.76458333333333328</v>
      </c>
      <c r="AD71" s="44">
        <f>IF(PA[[#This Row],[Acknowledgement Time ]]="NA","",(PA[[#This Row],[Acknowledgement Time ]]-PA[[#This Row],[Fault Time]])*24)</f>
        <v>0</v>
      </c>
      <c r="AE71" s="44">
        <f>IF(PA[[#This Row],[Work Start time on Fault]]="NA","",(PA[[#This Row],[Work Start time on Fault]]-PA[[#This Row],[Fault Time]])*24)</f>
        <v>0</v>
      </c>
      <c r="AF71" s="45">
        <f>IF(PA[[#This Row],[Status]]="Open","",(PA[[#This Row],[Work Completion time on fault]]-PA[[#This Row],[Fault Time]])*24)</f>
        <v>12.25</v>
      </c>
      <c r="AG71" s="44">
        <f>IFERROR((PA[[#This Row],[Work Completion time on fault]]-PA[[#This Row],[Fault Time]])*24,"")</f>
        <v>12.25</v>
      </c>
      <c r="AH71" s="36" t="s">
        <v>251</v>
      </c>
      <c r="AI71" s="33" t="s">
        <v>235</v>
      </c>
      <c r="AJ71" s="35" t="str">
        <f>IFERROR(PA[[#This Row],[Breakdown Time]]*PA[[#This Row],[Plant Equivalent Weightage]],"")</f>
        <v/>
      </c>
      <c r="AK71" s="36">
        <v>4.1500000000000004</v>
      </c>
      <c r="AL71" s="51" t="str">
        <f>IFERROR((_xlfn.XLOOKUP($G71,'Modelling New'!D:D,'Modelling New'!$O:$O)*PA[[#This Row],[Lost PoA(kWh/m2)]]*PA[[#This Row],[DC Capacity Affected (kW)]]),"")</f>
        <v/>
      </c>
      <c r="AM71" s="33"/>
      <c r="AN71" s="33"/>
      <c r="AO71" s="33"/>
      <c r="AP71" s="33"/>
    </row>
    <row r="72" spans="1:42">
      <c r="A72" s="30">
        <v>71</v>
      </c>
      <c r="B72" s="31"/>
      <c r="C72" s="32">
        <f>YEAR(PA[[#This Row],[Date]])+IF(MONTH(PA[[#This Row],[Date]])&gt;=4,1,0)</f>
        <v>1900</v>
      </c>
      <c r="D72" s="32">
        <f>YEAR(PA[[#This Row],[Date]])</f>
        <v>1900</v>
      </c>
      <c r="E72" s="33" t="s">
        <v>157</v>
      </c>
      <c r="F72" s="33" t="s">
        <v>157</v>
      </c>
      <c r="G72" s="194">
        <f>PA[[#This Row],[Date]]-DAY(PA[[#This Row],[Date]])+1</f>
        <v>1</v>
      </c>
      <c r="H72" s="32">
        <f>DAY(EOMONTH(PA[[#This Row],[Month Year]],0))</f>
        <v>31</v>
      </c>
      <c r="I72" s="121"/>
      <c r="J72" s="121"/>
      <c r="K72" s="35">
        <f>IFERROR((PA[[#This Row],[Sunset Time (POA&lt;20 W/m2)]]-PA[[#This Row],[Sunrise Time (POA&gt;20 W/m2)]])*24,"")</f>
        <v>0</v>
      </c>
      <c r="L72" s="33"/>
      <c r="M72" s="33"/>
      <c r="N72" s="33"/>
      <c r="O72" s="36"/>
      <c r="P72" s="36"/>
      <c r="Q72" s="33"/>
      <c r="R72" s="32">
        <f>IF((PA[[#This Row],[String Type(If String BD)]]&amp;PA[[#This Row],[Equipment (If any BD other than PV  array and inv)]])="",1,0)</f>
        <v>1</v>
      </c>
      <c r="S72" s="32">
        <f>IF(PA[[#This Row],[String Type(If String BD)]]="",1,0)</f>
        <v>1</v>
      </c>
      <c r="T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2" s="35" t="str">
        <f>IFERROR(_xlfn.XLOOKUP(PA[[#This Row],[Affected Equipment ]],'Basic Data'!N:N,'Basic Data'!Q:Q),"")</f>
        <v/>
      </c>
      <c r="V72" s="39" t="str">
        <f>IFERROR(_xlfn.XLOOKUP(PA[[#This Row],[Affected Equipment ]],'Basic Data'!N:N,'Basic Data'!R:R),"")</f>
        <v/>
      </c>
      <c r="W72" s="36" t="s">
        <v>240</v>
      </c>
      <c r="X72" s="40"/>
      <c r="Y72" s="286" t="s">
        <v>268</v>
      </c>
      <c r="Z72" s="42">
        <v>0.25555555555555554</v>
      </c>
      <c r="AA72" s="42">
        <v>0.25555555555555554</v>
      </c>
      <c r="AB72" s="42">
        <v>0.25555555555555554</v>
      </c>
      <c r="AC72" s="42">
        <v>0.44166666666666665</v>
      </c>
      <c r="AD72" s="44">
        <f>IF(PA[[#This Row],[Acknowledgement Time ]]="NA","",(PA[[#This Row],[Acknowledgement Time ]]-PA[[#This Row],[Fault Time]])*24)</f>
        <v>0</v>
      </c>
      <c r="AE72" s="44">
        <f>IF(PA[[#This Row],[Work Start time on Fault]]="NA","",(PA[[#This Row],[Work Start time on Fault]]-PA[[#This Row],[Fault Time]])*24)</f>
        <v>0</v>
      </c>
      <c r="AF72" s="45">
        <f>IF(PA[[#This Row],[Status]]="Open","",(PA[[#This Row],[Work Completion time on fault]]-PA[[#This Row],[Fault Time]])*24)</f>
        <v>4.4666666666666668</v>
      </c>
      <c r="AG72" s="44">
        <f>IFERROR((PA[[#This Row],[Work Completion time on fault]]-PA[[#This Row],[Fault Time]])*24,"")</f>
        <v>4.4666666666666668</v>
      </c>
      <c r="AH72" s="36" t="s">
        <v>269</v>
      </c>
      <c r="AI72" s="33" t="s">
        <v>235</v>
      </c>
      <c r="AJ72" s="35" t="str">
        <f>IFERROR(PA[[#This Row],[Breakdown Time]]*PA[[#This Row],[Plant Equivalent Weightage]],"")</f>
        <v/>
      </c>
      <c r="AK72" s="36">
        <v>1.5696166666666667</v>
      </c>
      <c r="AL72" s="51" t="str">
        <f>IFERROR((_xlfn.XLOOKUP($G72,'Modelling New'!D:D,'Modelling New'!$O:$O)*PA[[#This Row],[Lost PoA(kWh/m2)]]*PA[[#This Row],[DC Capacity Affected (kW)]]),"")</f>
        <v/>
      </c>
      <c r="AM72" s="33"/>
      <c r="AN72" s="33"/>
      <c r="AO72" s="33"/>
      <c r="AP72" s="33"/>
    </row>
    <row r="73" spans="1:42">
      <c r="A73" s="30">
        <v>72</v>
      </c>
      <c r="B73" s="31"/>
      <c r="C73" s="32">
        <f>YEAR(PA[[#This Row],[Date]])+IF(MONTH(PA[[#This Row],[Date]])&gt;=4,1,0)</f>
        <v>1900</v>
      </c>
      <c r="D73" s="32">
        <f>YEAR(PA[[#This Row],[Date]])</f>
        <v>1900</v>
      </c>
      <c r="E73" s="33" t="s">
        <v>157</v>
      </c>
      <c r="F73" s="33" t="s">
        <v>157</v>
      </c>
      <c r="G73" s="194">
        <f>PA[[#This Row],[Date]]-DAY(PA[[#This Row],[Date]])+1</f>
        <v>1</v>
      </c>
      <c r="H73" s="32">
        <f>DAY(EOMONTH(PA[[#This Row],[Month Year]],0))</f>
        <v>31</v>
      </c>
      <c r="I73" s="121"/>
      <c r="J73" s="121"/>
      <c r="K73" s="35">
        <f>IFERROR((PA[[#This Row],[Sunset Time (POA&lt;20 W/m2)]]-PA[[#This Row],[Sunrise Time (POA&gt;20 W/m2)]])*24,"")</f>
        <v>0</v>
      </c>
      <c r="L73" s="33"/>
      <c r="M73" s="33"/>
      <c r="N73" s="33"/>
      <c r="O73" s="36"/>
      <c r="P73" s="36"/>
      <c r="Q73" s="33"/>
      <c r="R73" s="32">
        <f>IF((PA[[#This Row],[String Type(If String BD)]]&amp;PA[[#This Row],[Equipment (If any BD other than PV  array and inv)]])="",1,0)</f>
        <v>1</v>
      </c>
      <c r="S73" s="32">
        <f>IF(PA[[#This Row],[String Type(If String BD)]]="",1,0)</f>
        <v>1</v>
      </c>
      <c r="T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3" s="35" t="str">
        <f>IFERROR(_xlfn.XLOOKUP(PA[[#This Row],[Affected Equipment ]],'Basic Data'!N:N,'Basic Data'!Q:Q),"")</f>
        <v/>
      </c>
      <c r="V73" s="39" t="str">
        <f>IFERROR(_xlfn.XLOOKUP(PA[[#This Row],[Affected Equipment ]],'Basic Data'!N:N,'Basic Data'!R:R),"")</f>
        <v/>
      </c>
      <c r="W73" s="36" t="s">
        <v>240</v>
      </c>
      <c r="X73" s="40"/>
      <c r="Y73" s="286" t="s">
        <v>268</v>
      </c>
      <c r="Z73" s="42">
        <v>0.25555555555555554</v>
      </c>
      <c r="AA73" s="42">
        <v>0.25555555555555554</v>
      </c>
      <c r="AB73" s="42">
        <v>0.25555555555555554</v>
      </c>
      <c r="AC73" s="42">
        <v>0.4513888888888889</v>
      </c>
      <c r="AD73" s="44">
        <f>IF(PA[[#This Row],[Acknowledgement Time ]]="NA","",(PA[[#This Row],[Acknowledgement Time ]]-PA[[#This Row],[Fault Time]])*24)</f>
        <v>0</v>
      </c>
      <c r="AE73" s="44">
        <f>IF(PA[[#This Row],[Work Start time on Fault]]="NA","",(PA[[#This Row],[Work Start time on Fault]]-PA[[#This Row],[Fault Time]])*24)</f>
        <v>0</v>
      </c>
      <c r="AF73" s="45">
        <f>IF(PA[[#This Row],[Status]]="Open","",(PA[[#This Row],[Work Completion time on fault]]-PA[[#This Row],[Fault Time]])*24)</f>
        <v>4.7000000000000011</v>
      </c>
      <c r="AG73" s="44">
        <f>IFERROR((PA[[#This Row],[Work Completion time on fault]]-PA[[#This Row],[Fault Time]])*24,"")</f>
        <v>4.7000000000000011</v>
      </c>
      <c r="AH73" s="36" t="s">
        <v>269</v>
      </c>
      <c r="AI73" s="33" t="s">
        <v>235</v>
      </c>
      <c r="AJ73" s="35" t="str">
        <f>IFERROR(PA[[#This Row],[Breakdown Time]]*PA[[#This Row],[Plant Equivalent Weightage]],"")</f>
        <v/>
      </c>
      <c r="AK73" s="36">
        <v>1.7781666666666667</v>
      </c>
      <c r="AL73" s="51" t="str">
        <f>IFERROR((_xlfn.XLOOKUP($G73,'Modelling New'!D:D,'Modelling New'!$O:$O)*PA[[#This Row],[Lost PoA(kWh/m2)]]*PA[[#This Row],[DC Capacity Affected (kW)]]),"")</f>
        <v/>
      </c>
      <c r="AM73" s="33"/>
      <c r="AN73" s="33"/>
      <c r="AO73" s="33"/>
      <c r="AP73" s="33"/>
    </row>
    <row r="74" spans="1:42">
      <c r="A74" s="30">
        <v>73</v>
      </c>
      <c r="B74" s="31"/>
      <c r="C74" s="32">
        <f>YEAR(PA[[#This Row],[Date]])+IF(MONTH(PA[[#This Row],[Date]])&gt;=4,1,0)</f>
        <v>1900</v>
      </c>
      <c r="D74" s="32">
        <f>YEAR(PA[[#This Row],[Date]])</f>
        <v>1900</v>
      </c>
      <c r="E74" s="33" t="s">
        <v>157</v>
      </c>
      <c r="F74" s="33" t="s">
        <v>157</v>
      </c>
      <c r="G74" s="194">
        <f>PA[[#This Row],[Date]]-DAY(PA[[#This Row],[Date]])+1</f>
        <v>1</v>
      </c>
      <c r="H74" s="32">
        <f>DAY(EOMONTH(PA[[#This Row],[Month Year]],0))</f>
        <v>31</v>
      </c>
      <c r="I74" s="121"/>
      <c r="J74" s="121"/>
      <c r="K74" s="35">
        <f>IFERROR((PA[[#This Row],[Sunset Time (POA&lt;20 W/m2)]]-PA[[#This Row],[Sunrise Time (POA&gt;20 W/m2)]])*24,"")</f>
        <v>0</v>
      </c>
      <c r="L74" s="33"/>
      <c r="M74" s="33"/>
      <c r="N74" s="33"/>
      <c r="O74" s="36"/>
      <c r="P74" s="36"/>
      <c r="Q74" s="33"/>
      <c r="R74" s="32">
        <f>IF((PA[[#This Row],[String Type(If String BD)]]&amp;PA[[#This Row],[Equipment (If any BD other than PV  array and inv)]])="",1,0)</f>
        <v>1</v>
      </c>
      <c r="S74" s="32">
        <f>IF(PA[[#This Row],[String Type(If String BD)]]="",1,0)</f>
        <v>1</v>
      </c>
      <c r="T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4" s="35" t="str">
        <f>IFERROR(_xlfn.XLOOKUP(PA[[#This Row],[Affected Equipment ]],'Basic Data'!N:N,'Basic Data'!Q:Q),"")</f>
        <v/>
      </c>
      <c r="V74" s="39" t="str">
        <f>IFERROR(_xlfn.XLOOKUP(PA[[#This Row],[Affected Equipment ]],'Basic Data'!N:N,'Basic Data'!R:R),"")</f>
        <v/>
      </c>
      <c r="W74" s="36" t="s">
        <v>240</v>
      </c>
      <c r="X74" s="40"/>
      <c r="Y74" s="286" t="s">
        <v>268</v>
      </c>
      <c r="Z74" s="42">
        <v>0.25555555555555554</v>
      </c>
      <c r="AA74" s="42">
        <v>0.25555555555555554</v>
      </c>
      <c r="AB74" s="42">
        <v>0.25555555555555554</v>
      </c>
      <c r="AC74" s="42">
        <v>0.46250000000000002</v>
      </c>
      <c r="AD74" s="44">
        <f>IF(PA[[#This Row],[Acknowledgement Time ]]="NA","",(PA[[#This Row],[Acknowledgement Time ]]-PA[[#This Row],[Fault Time]])*24)</f>
        <v>0</v>
      </c>
      <c r="AE74" s="44">
        <f>IF(PA[[#This Row],[Work Start time on Fault]]="NA","",(PA[[#This Row],[Work Start time on Fault]]-PA[[#This Row],[Fault Time]])*24)</f>
        <v>0</v>
      </c>
      <c r="AF74" s="45">
        <f>IF(PA[[#This Row],[Status]]="Open","",(PA[[#This Row],[Work Completion time on fault]]-PA[[#This Row],[Fault Time]])*24)</f>
        <v>4.9666666666666677</v>
      </c>
      <c r="AG74" s="44">
        <f>IFERROR((PA[[#This Row],[Work Completion time on fault]]-PA[[#This Row],[Fault Time]])*24,"")</f>
        <v>4.9666666666666677</v>
      </c>
      <c r="AH74" s="36" t="s">
        <v>269</v>
      </c>
      <c r="AI74" s="33" t="s">
        <v>235</v>
      </c>
      <c r="AJ74" s="35" t="str">
        <f>IFERROR(PA[[#This Row],[Breakdown Time]]*PA[[#This Row],[Plant Equivalent Weightage]],"")</f>
        <v/>
      </c>
      <c r="AK74" s="36">
        <v>1.99705</v>
      </c>
      <c r="AL74" s="51" t="str">
        <f>IFERROR((_xlfn.XLOOKUP($G74,'Modelling New'!D:D,'Modelling New'!$O:$O)*PA[[#This Row],[Lost PoA(kWh/m2)]]*PA[[#This Row],[DC Capacity Affected (kW)]]),"")</f>
        <v/>
      </c>
      <c r="AM74" s="33"/>
      <c r="AN74" s="33"/>
      <c r="AO74" s="33"/>
      <c r="AP74" s="33"/>
    </row>
    <row r="75" spans="1:42">
      <c r="A75" s="30">
        <v>74</v>
      </c>
      <c r="B75" s="31"/>
      <c r="C75" s="32">
        <f>YEAR(PA[[#This Row],[Date]])+IF(MONTH(PA[[#This Row],[Date]])&gt;=4,1,0)</f>
        <v>1900</v>
      </c>
      <c r="D75" s="32">
        <f>YEAR(PA[[#This Row],[Date]])</f>
        <v>1900</v>
      </c>
      <c r="E75" s="33" t="s">
        <v>157</v>
      </c>
      <c r="F75" s="33" t="s">
        <v>157</v>
      </c>
      <c r="G75" s="194">
        <f>PA[[#This Row],[Date]]-DAY(PA[[#This Row],[Date]])+1</f>
        <v>1</v>
      </c>
      <c r="H75" s="32">
        <f>DAY(EOMONTH(PA[[#This Row],[Month Year]],0))</f>
        <v>31</v>
      </c>
      <c r="I75" s="121"/>
      <c r="J75" s="121"/>
      <c r="K75" s="35">
        <f>IFERROR((PA[[#This Row],[Sunset Time (POA&lt;20 W/m2)]]-PA[[#This Row],[Sunrise Time (POA&gt;20 W/m2)]])*24,"")</f>
        <v>0</v>
      </c>
      <c r="L75" s="33"/>
      <c r="M75" s="33"/>
      <c r="N75" s="33"/>
      <c r="O75" s="36"/>
      <c r="P75" s="36"/>
      <c r="Q75" s="33"/>
      <c r="R75" s="32">
        <f>IF((PA[[#This Row],[String Type(If String BD)]]&amp;PA[[#This Row],[Equipment (If any BD other than PV  array and inv)]])="",1,0)</f>
        <v>1</v>
      </c>
      <c r="S75" s="32">
        <f>IF(PA[[#This Row],[String Type(If String BD)]]="",1,0)</f>
        <v>1</v>
      </c>
      <c r="T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5" s="35" t="str">
        <f>IFERROR(_xlfn.XLOOKUP(PA[[#This Row],[Affected Equipment ]],'Basic Data'!N:N,'Basic Data'!Q:Q),"")</f>
        <v/>
      </c>
      <c r="V75" s="39" t="str">
        <f>IFERROR(_xlfn.XLOOKUP(PA[[#This Row],[Affected Equipment ]],'Basic Data'!N:N,'Basic Data'!R:R),"")</f>
        <v/>
      </c>
      <c r="W75" s="36" t="s">
        <v>240</v>
      </c>
      <c r="X75" s="40"/>
      <c r="Y75" s="286" t="s">
        <v>268</v>
      </c>
      <c r="Z75" s="42">
        <v>0.25555555555555554</v>
      </c>
      <c r="AA75" s="42">
        <v>0.25555555555555554</v>
      </c>
      <c r="AB75" s="42">
        <v>0.25555555555555554</v>
      </c>
      <c r="AC75" s="42">
        <v>0.47222222222222221</v>
      </c>
      <c r="AD75" s="44">
        <f>IF(PA[[#This Row],[Acknowledgement Time ]]="NA","",(PA[[#This Row],[Acknowledgement Time ]]-PA[[#This Row],[Fault Time]])*24)</f>
        <v>0</v>
      </c>
      <c r="AE75" s="44">
        <f>IF(PA[[#This Row],[Work Start time on Fault]]="NA","",(PA[[#This Row],[Work Start time on Fault]]-PA[[#This Row],[Fault Time]])*24)</f>
        <v>0</v>
      </c>
      <c r="AF75" s="45">
        <f>IF(PA[[#This Row],[Status]]="Open","",(PA[[#This Row],[Work Completion time on fault]]-PA[[#This Row],[Fault Time]])*24)</f>
        <v>5.2</v>
      </c>
      <c r="AG75" s="44">
        <f>IFERROR((PA[[#This Row],[Work Completion time on fault]]-PA[[#This Row],[Fault Time]])*24,"")</f>
        <v>5.2</v>
      </c>
      <c r="AH75" s="36" t="s">
        <v>269</v>
      </c>
      <c r="AI75" s="33" t="s">
        <v>235</v>
      </c>
      <c r="AJ75" s="35" t="str">
        <f>IFERROR(PA[[#This Row],[Breakdown Time]]*PA[[#This Row],[Plant Equivalent Weightage]],"")</f>
        <v/>
      </c>
      <c r="AK75" s="36">
        <v>2.1839166666666667</v>
      </c>
      <c r="AL75" s="51" t="str">
        <f>IFERROR((_xlfn.XLOOKUP($G75,'Modelling New'!D:D,'Modelling New'!$O:$O)*PA[[#This Row],[Lost PoA(kWh/m2)]]*PA[[#This Row],[DC Capacity Affected (kW)]]),"")</f>
        <v/>
      </c>
      <c r="AM75" s="33"/>
      <c r="AN75" s="33"/>
      <c r="AO75" s="33"/>
      <c r="AP75" s="33"/>
    </row>
    <row r="76" spans="1:42">
      <c r="A76" s="30">
        <v>75</v>
      </c>
      <c r="B76" s="31"/>
      <c r="C76" s="32">
        <f>YEAR(PA[[#This Row],[Date]])+IF(MONTH(PA[[#This Row],[Date]])&gt;=4,1,0)</f>
        <v>1900</v>
      </c>
      <c r="D76" s="32">
        <f>YEAR(PA[[#This Row],[Date]])</f>
        <v>1900</v>
      </c>
      <c r="E76" s="33" t="s">
        <v>157</v>
      </c>
      <c r="F76" s="33" t="s">
        <v>157</v>
      </c>
      <c r="G76" s="194">
        <f>PA[[#This Row],[Date]]-DAY(PA[[#This Row],[Date]])+1</f>
        <v>1</v>
      </c>
      <c r="H76" s="32">
        <f>DAY(EOMONTH(PA[[#This Row],[Month Year]],0))</f>
        <v>31</v>
      </c>
      <c r="I76" s="121"/>
      <c r="J76" s="121"/>
      <c r="K76" s="35">
        <f>IFERROR((PA[[#This Row],[Sunset Time (POA&lt;20 W/m2)]]-PA[[#This Row],[Sunrise Time (POA&gt;20 W/m2)]])*24,"")</f>
        <v>0</v>
      </c>
      <c r="L76" s="33"/>
      <c r="M76" s="33"/>
      <c r="N76" s="33"/>
      <c r="O76" s="36"/>
      <c r="P76" s="36"/>
      <c r="Q76" s="33"/>
      <c r="R76" s="32">
        <f>IF((PA[[#This Row],[String Type(If String BD)]]&amp;PA[[#This Row],[Equipment (If any BD other than PV  array and inv)]])="",1,0)</f>
        <v>1</v>
      </c>
      <c r="S76" s="32">
        <f>IF(PA[[#This Row],[String Type(If String BD)]]="",1,0)</f>
        <v>1</v>
      </c>
      <c r="T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6" s="35" t="str">
        <f>IFERROR(_xlfn.XLOOKUP(PA[[#This Row],[Affected Equipment ]],'Basic Data'!N:N,'Basic Data'!Q:Q),"")</f>
        <v/>
      </c>
      <c r="V76" s="39" t="str">
        <f>IFERROR(_xlfn.XLOOKUP(PA[[#This Row],[Affected Equipment ]],'Basic Data'!N:N,'Basic Data'!R:R),"")</f>
        <v/>
      </c>
      <c r="W76" s="36" t="s">
        <v>232</v>
      </c>
      <c r="X76" s="40"/>
      <c r="Y76" s="283" t="s">
        <v>270</v>
      </c>
      <c r="Z76" s="46">
        <v>0.49305555555555558</v>
      </c>
      <c r="AA76" s="46">
        <v>0.49305555555555558</v>
      </c>
      <c r="AB76" s="46">
        <v>0.49305555555555558</v>
      </c>
      <c r="AC76" s="46">
        <v>0.50694444444444442</v>
      </c>
      <c r="AD76" s="44">
        <f>IF(PA[[#This Row],[Acknowledgement Time ]]="NA","",(PA[[#This Row],[Acknowledgement Time ]]-PA[[#This Row],[Fault Time]])*24)</f>
        <v>0</v>
      </c>
      <c r="AE76" s="44">
        <f>IF(PA[[#This Row],[Work Start time on Fault]]="NA","",(PA[[#This Row],[Work Start time on Fault]]-PA[[#This Row],[Fault Time]])*24)</f>
        <v>0</v>
      </c>
      <c r="AF76" s="45">
        <f>IF(PA[[#This Row],[Status]]="Open","",(PA[[#This Row],[Work Completion time on fault]]-PA[[#This Row],[Fault Time]])*24)</f>
        <v>0.33333333333333215</v>
      </c>
      <c r="AG76" s="44">
        <f>IFERROR((PA[[#This Row],[Work Completion time on fault]]-PA[[#This Row],[Fault Time]])*24,"")</f>
        <v>0.33333333333333215</v>
      </c>
      <c r="AH76" s="36" t="s">
        <v>234</v>
      </c>
      <c r="AI76" s="33" t="s">
        <v>235</v>
      </c>
      <c r="AJ76" s="35" t="str">
        <f>IFERROR(PA[[#This Row],[Breakdown Time]]*PA[[#This Row],[Plant Equivalent Weightage]],"")</f>
        <v/>
      </c>
      <c r="AK76" s="36">
        <v>0.24315000000000001</v>
      </c>
      <c r="AL76" s="51" t="str">
        <f>IFERROR((_xlfn.XLOOKUP($G76,'Modelling New'!D:D,'Modelling New'!$O:$O)*PA[[#This Row],[Lost PoA(kWh/m2)]]*PA[[#This Row],[DC Capacity Affected (kW)]]),"")</f>
        <v/>
      </c>
      <c r="AM76" s="33"/>
      <c r="AN76" s="33"/>
      <c r="AO76" s="33"/>
      <c r="AP76" s="33"/>
    </row>
    <row r="77" spans="1:42">
      <c r="A77" s="30">
        <v>76</v>
      </c>
      <c r="B77" s="31"/>
      <c r="C77" s="32">
        <f>YEAR(PA[[#This Row],[Date]])+IF(MONTH(PA[[#This Row],[Date]])&gt;=4,1,0)</f>
        <v>1900</v>
      </c>
      <c r="D77" s="32">
        <f>YEAR(PA[[#This Row],[Date]])</f>
        <v>1900</v>
      </c>
      <c r="E77" s="33" t="s">
        <v>157</v>
      </c>
      <c r="F77" s="33" t="s">
        <v>157</v>
      </c>
      <c r="G77" s="194">
        <f>PA[[#This Row],[Date]]-DAY(PA[[#This Row],[Date]])+1</f>
        <v>1</v>
      </c>
      <c r="H77" s="32">
        <f>DAY(EOMONTH(PA[[#This Row],[Month Year]],0))</f>
        <v>31</v>
      </c>
      <c r="I77" s="121"/>
      <c r="J77" s="121"/>
      <c r="K77" s="35">
        <f>IFERROR((PA[[#This Row],[Sunset Time (POA&lt;20 W/m2)]]-PA[[#This Row],[Sunrise Time (POA&gt;20 W/m2)]])*24,"")</f>
        <v>0</v>
      </c>
      <c r="L77" s="33"/>
      <c r="M77" s="33"/>
      <c r="N77" s="33"/>
      <c r="O77" s="36"/>
      <c r="P77" s="36"/>
      <c r="Q77" s="33"/>
      <c r="R77" s="32">
        <f>IF((PA[[#This Row],[String Type(If String BD)]]&amp;PA[[#This Row],[Equipment (If any BD other than PV  array and inv)]])="",1,0)</f>
        <v>1</v>
      </c>
      <c r="S77" s="32">
        <f>IF(PA[[#This Row],[String Type(If String BD)]]="",1,0)</f>
        <v>1</v>
      </c>
      <c r="T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7" s="35" t="str">
        <f>IFERROR(_xlfn.XLOOKUP(PA[[#This Row],[Affected Equipment ]],'Basic Data'!N:N,'Basic Data'!Q:Q),"")</f>
        <v/>
      </c>
      <c r="V77" s="39" t="str">
        <f>IFERROR(_xlfn.XLOOKUP(PA[[#This Row],[Affected Equipment ]],'Basic Data'!N:N,'Basic Data'!R:R),"")</f>
        <v/>
      </c>
      <c r="W77" s="36" t="s">
        <v>232</v>
      </c>
      <c r="X77" s="40"/>
      <c r="Y77" s="283" t="s">
        <v>270</v>
      </c>
      <c r="Z77" s="46">
        <v>0.49305555555555558</v>
      </c>
      <c r="AA77" s="46">
        <v>0.49305555555555558</v>
      </c>
      <c r="AB77" s="46">
        <v>0.49305555555555558</v>
      </c>
      <c r="AC77" s="46">
        <v>0.50694444444444442</v>
      </c>
      <c r="AD77" s="44">
        <f>IF(PA[[#This Row],[Acknowledgement Time ]]="NA","",(PA[[#This Row],[Acknowledgement Time ]]-PA[[#This Row],[Fault Time]])*24)</f>
        <v>0</v>
      </c>
      <c r="AE77" s="44">
        <f>IF(PA[[#This Row],[Work Start time on Fault]]="NA","",(PA[[#This Row],[Work Start time on Fault]]-PA[[#This Row],[Fault Time]])*24)</f>
        <v>0</v>
      </c>
      <c r="AF77" s="45">
        <f>IF(PA[[#This Row],[Status]]="Open","",(PA[[#This Row],[Work Completion time on fault]]-PA[[#This Row],[Fault Time]])*24)</f>
        <v>0.33333333333333215</v>
      </c>
      <c r="AG77" s="44">
        <f>IFERROR((PA[[#This Row],[Work Completion time on fault]]-PA[[#This Row],[Fault Time]])*24,"")</f>
        <v>0.33333333333333215</v>
      </c>
      <c r="AH77" s="36" t="s">
        <v>234</v>
      </c>
      <c r="AI77" s="33" t="s">
        <v>235</v>
      </c>
      <c r="AJ77" s="35" t="str">
        <f>IFERROR(PA[[#This Row],[Breakdown Time]]*PA[[#This Row],[Plant Equivalent Weightage]],"")</f>
        <v/>
      </c>
      <c r="AK77" s="36">
        <v>0.24315000000000001</v>
      </c>
      <c r="AL77" s="51" t="str">
        <f>IFERROR((_xlfn.XLOOKUP($G77,'Modelling New'!D:D,'Modelling New'!$O:$O)*PA[[#This Row],[Lost PoA(kWh/m2)]]*PA[[#This Row],[DC Capacity Affected (kW)]]),"")</f>
        <v/>
      </c>
      <c r="AM77" s="33"/>
      <c r="AN77" s="33"/>
      <c r="AO77" s="33"/>
      <c r="AP77" s="33"/>
    </row>
    <row r="78" spans="1:42">
      <c r="A78" s="30">
        <v>77</v>
      </c>
      <c r="B78" s="31"/>
      <c r="C78" s="32">
        <f>YEAR(PA[[#This Row],[Date]])+IF(MONTH(PA[[#This Row],[Date]])&gt;=4,1,0)</f>
        <v>1900</v>
      </c>
      <c r="D78" s="32">
        <f>YEAR(PA[[#This Row],[Date]])</f>
        <v>1900</v>
      </c>
      <c r="E78" s="33" t="s">
        <v>157</v>
      </c>
      <c r="F78" s="33" t="s">
        <v>157</v>
      </c>
      <c r="G78" s="194">
        <f>PA[[#This Row],[Date]]-DAY(PA[[#This Row],[Date]])+1</f>
        <v>1</v>
      </c>
      <c r="H78" s="32">
        <f>DAY(EOMONTH(PA[[#This Row],[Month Year]],0))</f>
        <v>31</v>
      </c>
      <c r="I78" s="121"/>
      <c r="J78" s="121"/>
      <c r="K78" s="35">
        <f>IFERROR((PA[[#This Row],[Sunset Time (POA&lt;20 W/m2)]]-PA[[#This Row],[Sunrise Time (POA&gt;20 W/m2)]])*24,"")</f>
        <v>0</v>
      </c>
      <c r="L78" s="33"/>
      <c r="M78" s="33"/>
      <c r="N78" s="33"/>
      <c r="O78" s="36"/>
      <c r="P78" s="36"/>
      <c r="Q78" s="33"/>
      <c r="R78" s="32">
        <f>IF((PA[[#This Row],[String Type(If String BD)]]&amp;PA[[#This Row],[Equipment (If any BD other than PV  array and inv)]])="",1,0)</f>
        <v>1</v>
      </c>
      <c r="S78" s="32">
        <f>IF(PA[[#This Row],[String Type(If String BD)]]="",1,0)</f>
        <v>1</v>
      </c>
      <c r="T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8" s="35" t="str">
        <f>IFERROR(_xlfn.XLOOKUP(PA[[#This Row],[Affected Equipment ]],'Basic Data'!N:N,'Basic Data'!Q:Q),"")</f>
        <v/>
      </c>
      <c r="V78" s="39" t="str">
        <f>IFERROR(_xlfn.XLOOKUP(PA[[#This Row],[Affected Equipment ]],'Basic Data'!N:N,'Basic Data'!R:R),"")</f>
        <v/>
      </c>
      <c r="W78" s="36" t="s">
        <v>232</v>
      </c>
      <c r="X78" s="40"/>
      <c r="Y78" s="283" t="s">
        <v>270</v>
      </c>
      <c r="Z78" s="46">
        <v>0.49444444444444446</v>
      </c>
      <c r="AA78" s="46">
        <v>0.49444444444444446</v>
      </c>
      <c r="AB78" s="46">
        <v>0.49444444444444446</v>
      </c>
      <c r="AC78" s="46">
        <v>0.50486111111111109</v>
      </c>
      <c r="AD78" s="44">
        <f>IF(PA[[#This Row],[Acknowledgement Time ]]="NA","",(PA[[#This Row],[Acknowledgement Time ]]-PA[[#This Row],[Fault Time]])*24)</f>
        <v>0</v>
      </c>
      <c r="AE78" s="44">
        <f>IF(PA[[#This Row],[Work Start time on Fault]]="NA","",(PA[[#This Row],[Work Start time on Fault]]-PA[[#This Row],[Fault Time]])*24)</f>
        <v>0</v>
      </c>
      <c r="AF78" s="45">
        <f>IF(PA[[#This Row],[Status]]="Open","",(PA[[#This Row],[Work Completion time on fault]]-PA[[#This Row],[Fault Time]])*24)</f>
        <v>0.24999999999999911</v>
      </c>
      <c r="AG78" s="44">
        <f>IFERROR((PA[[#This Row],[Work Completion time on fault]]-PA[[#This Row],[Fault Time]])*24,"")</f>
        <v>0.24999999999999911</v>
      </c>
      <c r="AH78" s="36" t="s">
        <v>234</v>
      </c>
      <c r="AI78" s="33" t="s">
        <v>235</v>
      </c>
      <c r="AJ78" s="35" t="str">
        <f>IFERROR(PA[[#This Row],[Breakdown Time]]*PA[[#This Row],[Plant Equivalent Weightage]],"")</f>
        <v/>
      </c>
      <c r="AK78" s="36">
        <v>0.26469999999999999</v>
      </c>
      <c r="AL78" s="51" t="str">
        <f>IFERROR((_xlfn.XLOOKUP($G78,'Modelling New'!D:D,'Modelling New'!$O:$O)*PA[[#This Row],[Lost PoA(kWh/m2)]]*PA[[#This Row],[DC Capacity Affected (kW)]]),"")</f>
        <v/>
      </c>
      <c r="AM78" s="33"/>
      <c r="AN78" s="33"/>
      <c r="AO78" s="33"/>
      <c r="AP78" s="33"/>
    </row>
    <row r="79" spans="1:42">
      <c r="A79" s="30">
        <v>78</v>
      </c>
      <c r="B79" s="31"/>
      <c r="C79" s="32">
        <f>YEAR(PA[[#This Row],[Date]])+IF(MONTH(PA[[#This Row],[Date]])&gt;=4,1,0)</f>
        <v>1900</v>
      </c>
      <c r="D79" s="32">
        <f>YEAR(PA[[#This Row],[Date]])</f>
        <v>1900</v>
      </c>
      <c r="E79" s="33" t="s">
        <v>157</v>
      </c>
      <c r="F79" s="33" t="s">
        <v>157</v>
      </c>
      <c r="G79" s="194">
        <f>PA[[#This Row],[Date]]-DAY(PA[[#This Row],[Date]])+1</f>
        <v>1</v>
      </c>
      <c r="H79" s="32">
        <f>DAY(EOMONTH(PA[[#This Row],[Month Year]],0))</f>
        <v>31</v>
      </c>
      <c r="I79" s="121"/>
      <c r="J79" s="121"/>
      <c r="K79" s="35">
        <f>IFERROR((PA[[#This Row],[Sunset Time (POA&lt;20 W/m2)]]-PA[[#This Row],[Sunrise Time (POA&gt;20 W/m2)]])*24,"")</f>
        <v>0</v>
      </c>
      <c r="L79" s="33"/>
      <c r="M79" s="33"/>
      <c r="N79" s="33"/>
      <c r="O79" s="36"/>
      <c r="P79" s="36"/>
      <c r="Q79" s="33"/>
      <c r="R79" s="32">
        <f>IF((PA[[#This Row],[String Type(If String BD)]]&amp;PA[[#This Row],[Equipment (If any BD other than PV  array and inv)]])="",1,0)</f>
        <v>1</v>
      </c>
      <c r="S79" s="32">
        <f>IF(PA[[#This Row],[String Type(If String BD)]]="",1,0)</f>
        <v>1</v>
      </c>
      <c r="T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79" s="35" t="str">
        <f>IFERROR(_xlfn.XLOOKUP(PA[[#This Row],[Affected Equipment ]],'Basic Data'!N:N,'Basic Data'!Q:Q),"")</f>
        <v/>
      </c>
      <c r="V79" s="39" t="str">
        <f>IFERROR(_xlfn.XLOOKUP(PA[[#This Row],[Affected Equipment ]],'Basic Data'!N:N,'Basic Data'!R:R),"")</f>
        <v/>
      </c>
      <c r="W79" s="36" t="s">
        <v>232</v>
      </c>
      <c r="X79" s="40"/>
      <c r="Y79" s="283" t="s">
        <v>270</v>
      </c>
      <c r="Z79" s="46">
        <v>0.49444444444444446</v>
      </c>
      <c r="AA79" s="46">
        <v>0.49444444444444446</v>
      </c>
      <c r="AB79" s="46">
        <v>0.49444444444444446</v>
      </c>
      <c r="AC79" s="46">
        <v>0.50486111111111109</v>
      </c>
      <c r="AD79" s="44">
        <f>IF(PA[[#This Row],[Acknowledgement Time ]]="NA","",(PA[[#This Row],[Acknowledgement Time ]]-PA[[#This Row],[Fault Time]])*24)</f>
        <v>0</v>
      </c>
      <c r="AE79" s="44">
        <f>IF(PA[[#This Row],[Work Start time on Fault]]="NA","",(PA[[#This Row],[Work Start time on Fault]]-PA[[#This Row],[Fault Time]])*24)</f>
        <v>0</v>
      </c>
      <c r="AF79" s="45">
        <f>IF(PA[[#This Row],[Status]]="Open","",(PA[[#This Row],[Work Completion time on fault]]-PA[[#This Row],[Fault Time]])*24)</f>
        <v>0.24999999999999911</v>
      </c>
      <c r="AG79" s="44">
        <f>IFERROR((PA[[#This Row],[Work Completion time on fault]]-PA[[#This Row],[Fault Time]])*24,"")</f>
        <v>0.24999999999999911</v>
      </c>
      <c r="AH79" s="36" t="s">
        <v>234</v>
      </c>
      <c r="AI79" s="33" t="s">
        <v>235</v>
      </c>
      <c r="AJ79" s="35" t="str">
        <f>IFERROR(PA[[#This Row],[Breakdown Time]]*PA[[#This Row],[Plant Equivalent Weightage]],"")</f>
        <v/>
      </c>
      <c r="AK79" s="36">
        <v>0.26469999999999999</v>
      </c>
      <c r="AL79" s="51" t="str">
        <f>IFERROR((_xlfn.XLOOKUP($G79,'Modelling New'!D:D,'Modelling New'!$O:$O)*PA[[#This Row],[Lost PoA(kWh/m2)]]*PA[[#This Row],[DC Capacity Affected (kW)]]),"")</f>
        <v/>
      </c>
      <c r="AM79" s="33"/>
      <c r="AN79" s="33"/>
      <c r="AO79" s="33"/>
      <c r="AP79" s="33"/>
    </row>
    <row r="80" spans="1:42">
      <c r="A80" s="30">
        <v>79</v>
      </c>
      <c r="B80" s="31"/>
      <c r="C80" s="32">
        <f>YEAR(PA[[#This Row],[Date]])+IF(MONTH(PA[[#This Row],[Date]])&gt;=4,1,0)</f>
        <v>1900</v>
      </c>
      <c r="D80" s="32">
        <f>YEAR(PA[[#This Row],[Date]])</f>
        <v>1900</v>
      </c>
      <c r="E80" s="33" t="s">
        <v>157</v>
      </c>
      <c r="F80" s="33" t="s">
        <v>157</v>
      </c>
      <c r="G80" s="194">
        <f>PA[[#This Row],[Date]]-DAY(PA[[#This Row],[Date]])+1</f>
        <v>1</v>
      </c>
      <c r="H80" s="32">
        <f>DAY(EOMONTH(PA[[#This Row],[Month Year]],0))</f>
        <v>31</v>
      </c>
      <c r="I80" s="121"/>
      <c r="J80" s="121"/>
      <c r="K80" s="35">
        <f>IFERROR((PA[[#This Row],[Sunset Time (POA&lt;20 W/m2)]]-PA[[#This Row],[Sunrise Time (POA&gt;20 W/m2)]])*24,"")</f>
        <v>0</v>
      </c>
      <c r="L80" s="33"/>
      <c r="M80" s="33"/>
      <c r="N80" s="33"/>
      <c r="O80" s="36"/>
      <c r="P80" s="36"/>
      <c r="Q80" s="33"/>
      <c r="R80" s="32">
        <f>IF((PA[[#This Row],[String Type(If String BD)]]&amp;PA[[#This Row],[Equipment (If any BD other than PV  array and inv)]])="",1,0)</f>
        <v>1</v>
      </c>
      <c r="S80" s="32">
        <f>IF(PA[[#This Row],[String Type(If String BD)]]="",1,0)</f>
        <v>1</v>
      </c>
      <c r="T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0" s="35" t="str">
        <f>IFERROR(_xlfn.XLOOKUP(PA[[#This Row],[Affected Equipment ]],'Basic Data'!N:N,'Basic Data'!Q:Q),"")</f>
        <v/>
      </c>
      <c r="V80" s="39" t="str">
        <f>IFERROR(_xlfn.XLOOKUP(PA[[#This Row],[Affected Equipment ]],'Basic Data'!N:N,'Basic Data'!R:R),"")</f>
        <v/>
      </c>
      <c r="W80" s="36" t="s">
        <v>232</v>
      </c>
      <c r="X80" s="40"/>
      <c r="Y80" s="283" t="s">
        <v>270</v>
      </c>
      <c r="Z80" s="46">
        <v>0.51944444444444449</v>
      </c>
      <c r="AA80" s="46">
        <v>0.51944444444444449</v>
      </c>
      <c r="AB80" s="46">
        <v>0.51944444444444449</v>
      </c>
      <c r="AC80" s="46">
        <v>0.53402777777777777</v>
      </c>
      <c r="AD80" s="44">
        <f>IF(PA[[#This Row],[Acknowledgement Time ]]="NA","",(PA[[#This Row],[Acknowledgement Time ]]-PA[[#This Row],[Fault Time]])*24)</f>
        <v>0</v>
      </c>
      <c r="AE80" s="44">
        <f>IF(PA[[#This Row],[Work Start time on Fault]]="NA","",(PA[[#This Row],[Work Start time on Fault]]-PA[[#This Row],[Fault Time]])*24)</f>
        <v>0</v>
      </c>
      <c r="AF80" s="45">
        <f>IF(PA[[#This Row],[Status]]="Open","",(PA[[#This Row],[Work Completion time on fault]]-PA[[#This Row],[Fault Time]])*24)</f>
        <v>0.34999999999999876</v>
      </c>
      <c r="AG80" s="44">
        <f>IFERROR((PA[[#This Row],[Work Completion time on fault]]-PA[[#This Row],[Fault Time]])*24,"")</f>
        <v>0.34999999999999876</v>
      </c>
      <c r="AH80" s="36" t="s">
        <v>234</v>
      </c>
      <c r="AI80" s="33" t="s">
        <v>235</v>
      </c>
      <c r="AJ80" s="35" t="str">
        <f>IFERROR(PA[[#This Row],[Breakdown Time]]*PA[[#This Row],[Plant Equivalent Weightage]],"")</f>
        <v/>
      </c>
      <c r="AK80" s="36">
        <v>0.37036666666666668</v>
      </c>
      <c r="AL80" s="51" t="str">
        <f>IFERROR((_xlfn.XLOOKUP($G80,'Modelling New'!D:D,'Modelling New'!$O:$O)*PA[[#This Row],[Lost PoA(kWh/m2)]]*PA[[#This Row],[DC Capacity Affected (kW)]]),"")</f>
        <v/>
      </c>
      <c r="AM80" s="33"/>
      <c r="AN80" s="33"/>
      <c r="AO80" s="33"/>
      <c r="AP80" s="33"/>
    </row>
    <row r="81" spans="1:42">
      <c r="A81" s="30">
        <v>80</v>
      </c>
      <c r="B81" s="31"/>
      <c r="C81" s="32">
        <f>YEAR(PA[[#This Row],[Date]])+IF(MONTH(PA[[#This Row],[Date]])&gt;=4,1,0)</f>
        <v>1900</v>
      </c>
      <c r="D81" s="32">
        <f>YEAR(PA[[#This Row],[Date]])</f>
        <v>1900</v>
      </c>
      <c r="E81" s="33" t="s">
        <v>157</v>
      </c>
      <c r="F81" s="33" t="s">
        <v>157</v>
      </c>
      <c r="G81" s="194">
        <f>PA[[#This Row],[Date]]-DAY(PA[[#This Row],[Date]])+1</f>
        <v>1</v>
      </c>
      <c r="H81" s="32">
        <f>DAY(EOMONTH(PA[[#This Row],[Month Year]],0))</f>
        <v>31</v>
      </c>
      <c r="I81" s="121"/>
      <c r="J81" s="121"/>
      <c r="K81" s="35">
        <f>IFERROR((PA[[#This Row],[Sunset Time (POA&lt;20 W/m2)]]-PA[[#This Row],[Sunrise Time (POA&gt;20 W/m2)]])*24,"")</f>
        <v>0</v>
      </c>
      <c r="L81" s="33"/>
      <c r="M81" s="33"/>
      <c r="N81" s="33"/>
      <c r="O81" s="36"/>
      <c r="P81" s="36"/>
      <c r="Q81" s="33"/>
      <c r="R81" s="32">
        <f>IF((PA[[#This Row],[String Type(If String BD)]]&amp;PA[[#This Row],[Equipment (If any BD other than PV  array and inv)]])="",1,0)</f>
        <v>1</v>
      </c>
      <c r="S81" s="32">
        <f>IF(PA[[#This Row],[String Type(If String BD)]]="",1,0)</f>
        <v>1</v>
      </c>
      <c r="T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1" s="35" t="str">
        <f>IFERROR(_xlfn.XLOOKUP(PA[[#This Row],[Affected Equipment ]],'Basic Data'!N:N,'Basic Data'!Q:Q),"")</f>
        <v/>
      </c>
      <c r="V81" s="39" t="str">
        <f>IFERROR(_xlfn.XLOOKUP(PA[[#This Row],[Affected Equipment ]],'Basic Data'!N:N,'Basic Data'!R:R),"")</f>
        <v/>
      </c>
      <c r="W81" s="36" t="s">
        <v>232</v>
      </c>
      <c r="X81" s="40"/>
      <c r="Y81" s="283" t="s">
        <v>270</v>
      </c>
      <c r="Z81" s="46">
        <v>0.51944444444444449</v>
      </c>
      <c r="AA81" s="46">
        <v>0.51944444444444449</v>
      </c>
      <c r="AB81" s="46">
        <v>0.51944444444444449</v>
      </c>
      <c r="AC81" s="46">
        <v>0.53402777777777777</v>
      </c>
      <c r="AD81" s="44">
        <f>IF(PA[[#This Row],[Acknowledgement Time ]]="NA","",(PA[[#This Row],[Acknowledgement Time ]]-PA[[#This Row],[Fault Time]])*24)</f>
        <v>0</v>
      </c>
      <c r="AE81" s="44">
        <f>IF(PA[[#This Row],[Work Start time on Fault]]="NA","",(PA[[#This Row],[Work Start time on Fault]]-PA[[#This Row],[Fault Time]])*24)</f>
        <v>0</v>
      </c>
      <c r="AF81" s="45">
        <f>IF(PA[[#This Row],[Status]]="Open","",(PA[[#This Row],[Work Completion time on fault]]-PA[[#This Row],[Fault Time]])*24)</f>
        <v>0.34999999999999876</v>
      </c>
      <c r="AG81" s="44">
        <f>IFERROR((PA[[#This Row],[Work Completion time on fault]]-PA[[#This Row],[Fault Time]])*24,"")</f>
        <v>0.34999999999999876</v>
      </c>
      <c r="AH81" s="36" t="s">
        <v>234</v>
      </c>
      <c r="AI81" s="33" t="s">
        <v>235</v>
      </c>
      <c r="AJ81" s="35" t="str">
        <f>IFERROR(PA[[#This Row],[Breakdown Time]]*PA[[#This Row],[Plant Equivalent Weightage]],"")</f>
        <v/>
      </c>
      <c r="AK81" s="36">
        <v>0.37036666666666668</v>
      </c>
      <c r="AL81" s="51" t="str">
        <f>IFERROR((_xlfn.XLOOKUP($G81,'Modelling New'!D:D,'Modelling New'!$O:$O)*PA[[#This Row],[Lost PoA(kWh/m2)]]*PA[[#This Row],[DC Capacity Affected (kW)]]),"")</f>
        <v/>
      </c>
      <c r="AM81" s="33"/>
      <c r="AN81" s="33"/>
      <c r="AO81" s="33"/>
      <c r="AP81" s="33"/>
    </row>
    <row r="82" spans="1:42">
      <c r="A82" s="30">
        <v>81</v>
      </c>
      <c r="B82" s="31"/>
      <c r="C82" s="32">
        <f>YEAR(PA[[#This Row],[Date]])+IF(MONTH(PA[[#This Row],[Date]])&gt;=4,1,0)</f>
        <v>1900</v>
      </c>
      <c r="D82" s="32">
        <f>YEAR(PA[[#This Row],[Date]])</f>
        <v>1900</v>
      </c>
      <c r="E82" s="33" t="s">
        <v>157</v>
      </c>
      <c r="F82" s="33" t="s">
        <v>157</v>
      </c>
      <c r="G82" s="194">
        <f>PA[[#This Row],[Date]]-DAY(PA[[#This Row],[Date]])+1</f>
        <v>1</v>
      </c>
      <c r="H82" s="32">
        <f>DAY(EOMONTH(PA[[#This Row],[Month Year]],0))</f>
        <v>31</v>
      </c>
      <c r="I82" s="121"/>
      <c r="J82" s="121"/>
      <c r="K82" s="35">
        <f>IFERROR((PA[[#This Row],[Sunset Time (POA&lt;20 W/m2)]]-PA[[#This Row],[Sunrise Time (POA&gt;20 W/m2)]])*24,"")</f>
        <v>0</v>
      </c>
      <c r="L82" s="33"/>
      <c r="M82" s="33"/>
      <c r="N82" s="33"/>
      <c r="O82" s="36"/>
      <c r="P82" s="36"/>
      <c r="Q82" s="33"/>
      <c r="R82" s="32">
        <f>IF((PA[[#This Row],[String Type(If String BD)]]&amp;PA[[#This Row],[Equipment (If any BD other than PV  array and inv)]])="",1,0)</f>
        <v>1</v>
      </c>
      <c r="S82" s="32">
        <f>IF(PA[[#This Row],[String Type(If String BD)]]="",1,0)</f>
        <v>1</v>
      </c>
      <c r="T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2" s="35" t="str">
        <f>IFERROR(_xlfn.XLOOKUP(PA[[#This Row],[Affected Equipment ]],'Basic Data'!N:N,'Basic Data'!Q:Q),"")</f>
        <v/>
      </c>
      <c r="V82" s="39" t="str">
        <f>IFERROR(_xlfn.XLOOKUP(PA[[#This Row],[Affected Equipment ]],'Basic Data'!N:N,'Basic Data'!R:R),"")</f>
        <v/>
      </c>
      <c r="W82" s="36" t="s">
        <v>240</v>
      </c>
      <c r="X82" s="40"/>
      <c r="Y82" s="283" t="s">
        <v>271</v>
      </c>
      <c r="Z82" s="46">
        <v>0.54027777777777775</v>
      </c>
      <c r="AA82" s="46">
        <v>0.54027777777777775</v>
      </c>
      <c r="AB82" s="46">
        <v>0.54027777777777775</v>
      </c>
      <c r="AC82" s="46">
        <v>0.54513888888888884</v>
      </c>
      <c r="AD82" s="44">
        <f>IF(PA[[#This Row],[Acknowledgement Time ]]="NA","",(PA[[#This Row],[Acknowledgement Time ]]-PA[[#This Row],[Fault Time]])*24)</f>
        <v>0</v>
      </c>
      <c r="AE82" s="44">
        <f>IF(PA[[#This Row],[Work Start time on Fault]]="NA","",(PA[[#This Row],[Work Start time on Fault]]-PA[[#This Row],[Fault Time]])*24)</f>
        <v>0</v>
      </c>
      <c r="AF82" s="45">
        <f>IF(PA[[#This Row],[Status]]="Open","",(PA[[#This Row],[Work Completion time on fault]]-PA[[#This Row],[Fault Time]])*24)</f>
        <v>0.11666666666666625</v>
      </c>
      <c r="AG82" s="44">
        <f>IFERROR((PA[[#This Row],[Work Completion time on fault]]-PA[[#This Row],[Fault Time]])*24,"")</f>
        <v>0.11666666666666625</v>
      </c>
      <c r="AH82" s="36" t="s">
        <v>272</v>
      </c>
      <c r="AI82" s="33" t="s">
        <v>235</v>
      </c>
      <c r="AJ82" s="35" t="str">
        <f>IFERROR(PA[[#This Row],[Breakdown Time]]*PA[[#This Row],[Plant Equivalent Weightage]],"")</f>
        <v/>
      </c>
      <c r="AK82" s="36">
        <v>6.2933333333333327E-2</v>
      </c>
      <c r="AL82" s="51" t="str">
        <f>IFERROR((_xlfn.XLOOKUP($G82,'Modelling New'!D:D,'Modelling New'!$O:$O)*PA[[#This Row],[Lost PoA(kWh/m2)]]*PA[[#This Row],[DC Capacity Affected (kW)]]),"")</f>
        <v/>
      </c>
      <c r="AM82" s="33"/>
      <c r="AN82" s="33"/>
      <c r="AO82" s="33"/>
      <c r="AP82" s="33"/>
    </row>
    <row r="83" spans="1:42">
      <c r="A83" s="30">
        <v>82</v>
      </c>
      <c r="B83" s="31"/>
      <c r="C83" s="32">
        <f>YEAR(PA[[#This Row],[Date]])+IF(MONTH(PA[[#This Row],[Date]])&gt;=4,1,0)</f>
        <v>1900</v>
      </c>
      <c r="D83" s="32">
        <f>YEAR(PA[[#This Row],[Date]])</f>
        <v>1900</v>
      </c>
      <c r="E83" s="33" t="s">
        <v>157</v>
      </c>
      <c r="F83" s="33" t="s">
        <v>157</v>
      </c>
      <c r="G83" s="194">
        <f>PA[[#This Row],[Date]]-DAY(PA[[#This Row],[Date]])+1</f>
        <v>1</v>
      </c>
      <c r="H83" s="32">
        <f>DAY(EOMONTH(PA[[#This Row],[Month Year]],0))</f>
        <v>31</v>
      </c>
      <c r="I83" s="121"/>
      <c r="J83" s="121"/>
      <c r="K83" s="35">
        <f>IFERROR((PA[[#This Row],[Sunset Time (POA&lt;20 W/m2)]]-PA[[#This Row],[Sunrise Time (POA&gt;20 W/m2)]])*24,"")</f>
        <v>0</v>
      </c>
      <c r="L83" s="33"/>
      <c r="M83" s="33"/>
      <c r="N83" s="33"/>
      <c r="O83" s="36"/>
      <c r="P83" s="36"/>
      <c r="Q83" s="33"/>
      <c r="R83" s="32">
        <f>IF((PA[[#This Row],[String Type(If String BD)]]&amp;PA[[#This Row],[Equipment (If any BD other than PV  array and inv)]])="",1,0)</f>
        <v>1</v>
      </c>
      <c r="S83" s="32">
        <f>IF(PA[[#This Row],[String Type(If String BD)]]="",1,0)</f>
        <v>1</v>
      </c>
      <c r="T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3" s="35" t="str">
        <f>IFERROR(_xlfn.XLOOKUP(PA[[#This Row],[Affected Equipment ]],'Basic Data'!N:N,'Basic Data'!Q:Q),"")</f>
        <v/>
      </c>
      <c r="V83" s="39" t="str">
        <f>IFERROR(_xlfn.XLOOKUP(PA[[#This Row],[Affected Equipment ]],'Basic Data'!N:N,'Basic Data'!R:R),"")</f>
        <v/>
      </c>
      <c r="W83" s="36" t="s">
        <v>240</v>
      </c>
      <c r="X83" s="40"/>
      <c r="Y83" s="283" t="s">
        <v>271</v>
      </c>
      <c r="Z83" s="46">
        <v>0.55069444444444449</v>
      </c>
      <c r="AA83" s="46">
        <v>0.55069444444444449</v>
      </c>
      <c r="AB83" s="46">
        <v>0.55069444444444449</v>
      </c>
      <c r="AC83" s="46">
        <v>0.55555555555555558</v>
      </c>
      <c r="AD83" s="44">
        <f>IF(PA[[#This Row],[Acknowledgement Time ]]="NA","",(PA[[#This Row],[Acknowledgement Time ]]-PA[[#This Row],[Fault Time]])*24)</f>
        <v>0</v>
      </c>
      <c r="AE83" s="44">
        <f>IF(PA[[#This Row],[Work Start time on Fault]]="NA","",(PA[[#This Row],[Work Start time on Fault]]-PA[[#This Row],[Fault Time]])*24)</f>
        <v>0</v>
      </c>
      <c r="AF83" s="45">
        <f>IF(PA[[#This Row],[Status]]="Open","",(PA[[#This Row],[Work Completion time on fault]]-PA[[#This Row],[Fault Time]])*24)</f>
        <v>0.11666666666666625</v>
      </c>
      <c r="AG83" s="44">
        <f>IFERROR((PA[[#This Row],[Work Completion time on fault]]-PA[[#This Row],[Fault Time]])*24,"")</f>
        <v>0.11666666666666625</v>
      </c>
      <c r="AH83" s="36" t="s">
        <v>272</v>
      </c>
      <c r="AI83" s="33" t="s">
        <v>235</v>
      </c>
      <c r="AJ83" s="35" t="str">
        <f>IFERROR(PA[[#This Row],[Breakdown Time]]*PA[[#This Row],[Plant Equivalent Weightage]],"")</f>
        <v/>
      </c>
      <c r="AK83" s="36">
        <v>5.8099999999999999E-2</v>
      </c>
      <c r="AL83" s="51" t="str">
        <f>IFERROR((_xlfn.XLOOKUP($G83,'Modelling New'!D:D,'Modelling New'!$O:$O)*PA[[#This Row],[Lost PoA(kWh/m2)]]*PA[[#This Row],[DC Capacity Affected (kW)]]),"")</f>
        <v/>
      </c>
      <c r="AM83" s="33"/>
      <c r="AN83" s="33"/>
      <c r="AO83" s="33"/>
      <c r="AP83" s="33"/>
    </row>
    <row r="84" spans="1:42">
      <c r="A84" s="30">
        <v>83</v>
      </c>
      <c r="B84" s="31"/>
      <c r="C84" s="32">
        <f>YEAR(PA[[#This Row],[Date]])+IF(MONTH(PA[[#This Row],[Date]])&gt;=4,1,0)</f>
        <v>1900</v>
      </c>
      <c r="D84" s="32">
        <f>YEAR(PA[[#This Row],[Date]])</f>
        <v>1900</v>
      </c>
      <c r="E84" s="33" t="s">
        <v>157</v>
      </c>
      <c r="F84" s="33" t="s">
        <v>157</v>
      </c>
      <c r="G84" s="194">
        <f>PA[[#This Row],[Date]]-DAY(PA[[#This Row],[Date]])+1</f>
        <v>1</v>
      </c>
      <c r="H84" s="32">
        <f>DAY(EOMONTH(PA[[#This Row],[Month Year]],0))</f>
        <v>31</v>
      </c>
      <c r="I84" s="121"/>
      <c r="J84" s="121"/>
      <c r="K84" s="35">
        <f>IFERROR((PA[[#This Row],[Sunset Time (POA&lt;20 W/m2)]]-PA[[#This Row],[Sunrise Time (POA&gt;20 W/m2)]])*24,"")</f>
        <v>0</v>
      </c>
      <c r="L84" s="33"/>
      <c r="M84" s="33"/>
      <c r="N84" s="33"/>
      <c r="O84" s="36"/>
      <c r="P84" s="36"/>
      <c r="Q84" s="33"/>
      <c r="R84" s="32">
        <f>IF((PA[[#This Row],[String Type(If String BD)]]&amp;PA[[#This Row],[Equipment (If any BD other than PV  array and inv)]])="",1,0)</f>
        <v>1</v>
      </c>
      <c r="S84" s="32">
        <f>IF(PA[[#This Row],[String Type(If String BD)]]="",1,0)</f>
        <v>1</v>
      </c>
      <c r="T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4" s="35" t="str">
        <f>IFERROR(_xlfn.XLOOKUP(PA[[#This Row],[Affected Equipment ]],'Basic Data'!N:N,'Basic Data'!Q:Q),"")</f>
        <v/>
      </c>
      <c r="V84" s="39" t="str">
        <f>IFERROR(_xlfn.XLOOKUP(PA[[#This Row],[Affected Equipment ]],'Basic Data'!N:N,'Basic Data'!R:R),"")</f>
        <v/>
      </c>
      <c r="W84" s="36" t="s">
        <v>240</v>
      </c>
      <c r="X84" s="40"/>
      <c r="Y84" s="283" t="s">
        <v>271</v>
      </c>
      <c r="Z84" s="46">
        <v>0.57499999999999996</v>
      </c>
      <c r="AA84" s="46">
        <v>0.57499999999999996</v>
      </c>
      <c r="AB84" s="46">
        <v>0.57499999999999996</v>
      </c>
      <c r="AC84" s="46">
        <v>0.58819444444444446</v>
      </c>
      <c r="AD84" s="44">
        <f>IF(PA[[#This Row],[Acknowledgement Time ]]="NA","",(PA[[#This Row],[Acknowledgement Time ]]-PA[[#This Row],[Fault Time]])*24)</f>
        <v>0</v>
      </c>
      <c r="AE84" s="44">
        <f>IF(PA[[#This Row],[Work Start time on Fault]]="NA","",(PA[[#This Row],[Work Start time on Fault]]-PA[[#This Row],[Fault Time]])*24)</f>
        <v>0</v>
      </c>
      <c r="AF84" s="45">
        <f>IF(PA[[#This Row],[Status]]="Open","",(PA[[#This Row],[Work Completion time on fault]]-PA[[#This Row],[Fault Time]])*24)</f>
        <v>0.31666666666666821</v>
      </c>
      <c r="AG84" s="44">
        <f>IFERROR((PA[[#This Row],[Work Completion time on fault]]-PA[[#This Row],[Fault Time]])*24,"")</f>
        <v>0.31666666666666821</v>
      </c>
      <c r="AH84" s="36" t="s">
        <v>272</v>
      </c>
      <c r="AI84" s="33" t="s">
        <v>235</v>
      </c>
      <c r="AJ84" s="35" t="str">
        <f>IFERROR(PA[[#This Row],[Breakdown Time]]*PA[[#This Row],[Plant Equivalent Weightage]],"")</f>
        <v/>
      </c>
      <c r="AK84" s="36">
        <v>7.9683333333333328E-2</v>
      </c>
      <c r="AL84" s="51" t="str">
        <f>IFERROR((_xlfn.XLOOKUP($G84,'Modelling New'!D:D,'Modelling New'!$O:$O)*PA[[#This Row],[Lost PoA(kWh/m2)]]*PA[[#This Row],[DC Capacity Affected (kW)]]),"")</f>
        <v/>
      </c>
      <c r="AM84" s="33"/>
      <c r="AN84" s="33"/>
      <c r="AO84" s="33"/>
      <c r="AP84" s="33"/>
    </row>
    <row r="85" spans="1:42">
      <c r="A85" s="30">
        <v>84</v>
      </c>
      <c r="B85" s="31"/>
      <c r="C85" s="32">
        <f>YEAR(PA[[#This Row],[Date]])+IF(MONTH(PA[[#This Row],[Date]])&gt;=4,1,0)</f>
        <v>1900</v>
      </c>
      <c r="D85" s="32">
        <f>YEAR(PA[[#This Row],[Date]])</f>
        <v>1900</v>
      </c>
      <c r="E85" s="33" t="s">
        <v>157</v>
      </c>
      <c r="F85" s="33" t="s">
        <v>157</v>
      </c>
      <c r="G85" s="194">
        <f>PA[[#This Row],[Date]]-DAY(PA[[#This Row],[Date]])+1</f>
        <v>1</v>
      </c>
      <c r="H85" s="32">
        <f>DAY(EOMONTH(PA[[#This Row],[Month Year]],0))</f>
        <v>31</v>
      </c>
      <c r="I85" s="121"/>
      <c r="J85" s="121"/>
      <c r="K85" s="35">
        <f>IFERROR((PA[[#This Row],[Sunset Time (POA&lt;20 W/m2)]]-PA[[#This Row],[Sunrise Time (POA&gt;20 W/m2)]])*24,"")</f>
        <v>0</v>
      </c>
      <c r="L85" s="33"/>
      <c r="M85" s="33"/>
      <c r="N85" s="33"/>
      <c r="O85" s="36"/>
      <c r="P85" s="36"/>
      <c r="Q85" s="33"/>
      <c r="R85" s="32">
        <f>IF((PA[[#This Row],[String Type(If String BD)]]&amp;PA[[#This Row],[Equipment (If any BD other than PV  array and inv)]])="",1,0)</f>
        <v>1</v>
      </c>
      <c r="S85" s="32">
        <f>IF(PA[[#This Row],[String Type(If String BD)]]="",1,0)</f>
        <v>1</v>
      </c>
      <c r="T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5" s="35" t="str">
        <f>IFERROR(_xlfn.XLOOKUP(PA[[#This Row],[Affected Equipment ]],'Basic Data'!N:N,'Basic Data'!Q:Q),"")</f>
        <v/>
      </c>
      <c r="V85" s="39" t="str">
        <f>IFERROR(_xlfn.XLOOKUP(PA[[#This Row],[Affected Equipment ]],'Basic Data'!N:N,'Basic Data'!R:R),"")</f>
        <v/>
      </c>
      <c r="W85" s="36" t="s">
        <v>264</v>
      </c>
      <c r="X85" s="40"/>
      <c r="Y85" s="286" t="s">
        <v>265</v>
      </c>
      <c r="Z85" s="46">
        <v>0.2638888888888889</v>
      </c>
      <c r="AA85" s="46">
        <v>0.2638888888888889</v>
      </c>
      <c r="AB85" s="46">
        <v>0.2638888888888889</v>
      </c>
      <c r="AC85" s="46">
        <v>0.68055555555555558</v>
      </c>
      <c r="AD85" s="44">
        <f>IF(PA[[#This Row],[Acknowledgement Time ]]="NA","",(PA[[#This Row],[Acknowledgement Time ]]-PA[[#This Row],[Fault Time]])*24)</f>
        <v>0</v>
      </c>
      <c r="AE85" s="44">
        <f>IF(PA[[#This Row],[Work Start time on Fault]]="NA","",(PA[[#This Row],[Work Start time on Fault]]-PA[[#This Row],[Fault Time]])*24)</f>
        <v>0</v>
      </c>
      <c r="AF85" s="45">
        <f>IF(PA[[#This Row],[Status]]="Open","",(PA[[#This Row],[Work Completion time on fault]]-PA[[#This Row],[Fault Time]])*24)</f>
        <v>10</v>
      </c>
      <c r="AG85" s="44">
        <f>IFERROR((PA[[#This Row],[Work Completion time on fault]]-PA[[#This Row],[Fault Time]])*24,"")</f>
        <v>10</v>
      </c>
      <c r="AH85" s="36" t="s">
        <v>266</v>
      </c>
      <c r="AI85" s="33" t="s">
        <v>235</v>
      </c>
      <c r="AJ85" s="35" t="str">
        <f>IFERROR(PA[[#This Row],[Breakdown Time]]*PA[[#This Row],[Plant Equivalent Weightage]],"")</f>
        <v/>
      </c>
      <c r="AK85" s="36">
        <v>5.0788648716666671</v>
      </c>
      <c r="AL85" s="51" t="str">
        <f>IFERROR((_xlfn.XLOOKUP($G85,'Modelling New'!D:D,'Modelling New'!$O:$O)*PA[[#This Row],[Lost PoA(kWh/m2)]]*PA[[#This Row],[DC Capacity Affected (kW)]]),"")</f>
        <v/>
      </c>
      <c r="AM85" s="33"/>
      <c r="AN85" s="33"/>
      <c r="AO85" s="33"/>
      <c r="AP85" s="33"/>
    </row>
    <row r="86" spans="1:42">
      <c r="A86" s="30">
        <v>85</v>
      </c>
      <c r="B86" s="31"/>
      <c r="C86" s="32">
        <f>YEAR(PA[[#This Row],[Date]])+IF(MONTH(PA[[#This Row],[Date]])&gt;=4,1,0)</f>
        <v>1900</v>
      </c>
      <c r="D86" s="32">
        <f>YEAR(PA[[#This Row],[Date]])</f>
        <v>1900</v>
      </c>
      <c r="E86" s="33" t="s">
        <v>157</v>
      </c>
      <c r="F86" s="33" t="s">
        <v>157</v>
      </c>
      <c r="G86" s="194">
        <f>PA[[#This Row],[Date]]-DAY(PA[[#This Row],[Date]])+1</f>
        <v>1</v>
      </c>
      <c r="H86" s="32">
        <f>DAY(EOMONTH(PA[[#This Row],[Month Year]],0))</f>
        <v>31</v>
      </c>
      <c r="I86" s="121"/>
      <c r="J86" s="121"/>
      <c r="K86" s="35">
        <f>IFERROR((PA[[#This Row],[Sunset Time (POA&lt;20 W/m2)]]-PA[[#This Row],[Sunrise Time (POA&gt;20 W/m2)]])*24,"")</f>
        <v>0</v>
      </c>
      <c r="L86" s="33"/>
      <c r="M86" s="33"/>
      <c r="N86" s="33"/>
      <c r="O86" s="36"/>
      <c r="P86" s="36"/>
      <c r="Q86" s="33"/>
      <c r="R86" s="32">
        <f>IF((PA[[#This Row],[String Type(If String BD)]]&amp;PA[[#This Row],[Equipment (If any BD other than PV  array and inv)]])="",1,0)</f>
        <v>1</v>
      </c>
      <c r="S86" s="32">
        <f>IF(PA[[#This Row],[String Type(If String BD)]]="",1,0)</f>
        <v>1</v>
      </c>
      <c r="T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6" s="35" t="str">
        <f>IFERROR(_xlfn.XLOOKUP(PA[[#This Row],[Affected Equipment ]],'Basic Data'!N:N,'Basic Data'!Q:Q),"")</f>
        <v/>
      </c>
      <c r="V86" s="39" t="str">
        <f>IFERROR(_xlfn.XLOOKUP(PA[[#This Row],[Affected Equipment ]],'Basic Data'!N:N,'Basic Data'!R:R),"")</f>
        <v/>
      </c>
      <c r="W86" s="36" t="s">
        <v>240</v>
      </c>
      <c r="X86" s="40"/>
      <c r="Y86" s="283" t="s">
        <v>274</v>
      </c>
      <c r="Z86" s="46">
        <v>0.4777777777777778</v>
      </c>
      <c r="AA86" s="46">
        <v>0.4777777777777778</v>
      </c>
      <c r="AB86" s="46">
        <v>0.4777777777777778</v>
      </c>
      <c r="AC86" s="46">
        <v>0.48333333333333334</v>
      </c>
      <c r="AD86" s="44">
        <f>IF(PA[[#This Row],[Acknowledgement Time ]]="NA","",(PA[[#This Row],[Acknowledgement Time ]]-PA[[#This Row],[Fault Time]])*24)</f>
        <v>0</v>
      </c>
      <c r="AE86" s="44">
        <f>IF(PA[[#This Row],[Work Start time on Fault]]="NA","",(PA[[#This Row],[Work Start time on Fault]]-PA[[#This Row],[Fault Time]])*24)</f>
        <v>0</v>
      </c>
      <c r="AF86" s="45">
        <f>IF(PA[[#This Row],[Status]]="Open","",(PA[[#This Row],[Work Completion time on fault]]-PA[[#This Row],[Fault Time]])*24)</f>
        <v>0.13333333333333286</v>
      </c>
      <c r="AG86" s="44">
        <f>IFERROR((PA[[#This Row],[Work Completion time on fault]]-PA[[#This Row],[Fault Time]])*24,"")</f>
        <v>0.13333333333333286</v>
      </c>
      <c r="AH86" s="36" t="s">
        <v>272</v>
      </c>
      <c r="AI86" s="33" t="s">
        <v>235</v>
      </c>
      <c r="AJ86" s="35" t="str">
        <f>IFERROR(PA[[#This Row],[Breakdown Time]]*PA[[#This Row],[Plant Equivalent Weightage]],"")</f>
        <v/>
      </c>
      <c r="AK86" s="36">
        <v>0.12085816666666667</v>
      </c>
      <c r="AL86" s="51" t="str">
        <f>IFERROR((_xlfn.XLOOKUP($G86,'Modelling New'!D:D,'Modelling New'!$O:$O)*PA[[#This Row],[Lost PoA(kWh/m2)]]*PA[[#This Row],[DC Capacity Affected (kW)]]),"")</f>
        <v/>
      </c>
      <c r="AM86" s="33"/>
      <c r="AN86" s="33"/>
      <c r="AO86" s="33"/>
      <c r="AP86" s="33"/>
    </row>
    <row r="87" spans="1:42">
      <c r="A87" s="30">
        <v>86</v>
      </c>
      <c r="B87" s="31"/>
      <c r="C87" s="32">
        <f>YEAR(PA[[#This Row],[Date]])+IF(MONTH(PA[[#This Row],[Date]])&gt;=4,1,0)</f>
        <v>1900</v>
      </c>
      <c r="D87" s="32">
        <f>YEAR(PA[[#This Row],[Date]])</f>
        <v>1900</v>
      </c>
      <c r="E87" s="33" t="s">
        <v>157</v>
      </c>
      <c r="F87" s="33" t="s">
        <v>157</v>
      </c>
      <c r="G87" s="194">
        <f>PA[[#This Row],[Date]]-DAY(PA[[#This Row],[Date]])+1</f>
        <v>1</v>
      </c>
      <c r="H87" s="32">
        <f>DAY(EOMONTH(PA[[#This Row],[Month Year]],0))</f>
        <v>31</v>
      </c>
      <c r="I87" s="121"/>
      <c r="J87" s="121"/>
      <c r="K87" s="35">
        <f>IFERROR((PA[[#This Row],[Sunset Time (POA&lt;20 W/m2)]]-PA[[#This Row],[Sunrise Time (POA&gt;20 W/m2)]])*24,"")</f>
        <v>0</v>
      </c>
      <c r="L87" s="33"/>
      <c r="M87" s="33"/>
      <c r="N87" s="33"/>
      <c r="O87" s="36"/>
      <c r="P87" s="36"/>
      <c r="Q87" s="33"/>
      <c r="R87" s="32">
        <f>IF((PA[[#This Row],[String Type(If String BD)]]&amp;PA[[#This Row],[Equipment (If any BD other than PV  array and inv)]])="",1,0)</f>
        <v>1</v>
      </c>
      <c r="S87" s="32">
        <f>IF(PA[[#This Row],[String Type(If String BD)]]="",1,0)</f>
        <v>1</v>
      </c>
      <c r="T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7" s="35" t="str">
        <f>IFERROR(_xlfn.XLOOKUP(PA[[#This Row],[Affected Equipment ]],'Basic Data'!N:N,'Basic Data'!Q:Q),"")</f>
        <v/>
      </c>
      <c r="V87" s="39" t="str">
        <f>IFERROR(_xlfn.XLOOKUP(PA[[#This Row],[Affected Equipment ]],'Basic Data'!N:N,'Basic Data'!R:R),"")</f>
        <v/>
      </c>
      <c r="W87" s="36" t="s">
        <v>240</v>
      </c>
      <c r="X87" s="40"/>
      <c r="Y87" s="283" t="s">
        <v>275</v>
      </c>
      <c r="Z87" s="46">
        <v>0.4777777777777778</v>
      </c>
      <c r="AA87" s="46">
        <v>0.4777777777777778</v>
      </c>
      <c r="AB87" s="46">
        <v>0.4777777777777778</v>
      </c>
      <c r="AC87" s="46">
        <v>0.48333333333333334</v>
      </c>
      <c r="AD87" s="44">
        <f>IF(PA[[#This Row],[Acknowledgement Time ]]="NA","",(PA[[#This Row],[Acknowledgement Time ]]-PA[[#This Row],[Fault Time]])*24)</f>
        <v>0</v>
      </c>
      <c r="AE87" s="44">
        <f>IF(PA[[#This Row],[Work Start time on Fault]]="NA","",(PA[[#This Row],[Work Start time on Fault]]-PA[[#This Row],[Fault Time]])*24)</f>
        <v>0</v>
      </c>
      <c r="AF87" s="45">
        <f>IF(PA[[#This Row],[Status]]="Open","",(PA[[#This Row],[Work Completion time on fault]]-PA[[#This Row],[Fault Time]])*24)</f>
        <v>0.13333333333333286</v>
      </c>
      <c r="AG87" s="44">
        <f>IFERROR((PA[[#This Row],[Work Completion time on fault]]-PA[[#This Row],[Fault Time]])*24,"")</f>
        <v>0.13333333333333286</v>
      </c>
      <c r="AH87" s="36" t="s">
        <v>272</v>
      </c>
      <c r="AI87" s="33" t="s">
        <v>235</v>
      </c>
      <c r="AJ87" s="35" t="str">
        <f>IFERROR(PA[[#This Row],[Breakdown Time]]*PA[[#This Row],[Plant Equivalent Weightage]],"")</f>
        <v/>
      </c>
      <c r="AK87" s="36">
        <v>0.12085816666666667</v>
      </c>
      <c r="AL87" s="51" t="str">
        <f>IFERROR((_xlfn.XLOOKUP($G87,'Modelling New'!D:D,'Modelling New'!$O:$O)*PA[[#This Row],[Lost PoA(kWh/m2)]]*PA[[#This Row],[DC Capacity Affected (kW)]]),"")</f>
        <v/>
      </c>
      <c r="AM87" s="33"/>
      <c r="AN87" s="33"/>
      <c r="AO87" s="33"/>
      <c r="AP87" s="33"/>
    </row>
    <row r="88" spans="1:42">
      <c r="A88" s="30">
        <v>87</v>
      </c>
      <c r="B88" s="31"/>
      <c r="C88" s="32">
        <f>YEAR(PA[[#This Row],[Date]])+IF(MONTH(PA[[#This Row],[Date]])&gt;=4,1,0)</f>
        <v>1900</v>
      </c>
      <c r="D88" s="32">
        <f>YEAR(PA[[#This Row],[Date]])</f>
        <v>1900</v>
      </c>
      <c r="E88" s="33" t="s">
        <v>157</v>
      </c>
      <c r="F88" s="33" t="s">
        <v>157</v>
      </c>
      <c r="G88" s="194">
        <f>PA[[#This Row],[Date]]-DAY(PA[[#This Row],[Date]])+1</f>
        <v>1</v>
      </c>
      <c r="H88" s="32">
        <f>DAY(EOMONTH(PA[[#This Row],[Month Year]],0))</f>
        <v>31</v>
      </c>
      <c r="I88" s="121"/>
      <c r="J88" s="121"/>
      <c r="K88" s="35">
        <f>IFERROR((PA[[#This Row],[Sunset Time (POA&lt;20 W/m2)]]-PA[[#This Row],[Sunrise Time (POA&gt;20 W/m2)]])*24,"")</f>
        <v>0</v>
      </c>
      <c r="L88" s="33"/>
      <c r="M88" s="33"/>
      <c r="N88" s="33"/>
      <c r="O88" s="36"/>
      <c r="P88" s="36"/>
      <c r="Q88" s="33"/>
      <c r="R88" s="32">
        <f>IF((PA[[#This Row],[String Type(If String BD)]]&amp;PA[[#This Row],[Equipment (If any BD other than PV  array and inv)]])="",1,0)</f>
        <v>1</v>
      </c>
      <c r="S88" s="32">
        <f>IF(PA[[#This Row],[String Type(If String BD)]]="",1,0)</f>
        <v>1</v>
      </c>
      <c r="T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8" s="35" t="str">
        <f>IFERROR(_xlfn.XLOOKUP(PA[[#This Row],[Affected Equipment ]],'Basic Data'!N:N,'Basic Data'!Q:Q),"")</f>
        <v/>
      </c>
      <c r="V88" s="39" t="str">
        <f>IFERROR(_xlfn.XLOOKUP(PA[[#This Row],[Affected Equipment ]],'Basic Data'!N:N,'Basic Data'!R:R),"")</f>
        <v/>
      </c>
      <c r="W88" s="36" t="s">
        <v>240</v>
      </c>
      <c r="X88" s="40"/>
      <c r="Y88" s="283" t="s">
        <v>276</v>
      </c>
      <c r="Z88" s="46">
        <v>0.4777777777777778</v>
      </c>
      <c r="AA88" s="46">
        <v>0.4777777777777778</v>
      </c>
      <c r="AB88" s="46">
        <v>0.4777777777777778</v>
      </c>
      <c r="AC88" s="46">
        <v>0.48333333333333334</v>
      </c>
      <c r="AD88" s="44">
        <f>IF(PA[[#This Row],[Acknowledgement Time ]]="NA","",(PA[[#This Row],[Acknowledgement Time ]]-PA[[#This Row],[Fault Time]])*24)</f>
        <v>0</v>
      </c>
      <c r="AE88" s="44">
        <f>IF(PA[[#This Row],[Work Start time on Fault]]="NA","",(PA[[#This Row],[Work Start time on Fault]]-PA[[#This Row],[Fault Time]])*24)</f>
        <v>0</v>
      </c>
      <c r="AF88" s="45">
        <f>IF(PA[[#This Row],[Status]]="Open","",(PA[[#This Row],[Work Completion time on fault]]-PA[[#This Row],[Fault Time]])*24)</f>
        <v>0.13333333333333286</v>
      </c>
      <c r="AG88" s="44">
        <f>IFERROR((PA[[#This Row],[Work Completion time on fault]]-PA[[#This Row],[Fault Time]])*24,"")</f>
        <v>0.13333333333333286</v>
      </c>
      <c r="AH88" s="36" t="s">
        <v>272</v>
      </c>
      <c r="AI88" s="33" t="s">
        <v>235</v>
      </c>
      <c r="AJ88" s="35" t="str">
        <f>IFERROR(PA[[#This Row],[Breakdown Time]]*PA[[#This Row],[Plant Equivalent Weightage]],"")</f>
        <v/>
      </c>
      <c r="AK88" s="36">
        <v>0.12085816666666667</v>
      </c>
      <c r="AL88" s="51" t="str">
        <f>IFERROR((_xlfn.XLOOKUP($G88,'Modelling New'!D:D,'Modelling New'!$O:$O)*PA[[#This Row],[Lost PoA(kWh/m2)]]*PA[[#This Row],[DC Capacity Affected (kW)]]),"")</f>
        <v/>
      </c>
      <c r="AM88" s="33"/>
      <c r="AN88" s="33"/>
      <c r="AO88" s="33"/>
      <c r="AP88" s="33"/>
    </row>
    <row r="89" spans="1:42">
      <c r="A89" s="30">
        <v>88</v>
      </c>
      <c r="B89" s="31"/>
      <c r="C89" s="32">
        <f>YEAR(PA[[#This Row],[Date]])+IF(MONTH(PA[[#This Row],[Date]])&gt;=4,1,0)</f>
        <v>1900</v>
      </c>
      <c r="D89" s="32">
        <f>YEAR(PA[[#This Row],[Date]])</f>
        <v>1900</v>
      </c>
      <c r="E89" s="33" t="s">
        <v>157</v>
      </c>
      <c r="F89" s="33" t="s">
        <v>157</v>
      </c>
      <c r="G89" s="194">
        <f>PA[[#This Row],[Date]]-DAY(PA[[#This Row],[Date]])+1</f>
        <v>1</v>
      </c>
      <c r="H89" s="32">
        <f>DAY(EOMONTH(PA[[#This Row],[Month Year]],0))</f>
        <v>31</v>
      </c>
      <c r="I89" s="121"/>
      <c r="J89" s="121"/>
      <c r="K89" s="35">
        <f>IFERROR((PA[[#This Row],[Sunset Time (POA&lt;20 W/m2)]]-PA[[#This Row],[Sunrise Time (POA&gt;20 W/m2)]])*24,"")</f>
        <v>0</v>
      </c>
      <c r="L89" s="33"/>
      <c r="M89" s="33"/>
      <c r="N89" s="33"/>
      <c r="O89" s="36"/>
      <c r="P89" s="36"/>
      <c r="Q89" s="33"/>
      <c r="R89" s="32">
        <f>IF((PA[[#This Row],[String Type(If String BD)]]&amp;PA[[#This Row],[Equipment (If any BD other than PV  array and inv)]])="",1,0)</f>
        <v>1</v>
      </c>
      <c r="S89" s="32">
        <f>IF(PA[[#This Row],[String Type(If String BD)]]="",1,0)</f>
        <v>1</v>
      </c>
      <c r="T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89" s="35" t="str">
        <f>IFERROR(_xlfn.XLOOKUP(PA[[#This Row],[Affected Equipment ]],'Basic Data'!N:N,'Basic Data'!Q:Q),"")</f>
        <v/>
      </c>
      <c r="V89" s="39" t="str">
        <f>IFERROR(_xlfn.XLOOKUP(PA[[#This Row],[Affected Equipment ]],'Basic Data'!N:N,'Basic Data'!R:R),"")</f>
        <v/>
      </c>
      <c r="W89" s="36" t="s">
        <v>240</v>
      </c>
      <c r="X89" s="40"/>
      <c r="Y89" s="283" t="s">
        <v>271</v>
      </c>
      <c r="Z89" s="46">
        <v>0.50138888888888888</v>
      </c>
      <c r="AA89" s="46">
        <v>0.50138888888888888</v>
      </c>
      <c r="AB89" s="46">
        <v>0.50138888888888888</v>
      </c>
      <c r="AC89" s="46">
        <v>0.50555555555555554</v>
      </c>
      <c r="AD89" s="44">
        <f>IF(PA[[#This Row],[Acknowledgement Time ]]="NA","",(PA[[#This Row],[Acknowledgement Time ]]-PA[[#This Row],[Fault Time]])*24)</f>
        <v>0</v>
      </c>
      <c r="AE89" s="44">
        <f>IF(PA[[#This Row],[Work Start time on Fault]]="NA","",(PA[[#This Row],[Work Start time on Fault]]-PA[[#This Row],[Fault Time]])*24)</f>
        <v>0</v>
      </c>
      <c r="AF89" s="45">
        <f>IF(PA[[#This Row],[Status]]="Open","",(PA[[#This Row],[Work Completion time on fault]]-PA[[#This Row],[Fault Time]])*24)</f>
        <v>9.9999999999999645E-2</v>
      </c>
      <c r="AG89" s="44">
        <f>IFERROR((PA[[#This Row],[Work Completion time on fault]]-PA[[#This Row],[Fault Time]])*24,"")</f>
        <v>9.9999999999999645E-2</v>
      </c>
      <c r="AH89" s="36" t="s">
        <v>272</v>
      </c>
      <c r="AI89" s="33" t="s">
        <v>235</v>
      </c>
      <c r="AJ89" s="35" t="str">
        <f>IFERROR(PA[[#This Row],[Breakdown Time]]*PA[[#This Row],[Plant Equivalent Weightage]],"")</f>
        <v/>
      </c>
      <c r="AK89" s="36">
        <v>0.10349033333333334</v>
      </c>
      <c r="AL89" s="51" t="str">
        <f>IFERROR((_xlfn.XLOOKUP($G89,'Modelling New'!D:D,'Modelling New'!$O:$O)*PA[[#This Row],[Lost PoA(kWh/m2)]]*PA[[#This Row],[DC Capacity Affected (kW)]]),"")</f>
        <v/>
      </c>
      <c r="AM89" s="33"/>
      <c r="AN89" s="33"/>
      <c r="AO89" s="33"/>
      <c r="AP89" s="33"/>
    </row>
    <row r="90" spans="1:42">
      <c r="A90" s="30">
        <v>89</v>
      </c>
      <c r="B90" s="31"/>
      <c r="C90" s="32">
        <f>YEAR(PA[[#This Row],[Date]])+IF(MONTH(PA[[#This Row],[Date]])&gt;=4,1,0)</f>
        <v>1900</v>
      </c>
      <c r="D90" s="32">
        <f>YEAR(PA[[#This Row],[Date]])</f>
        <v>1900</v>
      </c>
      <c r="E90" s="33" t="s">
        <v>157</v>
      </c>
      <c r="F90" s="33" t="s">
        <v>157</v>
      </c>
      <c r="G90" s="194">
        <f>PA[[#This Row],[Date]]-DAY(PA[[#This Row],[Date]])+1</f>
        <v>1</v>
      </c>
      <c r="H90" s="32">
        <f>DAY(EOMONTH(PA[[#This Row],[Month Year]],0))</f>
        <v>31</v>
      </c>
      <c r="I90" s="121"/>
      <c r="J90" s="121"/>
      <c r="K90" s="35">
        <f>IFERROR((PA[[#This Row],[Sunset Time (POA&lt;20 W/m2)]]-PA[[#This Row],[Sunrise Time (POA&gt;20 W/m2)]])*24,"")</f>
        <v>0</v>
      </c>
      <c r="L90" s="33"/>
      <c r="M90" s="33"/>
      <c r="N90" s="33"/>
      <c r="O90" s="36"/>
      <c r="P90" s="36"/>
      <c r="Q90" s="33"/>
      <c r="R90" s="32">
        <f>IF((PA[[#This Row],[String Type(If String BD)]]&amp;PA[[#This Row],[Equipment (If any BD other than PV  array and inv)]])="",1,0)</f>
        <v>1</v>
      </c>
      <c r="S90" s="32">
        <f>IF(PA[[#This Row],[String Type(If String BD)]]="",1,0)</f>
        <v>1</v>
      </c>
      <c r="T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0" s="35" t="str">
        <f>IFERROR(_xlfn.XLOOKUP(PA[[#This Row],[Affected Equipment ]],'Basic Data'!N:N,'Basic Data'!Q:Q),"")</f>
        <v/>
      </c>
      <c r="V90" s="39" t="str">
        <f>IFERROR(_xlfn.XLOOKUP(PA[[#This Row],[Affected Equipment ]],'Basic Data'!N:N,'Basic Data'!R:R),"")</f>
        <v/>
      </c>
      <c r="W90" s="36" t="s">
        <v>240</v>
      </c>
      <c r="X90" s="40"/>
      <c r="Y90" s="40" t="s">
        <v>277</v>
      </c>
      <c r="Z90" s="46">
        <v>0.3298611111111111</v>
      </c>
      <c r="AA90" s="46">
        <v>0.3298611111111111</v>
      </c>
      <c r="AB90" s="46">
        <v>0.3298611111111111</v>
      </c>
      <c r="AC90" s="46">
        <v>0.34097222222222223</v>
      </c>
      <c r="AD90" s="44">
        <f>IF(PA[[#This Row],[Acknowledgement Time ]]="NA","",(PA[[#This Row],[Acknowledgement Time ]]-PA[[#This Row],[Fault Time]])*24)</f>
        <v>0</v>
      </c>
      <c r="AE90" s="44">
        <f>IF(PA[[#This Row],[Work Start time on Fault]]="NA","",(PA[[#This Row],[Work Start time on Fault]]-PA[[#This Row],[Fault Time]])*24)</f>
        <v>0</v>
      </c>
      <c r="AF90" s="45">
        <f>IF(PA[[#This Row],[Status]]="Open","",(PA[[#This Row],[Work Completion time on fault]]-PA[[#This Row],[Fault Time]])*24)</f>
        <v>0.26666666666666705</v>
      </c>
      <c r="AG90" s="44">
        <f>IFERROR((PA[[#This Row],[Work Completion time on fault]]-PA[[#This Row],[Fault Time]])*24,"")</f>
        <v>0.26666666666666705</v>
      </c>
      <c r="AH90" s="284" t="s">
        <v>248</v>
      </c>
      <c r="AI90" s="33" t="s">
        <v>235</v>
      </c>
      <c r="AJ90" s="35" t="str">
        <f>IFERROR(PA[[#This Row],[Breakdown Time]]*PA[[#This Row],[Plant Equivalent Weightage]],"")</f>
        <v/>
      </c>
      <c r="AK90" s="36">
        <v>9.3576000000000006E-2</v>
      </c>
      <c r="AL90" s="51" t="str">
        <f>IFERROR((_xlfn.XLOOKUP($G90,'Modelling New'!D:D,'Modelling New'!$O:$O)*PA[[#This Row],[Lost PoA(kWh/m2)]]*PA[[#This Row],[DC Capacity Affected (kW)]]),"")</f>
        <v/>
      </c>
      <c r="AM90" s="33"/>
      <c r="AN90" s="33"/>
      <c r="AO90" s="33"/>
      <c r="AP90" s="33"/>
    </row>
    <row r="91" spans="1:42">
      <c r="A91" s="30">
        <v>90</v>
      </c>
      <c r="B91" s="31"/>
      <c r="C91" s="32">
        <f>YEAR(PA[[#This Row],[Date]])+IF(MONTH(PA[[#This Row],[Date]])&gt;=4,1,0)</f>
        <v>1900</v>
      </c>
      <c r="D91" s="32">
        <f>YEAR(PA[[#This Row],[Date]])</f>
        <v>1900</v>
      </c>
      <c r="E91" s="33" t="s">
        <v>157</v>
      </c>
      <c r="F91" s="33" t="s">
        <v>157</v>
      </c>
      <c r="G91" s="194">
        <f>PA[[#This Row],[Date]]-DAY(PA[[#This Row],[Date]])+1</f>
        <v>1</v>
      </c>
      <c r="H91" s="32">
        <f>DAY(EOMONTH(PA[[#This Row],[Month Year]],0))</f>
        <v>31</v>
      </c>
      <c r="I91" s="121"/>
      <c r="J91" s="121"/>
      <c r="K91" s="35">
        <f>IFERROR((PA[[#This Row],[Sunset Time (POA&lt;20 W/m2)]]-PA[[#This Row],[Sunrise Time (POA&gt;20 W/m2)]])*24,"")</f>
        <v>0</v>
      </c>
      <c r="L91" s="33"/>
      <c r="M91" s="33"/>
      <c r="N91" s="33"/>
      <c r="O91" s="36"/>
      <c r="P91" s="36"/>
      <c r="Q91" s="33"/>
      <c r="R91" s="32">
        <f>IF((PA[[#This Row],[String Type(If String BD)]]&amp;PA[[#This Row],[Equipment (If any BD other than PV  array and inv)]])="",1,0)</f>
        <v>1</v>
      </c>
      <c r="S91" s="32">
        <f>IF(PA[[#This Row],[String Type(If String BD)]]="",1,0)</f>
        <v>1</v>
      </c>
      <c r="T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1" s="35" t="str">
        <f>IFERROR(_xlfn.XLOOKUP(PA[[#This Row],[Affected Equipment ]],'Basic Data'!N:N,'Basic Data'!Q:Q),"")</f>
        <v/>
      </c>
      <c r="V91" s="39" t="str">
        <f>IFERROR(_xlfn.XLOOKUP(PA[[#This Row],[Affected Equipment ]],'Basic Data'!N:N,'Basic Data'!R:R),"")</f>
        <v/>
      </c>
      <c r="W91" s="36" t="s">
        <v>240</v>
      </c>
      <c r="X91" s="40"/>
      <c r="Y91" s="40" t="s">
        <v>278</v>
      </c>
      <c r="Z91" s="46">
        <v>0.34791666666666665</v>
      </c>
      <c r="AA91" s="46">
        <v>0.34791666666666665</v>
      </c>
      <c r="AB91" s="46">
        <v>0.34791666666666665</v>
      </c>
      <c r="AC91" s="46">
        <v>0.35208333333333336</v>
      </c>
      <c r="AD91" s="44">
        <f>IF(PA[[#This Row],[Acknowledgement Time ]]="NA","",(PA[[#This Row],[Acknowledgement Time ]]-PA[[#This Row],[Fault Time]])*24)</f>
        <v>0</v>
      </c>
      <c r="AE91" s="44">
        <f>IF(PA[[#This Row],[Work Start time on Fault]]="NA","",(PA[[#This Row],[Work Start time on Fault]]-PA[[#This Row],[Fault Time]])*24)</f>
        <v>0</v>
      </c>
      <c r="AF91" s="45">
        <f>IF(PA[[#This Row],[Status]]="Open","",(PA[[#This Row],[Work Completion time on fault]]-PA[[#This Row],[Fault Time]])*24)</f>
        <v>0.10000000000000098</v>
      </c>
      <c r="AG91" s="44">
        <f>IFERROR((PA[[#This Row],[Work Completion time on fault]]-PA[[#This Row],[Fault Time]])*24,"")</f>
        <v>0.10000000000000098</v>
      </c>
      <c r="AH91" s="284" t="s">
        <v>248</v>
      </c>
      <c r="AI91" s="33" t="s">
        <v>235</v>
      </c>
      <c r="AJ91" s="35" t="str">
        <f>IFERROR(PA[[#This Row],[Breakdown Time]]*PA[[#This Row],[Plant Equivalent Weightage]],"")</f>
        <v/>
      </c>
      <c r="AK91" s="36">
        <v>2.7881666666666669E-2</v>
      </c>
      <c r="AL91" s="51" t="str">
        <f>IFERROR((_xlfn.XLOOKUP($G91,'Modelling New'!D:D,'Modelling New'!$O:$O)*PA[[#This Row],[Lost PoA(kWh/m2)]]*PA[[#This Row],[DC Capacity Affected (kW)]]),"")</f>
        <v/>
      </c>
      <c r="AM91" s="33"/>
      <c r="AN91" s="33"/>
      <c r="AO91" s="33"/>
      <c r="AP91" s="33"/>
    </row>
    <row r="92" spans="1:42">
      <c r="A92" s="30">
        <v>91</v>
      </c>
      <c r="B92" s="31"/>
      <c r="C92" s="32">
        <f>YEAR(PA[[#This Row],[Date]])+IF(MONTH(PA[[#This Row],[Date]])&gt;=4,1,0)</f>
        <v>1900</v>
      </c>
      <c r="D92" s="32">
        <f>YEAR(PA[[#This Row],[Date]])</f>
        <v>1900</v>
      </c>
      <c r="E92" s="33" t="s">
        <v>157</v>
      </c>
      <c r="F92" s="33" t="s">
        <v>157</v>
      </c>
      <c r="G92" s="194">
        <f>PA[[#This Row],[Date]]-DAY(PA[[#This Row],[Date]])+1</f>
        <v>1</v>
      </c>
      <c r="H92" s="32">
        <f>DAY(EOMONTH(PA[[#This Row],[Month Year]],0))</f>
        <v>31</v>
      </c>
      <c r="I92" s="121"/>
      <c r="J92" s="121"/>
      <c r="K92" s="35">
        <f>IFERROR((PA[[#This Row],[Sunset Time (POA&lt;20 W/m2)]]-PA[[#This Row],[Sunrise Time (POA&gt;20 W/m2)]])*24,"")</f>
        <v>0</v>
      </c>
      <c r="L92" s="33"/>
      <c r="M92" s="33"/>
      <c r="N92" s="33"/>
      <c r="O92" s="36"/>
      <c r="P92" s="36"/>
      <c r="Q92" s="33"/>
      <c r="R92" s="32">
        <f>IF((PA[[#This Row],[String Type(If String BD)]]&amp;PA[[#This Row],[Equipment (If any BD other than PV  array and inv)]])="",1,0)</f>
        <v>1</v>
      </c>
      <c r="S92" s="32">
        <f>IF(PA[[#This Row],[String Type(If String BD)]]="",1,0)</f>
        <v>1</v>
      </c>
      <c r="T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2" s="35" t="str">
        <f>IFERROR(_xlfn.XLOOKUP(PA[[#This Row],[Affected Equipment ]],'Basic Data'!N:N,'Basic Data'!Q:Q),"")</f>
        <v/>
      </c>
      <c r="V92" s="39" t="str">
        <f>IFERROR(_xlfn.XLOOKUP(PA[[#This Row],[Affected Equipment ]],'Basic Data'!N:N,'Basic Data'!R:R),"")</f>
        <v/>
      </c>
      <c r="W92" s="36" t="s">
        <v>240</v>
      </c>
      <c r="X92" s="40"/>
      <c r="Y92" s="40" t="s">
        <v>278</v>
      </c>
      <c r="Z92" s="46">
        <v>0.51875000000000004</v>
      </c>
      <c r="AA92" s="46">
        <v>0.51875000000000004</v>
      </c>
      <c r="AB92" s="46">
        <v>0.51875000000000004</v>
      </c>
      <c r="AC92" s="46">
        <v>0.52430555555555558</v>
      </c>
      <c r="AD92" s="44">
        <f>IF(PA[[#This Row],[Acknowledgement Time ]]="NA","",(PA[[#This Row],[Acknowledgement Time ]]-PA[[#This Row],[Fault Time]])*24)</f>
        <v>0</v>
      </c>
      <c r="AE92" s="44">
        <f>IF(PA[[#This Row],[Work Start time on Fault]]="NA","",(PA[[#This Row],[Work Start time on Fault]]-PA[[#This Row],[Fault Time]])*24)</f>
        <v>0</v>
      </c>
      <c r="AF92" s="45">
        <f>IF(PA[[#This Row],[Status]]="Open","",(PA[[#This Row],[Work Completion time on fault]]-PA[[#This Row],[Fault Time]])*24)</f>
        <v>0.13333333333333286</v>
      </c>
      <c r="AG92" s="44">
        <f>IFERROR((PA[[#This Row],[Work Completion time on fault]]-PA[[#This Row],[Fault Time]])*24,"")</f>
        <v>0.13333333333333286</v>
      </c>
      <c r="AH92" s="284" t="s">
        <v>248</v>
      </c>
      <c r="AI92" s="33" t="s">
        <v>235</v>
      </c>
      <c r="AJ92" s="35" t="str">
        <f>IFERROR(PA[[#This Row],[Breakdown Time]]*PA[[#This Row],[Plant Equivalent Weightage]],"")</f>
        <v/>
      </c>
      <c r="AK92" s="36">
        <v>0.10992632000000001</v>
      </c>
      <c r="AL92" s="51" t="str">
        <f>IFERROR((_xlfn.XLOOKUP($G92,'Modelling New'!D:D,'Modelling New'!$O:$O)*PA[[#This Row],[Lost PoA(kWh/m2)]]*PA[[#This Row],[DC Capacity Affected (kW)]]),"")</f>
        <v/>
      </c>
      <c r="AM92" s="33"/>
      <c r="AN92" s="33"/>
      <c r="AO92" s="33"/>
      <c r="AP92" s="33"/>
    </row>
    <row r="93" spans="1:42">
      <c r="A93" s="30">
        <v>92</v>
      </c>
      <c r="B93" s="31"/>
      <c r="C93" s="32">
        <f>YEAR(PA[[#This Row],[Date]])+IF(MONTH(PA[[#This Row],[Date]])&gt;=4,1,0)</f>
        <v>1900</v>
      </c>
      <c r="D93" s="32">
        <f>YEAR(PA[[#This Row],[Date]])</f>
        <v>1900</v>
      </c>
      <c r="E93" s="33" t="s">
        <v>157</v>
      </c>
      <c r="F93" s="33" t="s">
        <v>157</v>
      </c>
      <c r="G93" s="194">
        <f>PA[[#This Row],[Date]]-DAY(PA[[#This Row],[Date]])+1</f>
        <v>1</v>
      </c>
      <c r="H93" s="32">
        <f>DAY(EOMONTH(PA[[#This Row],[Month Year]],0))</f>
        <v>31</v>
      </c>
      <c r="I93" s="121"/>
      <c r="J93" s="121"/>
      <c r="K93" s="35">
        <f>IFERROR((PA[[#This Row],[Sunset Time (POA&lt;20 W/m2)]]-PA[[#This Row],[Sunrise Time (POA&gt;20 W/m2)]])*24,"")</f>
        <v>0</v>
      </c>
      <c r="L93" s="33"/>
      <c r="M93" s="33"/>
      <c r="N93" s="33"/>
      <c r="O93" s="36"/>
      <c r="P93" s="36"/>
      <c r="Q93" s="33"/>
      <c r="R93" s="32">
        <f>IF((PA[[#This Row],[String Type(If String BD)]]&amp;PA[[#This Row],[Equipment (If any BD other than PV  array and inv)]])="",1,0)</f>
        <v>1</v>
      </c>
      <c r="S93" s="32">
        <f>IF(PA[[#This Row],[String Type(If String BD)]]="",1,0)</f>
        <v>1</v>
      </c>
      <c r="T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3" s="35" t="str">
        <f>IFERROR(_xlfn.XLOOKUP(PA[[#This Row],[Affected Equipment ]],'Basic Data'!N:N,'Basic Data'!Q:Q),"")</f>
        <v/>
      </c>
      <c r="V93" s="39" t="str">
        <f>IFERROR(_xlfn.XLOOKUP(PA[[#This Row],[Affected Equipment ]],'Basic Data'!N:N,'Basic Data'!R:R),"")</f>
        <v/>
      </c>
      <c r="W93" s="36" t="s">
        <v>240</v>
      </c>
      <c r="X93" s="40"/>
      <c r="Y93" s="40" t="s">
        <v>278</v>
      </c>
      <c r="Z93" s="46">
        <v>0.54166666666666663</v>
      </c>
      <c r="AA93" s="46">
        <v>0.54166666666666663</v>
      </c>
      <c r="AB93" s="46">
        <v>0.54166666666666663</v>
      </c>
      <c r="AC93" s="46">
        <v>0.55486111111111114</v>
      </c>
      <c r="AD93" s="44">
        <f>IF(PA[[#This Row],[Acknowledgement Time ]]="NA","",(PA[[#This Row],[Acknowledgement Time ]]-PA[[#This Row],[Fault Time]])*24)</f>
        <v>0</v>
      </c>
      <c r="AE93" s="44">
        <f>IF(PA[[#This Row],[Work Start time on Fault]]="NA","",(PA[[#This Row],[Work Start time on Fault]]-PA[[#This Row],[Fault Time]])*24)</f>
        <v>0</v>
      </c>
      <c r="AF93" s="45">
        <f>IF(PA[[#This Row],[Status]]="Open","",(PA[[#This Row],[Work Completion time on fault]]-PA[[#This Row],[Fault Time]])*24)</f>
        <v>0.31666666666666821</v>
      </c>
      <c r="AG93" s="44">
        <f>IFERROR((PA[[#This Row],[Work Completion time on fault]]-PA[[#This Row],[Fault Time]])*24,"")</f>
        <v>0.31666666666666821</v>
      </c>
      <c r="AH93" s="284" t="s">
        <v>248</v>
      </c>
      <c r="AI93" s="33" t="s">
        <v>235</v>
      </c>
      <c r="AJ93" s="35" t="str">
        <f>IFERROR(PA[[#This Row],[Breakdown Time]]*PA[[#This Row],[Plant Equivalent Weightage]],"")</f>
        <v/>
      </c>
      <c r="AK93" s="36">
        <v>0.22343923833333335</v>
      </c>
      <c r="AL93" s="51" t="str">
        <f>IFERROR((_xlfn.XLOOKUP($G93,'Modelling New'!D:D,'Modelling New'!$O:$O)*PA[[#This Row],[Lost PoA(kWh/m2)]]*PA[[#This Row],[DC Capacity Affected (kW)]]),"")</f>
        <v/>
      </c>
      <c r="AM93" s="33"/>
      <c r="AN93" s="33"/>
      <c r="AO93" s="33"/>
      <c r="AP93" s="33"/>
    </row>
    <row r="94" spans="1:42">
      <c r="A94" s="30">
        <v>93</v>
      </c>
      <c r="B94" s="31"/>
      <c r="C94" s="32">
        <f>YEAR(PA[[#This Row],[Date]])+IF(MONTH(PA[[#This Row],[Date]])&gt;=4,1,0)</f>
        <v>1900</v>
      </c>
      <c r="D94" s="32">
        <f>YEAR(PA[[#This Row],[Date]])</f>
        <v>1900</v>
      </c>
      <c r="E94" s="33" t="s">
        <v>157</v>
      </c>
      <c r="F94" s="33" t="s">
        <v>157</v>
      </c>
      <c r="G94" s="194">
        <f>PA[[#This Row],[Date]]-DAY(PA[[#This Row],[Date]])+1</f>
        <v>1</v>
      </c>
      <c r="H94" s="32">
        <f>DAY(EOMONTH(PA[[#This Row],[Month Year]],0))</f>
        <v>31</v>
      </c>
      <c r="I94" s="121"/>
      <c r="J94" s="121"/>
      <c r="K94" s="35">
        <f>IFERROR((PA[[#This Row],[Sunset Time (POA&lt;20 W/m2)]]-PA[[#This Row],[Sunrise Time (POA&gt;20 W/m2)]])*24,"")</f>
        <v>0</v>
      </c>
      <c r="L94" s="33"/>
      <c r="M94" s="33"/>
      <c r="N94" s="33"/>
      <c r="O94" s="36"/>
      <c r="P94" s="36"/>
      <c r="Q94" s="33"/>
      <c r="R94" s="32">
        <f>IF((PA[[#This Row],[String Type(If String BD)]]&amp;PA[[#This Row],[Equipment (If any BD other than PV  array and inv)]])="",1,0)</f>
        <v>1</v>
      </c>
      <c r="S94" s="32">
        <f>IF(PA[[#This Row],[String Type(If String BD)]]="",1,0)</f>
        <v>1</v>
      </c>
      <c r="T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4" s="35" t="str">
        <f>IFERROR(_xlfn.XLOOKUP(PA[[#This Row],[Affected Equipment ]],'Basic Data'!N:N,'Basic Data'!Q:Q),"")</f>
        <v/>
      </c>
      <c r="V94" s="39" t="str">
        <f>IFERROR(_xlfn.XLOOKUP(PA[[#This Row],[Affected Equipment ]],'Basic Data'!N:N,'Basic Data'!R:R),"")</f>
        <v/>
      </c>
      <c r="W94" s="36" t="s">
        <v>240</v>
      </c>
      <c r="X94" s="40"/>
      <c r="Y94" s="40" t="s">
        <v>279</v>
      </c>
      <c r="Z94" s="46">
        <v>0.33263888888888887</v>
      </c>
      <c r="AA94" s="46">
        <v>0.33263888888888887</v>
      </c>
      <c r="AB94" s="46">
        <v>0.33263888888888887</v>
      </c>
      <c r="AC94" s="46">
        <v>0.33750000000000002</v>
      </c>
      <c r="AD94" s="44">
        <f>IF(PA[[#This Row],[Acknowledgement Time ]]="NA","",(PA[[#This Row],[Acknowledgement Time ]]-PA[[#This Row],[Fault Time]])*24)</f>
        <v>0</v>
      </c>
      <c r="AE94" s="44">
        <f>IF(PA[[#This Row],[Work Start time on Fault]]="NA","",(PA[[#This Row],[Work Start time on Fault]]-PA[[#This Row],[Fault Time]])*24)</f>
        <v>0</v>
      </c>
      <c r="AF94" s="45">
        <f>IF(PA[[#This Row],[Status]]="Open","",(PA[[#This Row],[Work Completion time on fault]]-PA[[#This Row],[Fault Time]])*24)</f>
        <v>0.11666666666666758</v>
      </c>
      <c r="AG94" s="44">
        <f>IFERROR((PA[[#This Row],[Work Completion time on fault]]-PA[[#This Row],[Fault Time]])*24,"")</f>
        <v>0.11666666666666758</v>
      </c>
      <c r="AH94" s="284" t="s">
        <v>248</v>
      </c>
      <c r="AI94" s="33" t="s">
        <v>235</v>
      </c>
      <c r="AJ94" s="35" t="str">
        <f>IFERROR(PA[[#This Row],[Breakdown Time]]*PA[[#This Row],[Plant Equivalent Weightage]],"")</f>
        <v/>
      </c>
      <c r="AK94" s="36">
        <v>4.0204576666666672E-2</v>
      </c>
      <c r="AL94" s="51" t="str">
        <f>IFERROR((_xlfn.XLOOKUP($G94,'Modelling New'!D:D,'Modelling New'!$O:$O)*PA[[#This Row],[Lost PoA(kWh/m2)]]*PA[[#This Row],[DC Capacity Affected (kW)]]),"")</f>
        <v/>
      </c>
      <c r="AM94" s="33"/>
      <c r="AN94" s="33"/>
      <c r="AO94" s="33"/>
      <c r="AP94" s="33"/>
    </row>
    <row r="95" spans="1:42">
      <c r="A95" s="30">
        <v>94</v>
      </c>
      <c r="B95" s="31"/>
      <c r="C95" s="32">
        <f>YEAR(PA[[#This Row],[Date]])+IF(MONTH(PA[[#This Row],[Date]])&gt;=4,1,0)</f>
        <v>1900</v>
      </c>
      <c r="D95" s="32">
        <f>YEAR(PA[[#This Row],[Date]])</f>
        <v>1900</v>
      </c>
      <c r="E95" s="33" t="s">
        <v>157</v>
      </c>
      <c r="F95" s="33" t="s">
        <v>157</v>
      </c>
      <c r="G95" s="194">
        <f>PA[[#This Row],[Date]]-DAY(PA[[#This Row],[Date]])+1</f>
        <v>1</v>
      </c>
      <c r="H95" s="32">
        <f>DAY(EOMONTH(PA[[#This Row],[Month Year]],0))</f>
        <v>31</v>
      </c>
      <c r="I95" s="121"/>
      <c r="J95" s="121"/>
      <c r="K95" s="35">
        <f>IFERROR((PA[[#This Row],[Sunset Time (POA&lt;20 W/m2)]]-PA[[#This Row],[Sunrise Time (POA&gt;20 W/m2)]])*24,"")</f>
        <v>0</v>
      </c>
      <c r="L95" s="33"/>
      <c r="M95" s="33"/>
      <c r="N95" s="33"/>
      <c r="O95" s="36"/>
      <c r="P95" s="36"/>
      <c r="Q95" s="33"/>
      <c r="R95" s="32">
        <f>IF((PA[[#This Row],[String Type(If String BD)]]&amp;PA[[#This Row],[Equipment (If any BD other than PV  array and inv)]])="",1,0)</f>
        <v>1</v>
      </c>
      <c r="S95" s="32">
        <f>IF(PA[[#This Row],[String Type(If String BD)]]="",1,0)</f>
        <v>1</v>
      </c>
      <c r="T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5" s="35" t="str">
        <f>IFERROR(_xlfn.XLOOKUP(PA[[#This Row],[Affected Equipment ]],'Basic Data'!N:N,'Basic Data'!Q:Q),"")</f>
        <v/>
      </c>
      <c r="V95" s="39" t="str">
        <f>IFERROR(_xlfn.XLOOKUP(PA[[#This Row],[Affected Equipment ]],'Basic Data'!N:N,'Basic Data'!R:R),"")</f>
        <v/>
      </c>
      <c r="W95" s="36" t="s">
        <v>264</v>
      </c>
      <c r="X95" s="40"/>
      <c r="Y95" s="286" t="s">
        <v>265</v>
      </c>
      <c r="Z95" s="46">
        <v>0.25555555555555554</v>
      </c>
      <c r="AA95" s="46">
        <v>0.25555555555555554</v>
      </c>
      <c r="AB95" s="46">
        <v>0.25555555555555554</v>
      </c>
      <c r="AC95" s="46">
        <v>0.67361111111111116</v>
      </c>
      <c r="AD95" s="44">
        <f>IF(PA[[#This Row],[Acknowledgement Time ]]="NA","",(PA[[#This Row],[Acknowledgement Time ]]-PA[[#This Row],[Fault Time]])*24)</f>
        <v>0</v>
      </c>
      <c r="AE95" s="44">
        <f>IF(PA[[#This Row],[Work Start time on Fault]]="NA","",(PA[[#This Row],[Work Start time on Fault]]-PA[[#This Row],[Fault Time]])*24)</f>
        <v>0</v>
      </c>
      <c r="AF95" s="45">
        <f>IF(PA[[#This Row],[Status]]="Open","",(PA[[#This Row],[Work Completion time on fault]]-PA[[#This Row],[Fault Time]])*24)</f>
        <v>10.033333333333335</v>
      </c>
      <c r="AG95" s="44">
        <f>IFERROR((PA[[#This Row],[Work Completion time on fault]]-PA[[#This Row],[Fault Time]])*24,"")</f>
        <v>10.033333333333335</v>
      </c>
      <c r="AH95" s="36" t="s">
        <v>266</v>
      </c>
      <c r="AI95" s="33" t="s">
        <v>235</v>
      </c>
      <c r="AJ95" s="35" t="str">
        <f>IFERROR(PA[[#This Row],[Breakdown Time]]*PA[[#This Row],[Plant Equivalent Weightage]],"")</f>
        <v/>
      </c>
      <c r="AK95" s="36">
        <v>3.6083676666666666</v>
      </c>
      <c r="AL95" s="51" t="str">
        <f>IFERROR((_xlfn.XLOOKUP($G95,'Modelling New'!D:D,'Modelling New'!$O:$O)*PA[[#This Row],[Lost PoA(kWh/m2)]]*PA[[#This Row],[DC Capacity Affected (kW)]]),"")</f>
        <v/>
      </c>
      <c r="AM95" s="33"/>
      <c r="AN95" s="33"/>
      <c r="AO95" s="33"/>
      <c r="AP95" s="33"/>
    </row>
    <row r="96" spans="1:42">
      <c r="A96" s="30">
        <v>95</v>
      </c>
      <c r="B96" s="31"/>
      <c r="C96" s="32">
        <f>YEAR(PA[[#This Row],[Date]])+IF(MONTH(PA[[#This Row],[Date]])&gt;=4,1,0)</f>
        <v>1900</v>
      </c>
      <c r="D96" s="32">
        <f>YEAR(PA[[#This Row],[Date]])</f>
        <v>1900</v>
      </c>
      <c r="E96" s="33" t="s">
        <v>157</v>
      </c>
      <c r="F96" s="33" t="s">
        <v>157</v>
      </c>
      <c r="G96" s="194">
        <f>PA[[#This Row],[Date]]-DAY(PA[[#This Row],[Date]])+1</f>
        <v>1</v>
      </c>
      <c r="H96" s="32">
        <f>DAY(EOMONTH(PA[[#This Row],[Month Year]],0))</f>
        <v>31</v>
      </c>
      <c r="I96" s="121"/>
      <c r="J96" s="121"/>
      <c r="K96" s="35">
        <f>IFERROR((PA[[#This Row],[Sunset Time (POA&lt;20 W/m2)]]-PA[[#This Row],[Sunrise Time (POA&gt;20 W/m2)]])*24,"")</f>
        <v>0</v>
      </c>
      <c r="L96" s="33"/>
      <c r="M96" s="33"/>
      <c r="N96" s="33"/>
      <c r="O96" s="36"/>
      <c r="P96" s="36"/>
      <c r="Q96" s="33"/>
      <c r="R96" s="32">
        <f>IF((PA[[#This Row],[String Type(If String BD)]]&amp;PA[[#This Row],[Equipment (If any BD other than PV  array and inv)]])="",1,0)</f>
        <v>1</v>
      </c>
      <c r="S96" s="32">
        <f>IF(PA[[#This Row],[String Type(If String BD)]]="",1,0)</f>
        <v>1</v>
      </c>
      <c r="T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6" s="35" t="str">
        <f>IFERROR(_xlfn.XLOOKUP(PA[[#This Row],[Affected Equipment ]],'Basic Data'!N:N,'Basic Data'!Q:Q),"")</f>
        <v/>
      </c>
      <c r="V96" s="39" t="str">
        <f>IFERROR(_xlfn.XLOOKUP(PA[[#This Row],[Affected Equipment ]],'Basic Data'!N:N,'Basic Data'!R:R),"")</f>
        <v/>
      </c>
      <c r="W96" s="36" t="s">
        <v>240</v>
      </c>
      <c r="X96" s="40"/>
      <c r="Y96" s="40" t="s">
        <v>277</v>
      </c>
      <c r="Z96" s="46">
        <v>0.32916666666666666</v>
      </c>
      <c r="AA96" s="46">
        <v>0.32916666666666666</v>
      </c>
      <c r="AB96" s="46">
        <v>0.32916666666666666</v>
      </c>
      <c r="AC96" s="46">
        <v>0.35208333333333336</v>
      </c>
      <c r="AD96" s="44">
        <f>IF(PA[[#This Row],[Acknowledgement Time ]]="NA","",(PA[[#This Row],[Acknowledgement Time ]]-PA[[#This Row],[Fault Time]])*24)</f>
        <v>0</v>
      </c>
      <c r="AE96" s="44">
        <f>IF(PA[[#This Row],[Work Start time on Fault]]="NA","",(PA[[#This Row],[Work Start time on Fault]]-PA[[#This Row],[Fault Time]])*24)</f>
        <v>0</v>
      </c>
      <c r="AF96" s="45">
        <f>IF(PA[[#This Row],[Status]]="Open","",(PA[[#This Row],[Work Completion time on fault]]-PA[[#This Row],[Fault Time]])*24)</f>
        <v>0.55000000000000071</v>
      </c>
      <c r="AG96" s="44">
        <f>IFERROR((PA[[#This Row],[Work Completion time on fault]]-PA[[#This Row],[Fault Time]])*24,"")</f>
        <v>0.55000000000000071</v>
      </c>
      <c r="AH96" s="284" t="s">
        <v>248</v>
      </c>
      <c r="AI96" s="33" t="s">
        <v>235</v>
      </c>
      <c r="AJ96" s="35" t="str">
        <f>IFERROR(PA[[#This Row],[Breakdown Time]]*PA[[#This Row],[Plant Equivalent Weightage]],"")</f>
        <v/>
      </c>
      <c r="AK96" s="36">
        <v>7.8117851666666668E-2</v>
      </c>
      <c r="AL96" s="51" t="str">
        <f>IFERROR((_xlfn.XLOOKUP($G96,'Modelling New'!D:D,'Modelling New'!$O:$O)*PA[[#This Row],[Lost PoA(kWh/m2)]]*PA[[#This Row],[DC Capacity Affected (kW)]]),"")</f>
        <v/>
      </c>
      <c r="AM96" s="33"/>
      <c r="AN96" s="33"/>
      <c r="AO96" s="33"/>
      <c r="AP96" s="33"/>
    </row>
    <row r="97" spans="1:42" ht="15" customHeight="1">
      <c r="A97" s="30">
        <v>96</v>
      </c>
      <c r="B97" s="31"/>
      <c r="C97" s="272">
        <f>YEAR(PA[[#This Row],[Date]])+IF(MONTH(PA[[#This Row],[Date]])&gt;=4,1,0)</f>
        <v>1900</v>
      </c>
      <c r="D97" s="272">
        <f>YEAR(PA[[#This Row],[Date]])</f>
        <v>1900</v>
      </c>
      <c r="E97" s="273" t="s">
        <v>157</v>
      </c>
      <c r="F97" s="273" t="s">
        <v>157</v>
      </c>
      <c r="G97" s="274">
        <f>PA[[#This Row],[Date]]-DAY(PA[[#This Row],[Date]])+1</f>
        <v>1</v>
      </c>
      <c r="H97" s="272">
        <f>DAY(EOMONTH(PA[[#This Row],[Month Year]],0))</f>
        <v>31</v>
      </c>
      <c r="I97" s="121"/>
      <c r="J97" s="121"/>
      <c r="K97" s="275">
        <f>IFERROR((PA[[#This Row],[Sunset Time (POA&lt;20 W/m2)]]-PA[[#This Row],[Sunrise Time (POA&gt;20 W/m2)]])*24,"")</f>
        <v>0</v>
      </c>
      <c r="L97" s="273"/>
      <c r="M97" s="273"/>
      <c r="N97" s="273"/>
      <c r="O97" s="276"/>
      <c r="P97" s="276"/>
      <c r="Q97" s="273"/>
      <c r="R97" s="272">
        <f>IF((PA[[#This Row],[String Type(If String BD)]]&amp;PA[[#This Row],[Equipment (If any BD other than PV  array and inv)]])="",1,0)</f>
        <v>1</v>
      </c>
      <c r="S97" s="272">
        <f>IF(PA[[#This Row],[String Type(If String BD)]]="",1,0)</f>
        <v>1</v>
      </c>
      <c r="T97" s="27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7" s="275" t="str">
        <f>IFERROR(_xlfn.XLOOKUP(PA[[#This Row],[Affected Equipment ]],'Basic Data'!N:N,'Basic Data'!Q:Q),"")</f>
        <v/>
      </c>
      <c r="V97" s="277" t="str">
        <f>IFERROR(_xlfn.XLOOKUP(PA[[#This Row],[Affected Equipment ]],'Basic Data'!N:N,'Basic Data'!R:R),"")</f>
        <v/>
      </c>
      <c r="W97" s="276" t="s">
        <v>240</v>
      </c>
      <c r="X97" s="278"/>
      <c r="Y97" s="40" t="s">
        <v>277</v>
      </c>
      <c r="Z97" s="46">
        <v>0.36875000000000002</v>
      </c>
      <c r="AA97" s="46">
        <v>0.36875000000000002</v>
      </c>
      <c r="AB97" s="46">
        <v>0.36875000000000002</v>
      </c>
      <c r="AC97" s="46">
        <v>0.37986111111111109</v>
      </c>
      <c r="AD97" s="44">
        <f>IF(PA[[#This Row],[Acknowledgement Time ]]="NA","",(PA[[#This Row],[Acknowledgement Time ]]-PA[[#This Row],[Fault Time]])*24)</f>
        <v>0</v>
      </c>
      <c r="AE97" s="44">
        <f>IF(PA[[#This Row],[Work Start time on Fault]]="NA","",(PA[[#This Row],[Work Start time on Fault]]-PA[[#This Row],[Fault Time]])*24)</f>
        <v>0</v>
      </c>
      <c r="AF97" s="45">
        <f>IF(PA[[#This Row],[Status]]="Open","",(PA[[#This Row],[Work Completion time on fault]]-PA[[#This Row],[Fault Time]])*24)</f>
        <v>0.26666666666666572</v>
      </c>
      <c r="AG97" s="44">
        <f>IFERROR((PA[[#This Row],[Work Completion time on fault]]-PA[[#This Row],[Fault Time]])*24,"")</f>
        <v>0.26666666666666572</v>
      </c>
      <c r="AH97" s="284" t="s">
        <v>248</v>
      </c>
      <c r="AI97" s="33" t="s">
        <v>235</v>
      </c>
      <c r="AJ97" s="275" t="str">
        <f>IFERROR(PA[[#This Row],[Breakdown Time]]*PA[[#This Row],[Plant Equivalent Weightage]],"")</f>
        <v/>
      </c>
      <c r="AK97" s="276">
        <v>7.1734646666666665E-2</v>
      </c>
      <c r="AL97" s="279" t="str">
        <f>IFERROR((_xlfn.XLOOKUP($G97,'Modelling New'!D:D,'Modelling New'!$O:$O)*PA[[#This Row],[Lost PoA(kWh/m2)]]*PA[[#This Row],[DC Capacity Affected (kW)]]),"")</f>
        <v/>
      </c>
      <c r="AM97" s="33"/>
      <c r="AN97" s="33"/>
      <c r="AO97" s="33"/>
      <c r="AP97" s="33"/>
    </row>
    <row r="98" spans="1:42">
      <c r="A98" s="30">
        <v>97</v>
      </c>
      <c r="B98" s="31"/>
      <c r="C98" s="32">
        <f>YEAR(PA[[#This Row],[Date]])+IF(MONTH(PA[[#This Row],[Date]])&gt;=4,1,0)</f>
        <v>1900</v>
      </c>
      <c r="D98" s="32">
        <f>YEAR(PA[[#This Row],[Date]])</f>
        <v>1900</v>
      </c>
      <c r="E98" s="33" t="s">
        <v>157</v>
      </c>
      <c r="F98" s="33" t="s">
        <v>157</v>
      </c>
      <c r="G98" s="194">
        <f>PA[[#This Row],[Date]]-DAY(PA[[#This Row],[Date]])+1</f>
        <v>1</v>
      </c>
      <c r="H98" s="32">
        <f>DAY(EOMONTH(PA[[#This Row],[Month Year]],0))</f>
        <v>31</v>
      </c>
      <c r="I98" s="121"/>
      <c r="J98" s="121"/>
      <c r="K98" s="35">
        <f>IFERROR((PA[[#This Row],[Sunset Time (POA&lt;20 W/m2)]]-PA[[#This Row],[Sunrise Time (POA&gt;20 W/m2)]])*24,"")</f>
        <v>0</v>
      </c>
      <c r="L98" s="33"/>
      <c r="M98" s="33"/>
      <c r="N98" s="33"/>
      <c r="O98" s="36"/>
      <c r="P98" s="36"/>
      <c r="Q98" s="33"/>
      <c r="R98" s="32">
        <f>IF((PA[[#This Row],[String Type(If String BD)]]&amp;PA[[#This Row],[Equipment (If any BD other than PV  array and inv)]])="",1,0)</f>
        <v>1</v>
      </c>
      <c r="S98" s="32">
        <f>IF(PA[[#This Row],[String Type(If String BD)]]="",1,0)</f>
        <v>1</v>
      </c>
      <c r="T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8" s="35" t="str">
        <f>IFERROR(_xlfn.XLOOKUP(PA[[#This Row],[Affected Equipment ]],'Basic Data'!N:N,'Basic Data'!Q:Q),"")</f>
        <v/>
      </c>
      <c r="V98" s="39" t="str">
        <f>IFERROR(_xlfn.XLOOKUP(PA[[#This Row],[Affected Equipment ]],'Basic Data'!N:N,'Basic Data'!R:R),"")</f>
        <v/>
      </c>
      <c r="W98" s="36" t="s">
        <v>240</v>
      </c>
      <c r="X98" s="40"/>
      <c r="Y98" s="40" t="s">
        <v>277</v>
      </c>
      <c r="Z98" s="46">
        <v>0.41041666666666665</v>
      </c>
      <c r="AA98" s="46">
        <v>0.41041666666666665</v>
      </c>
      <c r="AB98" s="46">
        <v>0.41041666666666665</v>
      </c>
      <c r="AC98" s="46">
        <v>0.42083333333333334</v>
      </c>
      <c r="AD98" s="44">
        <f>IF(PA[[#This Row],[Acknowledgement Time ]]="NA","",(PA[[#This Row],[Acknowledgement Time ]]-PA[[#This Row],[Fault Time]])*24)</f>
        <v>0</v>
      </c>
      <c r="AE98" s="44">
        <f>IF(PA[[#This Row],[Work Start time on Fault]]="NA","",(PA[[#This Row],[Work Start time on Fault]]-PA[[#This Row],[Fault Time]])*24)</f>
        <v>0</v>
      </c>
      <c r="AF98" s="45">
        <f>IF(PA[[#This Row],[Status]]="Open","",(PA[[#This Row],[Work Completion time on fault]]-PA[[#This Row],[Fault Time]])*24)</f>
        <v>0.25000000000000044</v>
      </c>
      <c r="AG98" s="44">
        <f>IFERROR((PA[[#This Row],[Work Completion time on fault]]-PA[[#This Row],[Fault Time]])*24,"")</f>
        <v>0.25000000000000044</v>
      </c>
      <c r="AH98" s="284" t="s">
        <v>248</v>
      </c>
      <c r="AI98" s="33" t="s">
        <v>235</v>
      </c>
      <c r="AJ98" s="35" t="str">
        <f>IFERROR(PA[[#This Row],[Breakdown Time]]*PA[[#This Row],[Plant Equivalent Weightage]],"")</f>
        <v/>
      </c>
      <c r="AK98" s="36">
        <v>0.11111287833333335</v>
      </c>
      <c r="AL98" s="51" t="str">
        <f>IFERROR((_xlfn.XLOOKUP($G98,'Modelling New'!D:D,'Modelling New'!$O:$O)*PA[[#This Row],[Lost PoA(kWh/m2)]]*PA[[#This Row],[DC Capacity Affected (kW)]]),"")</f>
        <v/>
      </c>
      <c r="AM98" s="33"/>
      <c r="AN98" s="33"/>
      <c r="AO98" s="33"/>
      <c r="AP98" s="33"/>
    </row>
    <row r="99" spans="1:42">
      <c r="A99" s="30">
        <v>98</v>
      </c>
      <c r="B99" s="31"/>
      <c r="C99" s="32">
        <f>YEAR(PA[[#This Row],[Date]])+IF(MONTH(PA[[#This Row],[Date]])&gt;=4,1,0)</f>
        <v>1900</v>
      </c>
      <c r="D99" s="32">
        <f>YEAR(PA[[#This Row],[Date]])</f>
        <v>1900</v>
      </c>
      <c r="E99" s="33" t="s">
        <v>157</v>
      </c>
      <c r="F99" s="33" t="s">
        <v>157</v>
      </c>
      <c r="G99" s="194">
        <f>PA[[#This Row],[Date]]-DAY(PA[[#This Row],[Date]])+1</f>
        <v>1</v>
      </c>
      <c r="H99" s="32">
        <f>DAY(EOMONTH(PA[[#This Row],[Month Year]],0))</f>
        <v>31</v>
      </c>
      <c r="I99" s="121"/>
      <c r="J99" s="121"/>
      <c r="K99" s="35">
        <f>IFERROR((PA[[#This Row],[Sunset Time (POA&lt;20 W/m2)]]-PA[[#This Row],[Sunrise Time (POA&gt;20 W/m2)]])*24,"")</f>
        <v>0</v>
      </c>
      <c r="L99" s="33"/>
      <c r="M99" s="33"/>
      <c r="N99" s="33"/>
      <c r="O99" s="36"/>
      <c r="P99" s="36"/>
      <c r="Q99" s="33"/>
      <c r="R99" s="32">
        <f>IF((PA[[#This Row],[String Type(If String BD)]]&amp;PA[[#This Row],[Equipment (If any BD other than PV  array and inv)]])="",1,0)</f>
        <v>1</v>
      </c>
      <c r="S99" s="32">
        <f>IF(PA[[#This Row],[String Type(If String BD)]]="",1,0)</f>
        <v>1</v>
      </c>
      <c r="T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99" s="35" t="str">
        <f>IFERROR(_xlfn.XLOOKUP(PA[[#This Row],[Affected Equipment ]],'Basic Data'!N:N,'Basic Data'!Q:Q),"")</f>
        <v/>
      </c>
      <c r="V99" s="39" t="str">
        <f>IFERROR(_xlfn.XLOOKUP(PA[[#This Row],[Affected Equipment ]],'Basic Data'!N:N,'Basic Data'!R:R),"")</f>
        <v/>
      </c>
      <c r="W99" s="36" t="s">
        <v>240</v>
      </c>
      <c r="X99" s="40"/>
      <c r="Y99" s="40" t="s">
        <v>279</v>
      </c>
      <c r="Z99" s="46">
        <v>0.41666666666666669</v>
      </c>
      <c r="AA99" s="46">
        <v>0.41666666666666669</v>
      </c>
      <c r="AB99" s="46">
        <v>0.41666666666666669</v>
      </c>
      <c r="AC99" s="46">
        <v>0.42152777777777778</v>
      </c>
      <c r="AD99" s="44">
        <f>IF(PA[[#This Row],[Acknowledgement Time ]]="NA","",(PA[[#This Row],[Acknowledgement Time ]]-PA[[#This Row],[Fault Time]])*24)</f>
        <v>0</v>
      </c>
      <c r="AE99" s="44">
        <f>IF(PA[[#This Row],[Work Start time on Fault]]="NA","",(PA[[#This Row],[Work Start time on Fault]]-PA[[#This Row],[Fault Time]])*24)</f>
        <v>0</v>
      </c>
      <c r="AF99" s="45">
        <f>IF(PA[[#This Row],[Status]]="Open","",(PA[[#This Row],[Work Completion time on fault]]-PA[[#This Row],[Fault Time]])*24)</f>
        <v>0.11666666666666625</v>
      </c>
      <c r="AG99" s="44">
        <f>IFERROR((PA[[#This Row],[Work Completion time on fault]]-PA[[#This Row],[Fault Time]])*24,"")</f>
        <v>0.11666666666666625</v>
      </c>
      <c r="AH99" s="284" t="s">
        <v>248</v>
      </c>
      <c r="AI99" s="33" t="s">
        <v>235</v>
      </c>
      <c r="AJ99" s="35" t="str">
        <f>IFERROR(PA[[#This Row],[Breakdown Time]]*PA[[#This Row],[Plant Equivalent Weightage]],"")</f>
        <v/>
      </c>
      <c r="AK99" s="36">
        <v>5.8793221666666666E-2</v>
      </c>
      <c r="AL99" s="51" t="str">
        <f>IFERROR((_xlfn.XLOOKUP($G99,'Modelling New'!D:D,'Modelling New'!$O:$O)*PA[[#This Row],[Lost PoA(kWh/m2)]]*PA[[#This Row],[DC Capacity Affected (kW)]]),"")</f>
        <v/>
      </c>
      <c r="AM99" s="33"/>
      <c r="AN99" s="33"/>
      <c r="AO99" s="33"/>
      <c r="AP99" s="33"/>
    </row>
    <row r="100" spans="1:42">
      <c r="A100" s="30">
        <v>99</v>
      </c>
      <c r="B100" s="31"/>
      <c r="C100" s="32">
        <f>YEAR(PA[[#This Row],[Date]])+IF(MONTH(PA[[#This Row],[Date]])&gt;=4,1,0)</f>
        <v>1900</v>
      </c>
      <c r="D100" s="32">
        <f>YEAR(PA[[#This Row],[Date]])</f>
        <v>1900</v>
      </c>
      <c r="E100" s="33" t="s">
        <v>157</v>
      </c>
      <c r="F100" s="33" t="s">
        <v>157</v>
      </c>
      <c r="G100" s="194">
        <f>PA[[#This Row],[Date]]-DAY(PA[[#This Row],[Date]])+1</f>
        <v>1</v>
      </c>
      <c r="H100" s="32">
        <f>DAY(EOMONTH(PA[[#This Row],[Month Year]],0))</f>
        <v>31</v>
      </c>
      <c r="I100" s="121"/>
      <c r="J100" s="121"/>
      <c r="K100" s="35">
        <f>IFERROR((PA[[#This Row],[Sunset Time (POA&lt;20 W/m2)]]-PA[[#This Row],[Sunrise Time (POA&gt;20 W/m2)]])*24,"")</f>
        <v>0</v>
      </c>
      <c r="L100" s="33"/>
      <c r="M100" s="33"/>
      <c r="N100" s="33"/>
      <c r="O100" s="36"/>
      <c r="P100" s="36"/>
      <c r="Q100" s="33"/>
      <c r="R100" s="32">
        <f>IF((PA[[#This Row],[String Type(If String BD)]]&amp;PA[[#This Row],[Equipment (If any BD other than PV  array and inv)]])="",1,0)</f>
        <v>1</v>
      </c>
      <c r="S100" s="32">
        <f>IF(PA[[#This Row],[String Type(If String BD)]]="",1,0)</f>
        <v>1</v>
      </c>
      <c r="T1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0" s="35" t="str">
        <f>IFERROR(_xlfn.XLOOKUP(PA[[#This Row],[Affected Equipment ]],'Basic Data'!N:N,'Basic Data'!Q:Q),"")</f>
        <v/>
      </c>
      <c r="V100" s="39" t="str">
        <f>IFERROR(_xlfn.XLOOKUP(PA[[#This Row],[Affected Equipment ]],'Basic Data'!N:N,'Basic Data'!R:R),"")</f>
        <v/>
      </c>
      <c r="W100" s="36" t="s">
        <v>281</v>
      </c>
      <c r="X100" s="40"/>
      <c r="Y100" s="40" t="s">
        <v>282</v>
      </c>
      <c r="Z100" s="46">
        <v>0.54374999999999996</v>
      </c>
      <c r="AA100" s="46">
        <v>0.54374999999999996</v>
      </c>
      <c r="AB100" s="46">
        <v>0.54374999999999996</v>
      </c>
      <c r="AC100" s="46">
        <v>0.56874999999999998</v>
      </c>
      <c r="AD100" s="44">
        <f>IF(PA[[#This Row],[Acknowledgement Time ]]="NA","",(PA[[#This Row],[Acknowledgement Time ]]-PA[[#This Row],[Fault Time]])*24)</f>
        <v>0</v>
      </c>
      <c r="AE100" s="44">
        <f>IF(PA[[#This Row],[Work Start time on Fault]]="NA","",(PA[[#This Row],[Work Start time on Fault]]-PA[[#This Row],[Fault Time]])*24)</f>
        <v>0</v>
      </c>
      <c r="AF100" s="45">
        <f>IF(PA[[#This Row],[Status]]="Open","",(PA[[#This Row],[Work Completion time on fault]]-PA[[#This Row],[Fault Time]])*24)</f>
        <v>0.60000000000000053</v>
      </c>
      <c r="AG100" s="44">
        <f>IFERROR((PA[[#This Row],[Work Completion time on fault]]-PA[[#This Row],[Fault Time]])*24,"")</f>
        <v>0.60000000000000053</v>
      </c>
      <c r="AH100" s="284" t="s">
        <v>283</v>
      </c>
      <c r="AI100" s="33" t="s">
        <v>235</v>
      </c>
      <c r="AJ100" s="35" t="str">
        <f>IFERROR(PA[[#This Row],[Breakdown Time]]*PA[[#This Row],[Plant Equivalent Weightage]],"")</f>
        <v/>
      </c>
      <c r="AK100" s="36">
        <v>0.37614667166666665</v>
      </c>
      <c r="AL100" s="51" t="str">
        <f>IFERROR((_xlfn.XLOOKUP($G100,'Modelling New'!D:D,'Modelling New'!$O:$O)*PA[[#This Row],[Lost PoA(kWh/m2)]]*PA[[#This Row],[DC Capacity Affected (kW)]]),"")</f>
        <v/>
      </c>
      <c r="AM100" s="33"/>
      <c r="AN100" s="33"/>
      <c r="AO100" s="33"/>
      <c r="AP100" s="33"/>
    </row>
    <row r="101" spans="1:42">
      <c r="A101" s="30">
        <v>100</v>
      </c>
      <c r="B101" s="31"/>
      <c r="C101" s="32">
        <f>YEAR(PA[[#This Row],[Date]])+IF(MONTH(PA[[#This Row],[Date]])&gt;=4,1,0)</f>
        <v>1900</v>
      </c>
      <c r="D101" s="32">
        <f>YEAR(PA[[#This Row],[Date]])</f>
        <v>1900</v>
      </c>
      <c r="E101" s="33" t="s">
        <v>157</v>
      </c>
      <c r="F101" s="33" t="s">
        <v>157</v>
      </c>
      <c r="G101" s="194">
        <f>PA[[#This Row],[Date]]-DAY(PA[[#This Row],[Date]])+1</f>
        <v>1</v>
      </c>
      <c r="H101" s="32">
        <f>DAY(EOMONTH(PA[[#This Row],[Month Year]],0))</f>
        <v>31</v>
      </c>
      <c r="I101" s="121"/>
      <c r="J101" s="121"/>
      <c r="K101" s="35">
        <f>IFERROR((PA[[#This Row],[Sunset Time (POA&lt;20 W/m2)]]-PA[[#This Row],[Sunrise Time (POA&gt;20 W/m2)]])*24,"")</f>
        <v>0</v>
      </c>
      <c r="L101" s="33"/>
      <c r="M101" s="33"/>
      <c r="N101" s="33"/>
      <c r="O101" s="36"/>
      <c r="P101" s="36"/>
      <c r="Q101" s="33"/>
      <c r="R101" s="32">
        <f>IF((PA[[#This Row],[String Type(If String BD)]]&amp;PA[[#This Row],[Equipment (If any BD other than PV  array and inv)]])="",1,0)</f>
        <v>1</v>
      </c>
      <c r="S101" s="32">
        <f>IF(PA[[#This Row],[String Type(If String BD)]]="",1,0)</f>
        <v>1</v>
      </c>
      <c r="T1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1" s="35" t="str">
        <f>IFERROR(_xlfn.XLOOKUP(PA[[#This Row],[Affected Equipment ]],'Basic Data'!N:N,'Basic Data'!Q:Q),"")</f>
        <v/>
      </c>
      <c r="V101" s="39" t="str">
        <f>IFERROR(_xlfn.XLOOKUP(PA[[#This Row],[Affected Equipment ]],'Basic Data'!N:N,'Basic Data'!R:R),"")</f>
        <v/>
      </c>
      <c r="W101" s="36" t="s">
        <v>281</v>
      </c>
      <c r="X101" s="40"/>
      <c r="Y101" s="40" t="s">
        <v>282</v>
      </c>
      <c r="Z101" s="46">
        <v>0.54374999999999996</v>
      </c>
      <c r="AA101" s="46">
        <v>0.54374999999999996</v>
      </c>
      <c r="AB101" s="46">
        <v>0.54374999999999996</v>
      </c>
      <c r="AC101" s="46">
        <v>0.56874999999999998</v>
      </c>
      <c r="AD101" s="44">
        <f>IF(PA[[#This Row],[Acknowledgement Time ]]="NA","",(PA[[#This Row],[Acknowledgement Time ]]-PA[[#This Row],[Fault Time]])*24)</f>
        <v>0</v>
      </c>
      <c r="AE101" s="44">
        <f>IF(PA[[#This Row],[Work Start time on Fault]]="NA","",(PA[[#This Row],[Work Start time on Fault]]-PA[[#This Row],[Fault Time]])*24)</f>
        <v>0</v>
      </c>
      <c r="AF101" s="45">
        <f>IF(PA[[#This Row],[Status]]="Open","",(PA[[#This Row],[Work Completion time on fault]]-PA[[#This Row],[Fault Time]])*24)</f>
        <v>0.60000000000000053</v>
      </c>
      <c r="AG101" s="44">
        <f>IFERROR((PA[[#This Row],[Work Completion time on fault]]-PA[[#This Row],[Fault Time]])*24,"")</f>
        <v>0.60000000000000053</v>
      </c>
      <c r="AH101" s="284" t="s">
        <v>283</v>
      </c>
      <c r="AI101" s="33" t="s">
        <v>235</v>
      </c>
      <c r="AJ101" s="35" t="str">
        <f>IFERROR(PA[[#This Row],[Breakdown Time]]*PA[[#This Row],[Plant Equivalent Weightage]],"")</f>
        <v/>
      </c>
      <c r="AK101" s="36">
        <v>0.37614667166666665</v>
      </c>
      <c r="AL101" s="51" t="str">
        <f>IFERROR((_xlfn.XLOOKUP($G101,'Modelling New'!D:D,'Modelling New'!$O:$O)*PA[[#This Row],[Lost PoA(kWh/m2)]]*PA[[#This Row],[DC Capacity Affected (kW)]]),"")</f>
        <v/>
      </c>
      <c r="AM101" s="33"/>
      <c r="AN101" s="33"/>
      <c r="AO101" s="33"/>
      <c r="AP101" s="33"/>
    </row>
    <row r="102" spans="1:42">
      <c r="A102" s="30">
        <v>101</v>
      </c>
      <c r="B102" s="31"/>
      <c r="C102" s="32">
        <f>YEAR(PA[[#This Row],[Date]])+IF(MONTH(PA[[#This Row],[Date]])&gt;=4,1,0)</f>
        <v>1900</v>
      </c>
      <c r="D102" s="32">
        <f>YEAR(PA[[#This Row],[Date]])</f>
        <v>1900</v>
      </c>
      <c r="E102" s="33" t="s">
        <v>157</v>
      </c>
      <c r="F102" s="33" t="s">
        <v>157</v>
      </c>
      <c r="G102" s="194">
        <f>PA[[#This Row],[Date]]-DAY(PA[[#This Row],[Date]])+1</f>
        <v>1</v>
      </c>
      <c r="H102" s="32">
        <f>DAY(EOMONTH(PA[[#This Row],[Month Year]],0))</f>
        <v>31</v>
      </c>
      <c r="I102" s="121"/>
      <c r="J102" s="121"/>
      <c r="K102" s="35">
        <f>IFERROR((PA[[#This Row],[Sunset Time (POA&lt;20 W/m2)]]-PA[[#This Row],[Sunrise Time (POA&gt;20 W/m2)]])*24,"")</f>
        <v>0</v>
      </c>
      <c r="L102" s="33"/>
      <c r="M102" s="33"/>
      <c r="N102" s="33"/>
      <c r="O102" s="36"/>
      <c r="P102" s="36"/>
      <c r="Q102" s="33"/>
      <c r="R102" s="32">
        <f>IF((PA[[#This Row],[String Type(If String BD)]]&amp;PA[[#This Row],[Equipment (If any BD other than PV  array and inv)]])="",1,0)</f>
        <v>1</v>
      </c>
      <c r="S102" s="32">
        <f>IF(PA[[#This Row],[String Type(If String BD)]]="",1,0)</f>
        <v>1</v>
      </c>
      <c r="T1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2" s="35" t="str">
        <f>IFERROR(_xlfn.XLOOKUP(PA[[#This Row],[Affected Equipment ]],'Basic Data'!N:N,'Basic Data'!Q:Q),"")</f>
        <v/>
      </c>
      <c r="V102" s="39" t="str">
        <f>IFERROR(_xlfn.XLOOKUP(PA[[#This Row],[Affected Equipment ]],'Basic Data'!N:N,'Basic Data'!R:R),"")</f>
        <v/>
      </c>
      <c r="W102" s="36" t="s">
        <v>281</v>
      </c>
      <c r="X102" s="40"/>
      <c r="Y102" s="40" t="s">
        <v>282</v>
      </c>
      <c r="Z102" s="46">
        <v>0.54374999999999996</v>
      </c>
      <c r="AA102" s="46">
        <v>0.54374999999999996</v>
      </c>
      <c r="AB102" s="46">
        <v>0.54374999999999996</v>
      </c>
      <c r="AC102" s="46">
        <v>0.57777777777777772</v>
      </c>
      <c r="AD102" s="44">
        <f>IF(PA[[#This Row],[Acknowledgement Time ]]="NA","",(PA[[#This Row],[Acknowledgement Time ]]-PA[[#This Row],[Fault Time]])*24)</f>
        <v>0</v>
      </c>
      <c r="AE102" s="44">
        <f>IF(PA[[#This Row],[Work Start time on Fault]]="NA","",(PA[[#This Row],[Work Start time on Fault]]-PA[[#This Row],[Fault Time]])*24)</f>
        <v>0</v>
      </c>
      <c r="AF102" s="45">
        <f>IF(PA[[#This Row],[Status]]="Open","",(PA[[#This Row],[Work Completion time on fault]]-PA[[#This Row],[Fault Time]])*24)</f>
        <v>0.81666666666666643</v>
      </c>
      <c r="AG102" s="44">
        <f>IFERROR((PA[[#This Row],[Work Completion time on fault]]-PA[[#This Row],[Fault Time]])*24,"")</f>
        <v>0.81666666666666643</v>
      </c>
      <c r="AH102" s="284" t="s">
        <v>283</v>
      </c>
      <c r="AI102" s="33" t="s">
        <v>235</v>
      </c>
      <c r="AJ102" s="35" t="str">
        <f>IFERROR(PA[[#This Row],[Breakdown Time]]*PA[[#This Row],[Plant Equivalent Weightage]],"")</f>
        <v/>
      </c>
      <c r="AK102" s="36">
        <v>0.42638682999999999</v>
      </c>
      <c r="AL102" s="51" t="str">
        <f>IFERROR((_xlfn.XLOOKUP($G102,'Modelling New'!D:D,'Modelling New'!$O:$O)*PA[[#This Row],[Lost PoA(kWh/m2)]]*PA[[#This Row],[DC Capacity Affected (kW)]]),"")</f>
        <v/>
      </c>
      <c r="AM102" s="33"/>
      <c r="AN102" s="33"/>
      <c r="AO102" s="33"/>
      <c r="AP102" s="33"/>
    </row>
    <row r="103" spans="1:42">
      <c r="A103" s="30">
        <v>102</v>
      </c>
      <c r="B103" s="31"/>
      <c r="C103" s="32">
        <f>YEAR(PA[[#This Row],[Date]])+IF(MONTH(PA[[#This Row],[Date]])&gt;=4,1,0)</f>
        <v>1900</v>
      </c>
      <c r="D103" s="32">
        <f>YEAR(PA[[#This Row],[Date]])</f>
        <v>1900</v>
      </c>
      <c r="E103" s="33" t="s">
        <v>157</v>
      </c>
      <c r="F103" s="33" t="s">
        <v>157</v>
      </c>
      <c r="G103" s="194">
        <f>PA[[#This Row],[Date]]-DAY(PA[[#This Row],[Date]])+1</f>
        <v>1</v>
      </c>
      <c r="H103" s="32">
        <f>DAY(EOMONTH(PA[[#This Row],[Month Year]],0))</f>
        <v>31</v>
      </c>
      <c r="I103" s="121"/>
      <c r="J103" s="121"/>
      <c r="K103" s="35">
        <f>IFERROR((PA[[#This Row],[Sunset Time (POA&lt;20 W/m2)]]-PA[[#This Row],[Sunrise Time (POA&gt;20 W/m2)]])*24,"")</f>
        <v>0</v>
      </c>
      <c r="L103" s="33"/>
      <c r="M103" s="33"/>
      <c r="N103" s="33"/>
      <c r="O103" s="36"/>
      <c r="P103" s="36"/>
      <c r="Q103" s="33"/>
      <c r="R103" s="32">
        <f>IF((PA[[#This Row],[String Type(If String BD)]]&amp;PA[[#This Row],[Equipment (If any BD other than PV  array and inv)]])="",1,0)</f>
        <v>1</v>
      </c>
      <c r="S103" s="32">
        <f>IF(PA[[#This Row],[String Type(If String BD)]]="",1,0)</f>
        <v>1</v>
      </c>
      <c r="T1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3" s="35" t="str">
        <f>IFERROR(_xlfn.XLOOKUP(PA[[#This Row],[Affected Equipment ]],'Basic Data'!N:N,'Basic Data'!Q:Q),"")</f>
        <v/>
      </c>
      <c r="V103" s="39" t="str">
        <f>IFERROR(_xlfn.XLOOKUP(PA[[#This Row],[Affected Equipment ]],'Basic Data'!N:N,'Basic Data'!R:R),"")</f>
        <v/>
      </c>
      <c r="W103" s="36" t="s">
        <v>281</v>
      </c>
      <c r="X103" s="40"/>
      <c r="Y103" s="40" t="s">
        <v>282</v>
      </c>
      <c r="Z103" s="46">
        <v>0.54374999999999996</v>
      </c>
      <c r="AA103" s="46">
        <v>0.54374999999999996</v>
      </c>
      <c r="AB103" s="46">
        <v>0.54374999999999996</v>
      </c>
      <c r="AC103" s="46">
        <v>0.57777777777777772</v>
      </c>
      <c r="AD103" s="44">
        <f>IF(PA[[#This Row],[Acknowledgement Time ]]="NA","",(PA[[#This Row],[Acknowledgement Time ]]-PA[[#This Row],[Fault Time]])*24)</f>
        <v>0</v>
      </c>
      <c r="AE103" s="44">
        <f>IF(PA[[#This Row],[Work Start time on Fault]]="NA","",(PA[[#This Row],[Work Start time on Fault]]-PA[[#This Row],[Fault Time]])*24)</f>
        <v>0</v>
      </c>
      <c r="AF103" s="45">
        <f>IF(PA[[#This Row],[Status]]="Open","",(PA[[#This Row],[Work Completion time on fault]]-PA[[#This Row],[Fault Time]])*24)</f>
        <v>0.81666666666666643</v>
      </c>
      <c r="AG103" s="44">
        <f>IFERROR((PA[[#This Row],[Work Completion time on fault]]-PA[[#This Row],[Fault Time]])*24,"")</f>
        <v>0.81666666666666643</v>
      </c>
      <c r="AH103" s="284" t="s">
        <v>283</v>
      </c>
      <c r="AI103" s="33" t="s">
        <v>235</v>
      </c>
      <c r="AJ103" s="35" t="str">
        <f>IFERROR(PA[[#This Row],[Breakdown Time]]*PA[[#This Row],[Plant Equivalent Weightage]],"")</f>
        <v/>
      </c>
      <c r="AK103" s="36">
        <v>0.42638682999999999</v>
      </c>
      <c r="AL103" s="51" t="str">
        <f>IFERROR((_xlfn.XLOOKUP($G103,'Modelling New'!D:D,'Modelling New'!$O:$O)*PA[[#This Row],[Lost PoA(kWh/m2)]]*PA[[#This Row],[DC Capacity Affected (kW)]]),"")</f>
        <v/>
      </c>
      <c r="AM103" s="33"/>
      <c r="AN103" s="33"/>
      <c r="AO103" s="33"/>
      <c r="AP103" s="33"/>
    </row>
    <row r="104" spans="1:42">
      <c r="A104" s="30">
        <v>103</v>
      </c>
      <c r="B104" s="31"/>
      <c r="C104" s="32">
        <f>YEAR(PA[[#This Row],[Date]])+IF(MONTH(PA[[#This Row],[Date]])&gt;=4,1,0)</f>
        <v>1900</v>
      </c>
      <c r="D104" s="32">
        <f>YEAR(PA[[#This Row],[Date]])</f>
        <v>1900</v>
      </c>
      <c r="E104" s="33" t="s">
        <v>157</v>
      </c>
      <c r="F104" s="33" t="s">
        <v>157</v>
      </c>
      <c r="G104" s="194">
        <f>PA[[#This Row],[Date]]-DAY(PA[[#This Row],[Date]])+1</f>
        <v>1</v>
      </c>
      <c r="H104" s="32">
        <f>DAY(EOMONTH(PA[[#This Row],[Month Year]],0))</f>
        <v>31</v>
      </c>
      <c r="I104" s="121"/>
      <c r="J104" s="121"/>
      <c r="K104" s="35">
        <f>IFERROR((PA[[#This Row],[Sunset Time (POA&lt;20 W/m2)]]-PA[[#This Row],[Sunrise Time (POA&gt;20 W/m2)]])*24,"")</f>
        <v>0</v>
      </c>
      <c r="L104" s="33"/>
      <c r="M104" s="33"/>
      <c r="N104" s="33"/>
      <c r="O104" s="36"/>
      <c r="P104" s="36"/>
      <c r="Q104" s="33"/>
      <c r="R104" s="32">
        <f>IF((PA[[#This Row],[String Type(If String BD)]]&amp;PA[[#This Row],[Equipment (If any BD other than PV  array and inv)]])="",1,0)</f>
        <v>1</v>
      </c>
      <c r="S104" s="32">
        <f>IF(PA[[#This Row],[String Type(If String BD)]]="",1,0)</f>
        <v>1</v>
      </c>
      <c r="T1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4" s="35" t="str">
        <f>IFERROR(_xlfn.XLOOKUP(PA[[#This Row],[Affected Equipment ]],'Basic Data'!N:N,'Basic Data'!Q:Q),"")</f>
        <v/>
      </c>
      <c r="V104" s="39" t="str">
        <f>IFERROR(_xlfn.XLOOKUP(PA[[#This Row],[Affected Equipment ]],'Basic Data'!N:N,'Basic Data'!R:R),"")</f>
        <v/>
      </c>
      <c r="W104" s="36" t="s">
        <v>281</v>
      </c>
      <c r="X104" s="40"/>
      <c r="Y104" s="40" t="s">
        <v>282</v>
      </c>
      <c r="Z104" s="46">
        <v>0.54374999999999996</v>
      </c>
      <c r="AA104" s="46">
        <v>0.54374999999999996</v>
      </c>
      <c r="AB104" s="46">
        <v>0.54374999999999996</v>
      </c>
      <c r="AC104" s="46">
        <v>0.5756944444444444</v>
      </c>
      <c r="AD104" s="44">
        <f>IF(PA[[#This Row],[Acknowledgement Time ]]="NA","",(PA[[#This Row],[Acknowledgement Time ]]-PA[[#This Row],[Fault Time]])*24)</f>
        <v>0</v>
      </c>
      <c r="AE104" s="44">
        <f>IF(PA[[#This Row],[Work Start time on Fault]]="NA","",(PA[[#This Row],[Work Start time on Fault]]-PA[[#This Row],[Fault Time]])*24)</f>
        <v>0</v>
      </c>
      <c r="AF104" s="45">
        <f>IF(PA[[#This Row],[Status]]="Open","",(PA[[#This Row],[Work Completion time on fault]]-PA[[#This Row],[Fault Time]])*24)</f>
        <v>0.76666666666666661</v>
      </c>
      <c r="AG104" s="44">
        <f>IFERROR((PA[[#This Row],[Work Completion time on fault]]-PA[[#This Row],[Fault Time]])*24,"")</f>
        <v>0.76666666666666661</v>
      </c>
      <c r="AH104" s="284" t="s">
        <v>283</v>
      </c>
      <c r="AI104" s="33" t="s">
        <v>235</v>
      </c>
      <c r="AJ104" s="35" t="str">
        <f>IFERROR(PA[[#This Row],[Breakdown Time]]*PA[[#This Row],[Plant Equivalent Weightage]],"")</f>
        <v/>
      </c>
      <c r="AK104" s="36">
        <v>0.41501597666666667</v>
      </c>
      <c r="AL104" s="51" t="str">
        <f>IFERROR((_xlfn.XLOOKUP($G104,'Modelling New'!D:D,'Modelling New'!$O:$O)*PA[[#This Row],[Lost PoA(kWh/m2)]]*PA[[#This Row],[DC Capacity Affected (kW)]]),"")</f>
        <v/>
      </c>
      <c r="AM104" s="33"/>
      <c r="AN104" s="33"/>
      <c r="AO104" s="33"/>
      <c r="AP104" s="33"/>
    </row>
    <row r="105" spans="1:42">
      <c r="A105" s="30">
        <v>104</v>
      </c>
      <c r="B105" s="31"/>
      <c r="C105" s="32">
        <f>YEAR(PA[[#This Row],[Date]])+IF(MONTH(PA[[#This Row],[Date]])&gt;=4,1,0)</f>
        <v>1900</v>
      </c>
      <c r="D105" s="32">
        <f>YEAR(PA[[#This Row],[Date]])</f>
        <v>1900</v>
      </c>
      <c r="E105" s="33" t="s">
        <v>157</v>
      </c>
      <c r="F105" s="33" t="s">
        <v>157</v>
      </c>
      <c r="G105" s="194">
        <f>PA[[#This Row],[Date]]-DAY(PA[[#This Row],[Date]])+1</f>
        <v>1</v>
      </c>
      <c r="H105" s="32">
        <f>DAY(EOMONTH(PA[[#This Row],[Month Year]],0))</f>
        <v>31</v>
      </c>
      <c r="I105" s="121"/>
      <c r="J105" s="121"/>
      <c r="K105" s="35">
        <f>IFERROR((PA[[#This Row],[Sunset Time (POA&lt;20 W/m2)]]-PA[[#This Row],[Sunrise Time (POA&gt;20 W/m2)]])*24,"")</f>
        <v>0</v>
      </c>
      <c r="L105" s="33"/>
      <c r="M105" s="33"/>
      <c r="N105" s="33"/>
      <c r="O105" s="36"/>
      <c r="P105" s="36"/>
      <c r="Q105" s="33"/>
      <c r="R105" s="32">
        <f>IF((PA[[#This Row],[String Type(If String BD)]]&amp;PA[[#This Row],[Equipment (If any BD other than PV  array and inv)]])="",1,0)</f>
        <v>1</v>
      </c>
      <c r="S105" s="32">
        <f>IF(PA[[#This Row],[String Type(If String BD)]]="",1,0)</f>
        <v>1</v>
      </c>
      <c r="T1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5" s="35" t="str">
        <f>IFERROR(_xlfn.XLOOKUP(PA[[#This Row],[Affected Equipment ]],'Basic Data'!N:N,'Basic Data'!Q:Q),"")</f>
        <v/>
      </c>
      <c r="V105" s="39" t="str">
        <f>IFERROR(_xlfn.XLOOKUP(PA[[#This Row],[Affected Equipment ]],'Basic Data'!N:N,'Basic Data'!R:R),"")</f>
        <v/>
      </c>
      <c r="W105" s="36" t="s">
        <v>281</v>
      </c>
      <c r="X105" s="40"/>
      <c r="Y105" s="40" t="s">
        <v>282</v>
      </c>
      <c r="Z105" s="46">
        <v>0.54374999999999996</v>
      </c>
      <c r="AA105" s="46">
        <v>0.54374999999999996</v>
      </c>
      <c r="AB105" s="46">
        <v>0.54374999999999996</v>
      </c>
      <c r="AC105" s="46">
        <v>0.56597222222222221</v>
      </c>
      <c r="AD105" s="44">
        <f>IF(PA[[#This Row],[Acknowledgement Time ]]="NA","",(PA[[#This Row],[Acknowledgement Time ]]-PA[[#This Row],[Fault Time]])*24)</f>
        <v>0</v>
      </c>
      <c r="AE105" s="44">
        <f>IF(PA[[#This Row],[Work Start time on Fault]]="NA","",(PA[[#This Row],[Work Start time on Fault]]-PA[[#This Row],[Fault Time]])*24)</f>
        <v>0</v>
      </c>
      <c r="AF105" s="45">
        <f>IF(PA[[#This Row],[Status]]="Open","",(PA[[#This Row],[Work Completion time on fault]]-PA[[#This Row],[Fault Time]])*24)</f>
        <v>0.5333333333333341</v>
      </c>
      <c r="AG105" s="44">
        <f>IFERROR((PA[[#This Row],[Work Completion time on fault]]-PA[[#This Row],[Fault Time]])*24,"")</f>
        <v>0.5333333333333341</v>
      </c>
      <c r="AH105" s="284" t="s">
        <v>283</v>
      </c>
      <c r="AI105" s="33" t="s">
        <v>235</v>
      </c>
      <c r="AJ105" s="35" t="str">
        <f>IFERROR(PA[[#This Row],[Breakdown Time]]*PA[[#This Row],[Plant Equivalent Weightage]],"")</f>
        <v/>
      </c>
      <c r="AK105" s="36">
        <v>0.35819696666666667</v>
      </c>
      <c r="AL105" s="51" t="str">
        <f>IFERROR((_xlfn.XLOOKUP($G105,'Modelling New'!D:D,'Modelling New'!$O:$O)*PA[[#This Row],[Lost PoA(kWh/m2)]]*PA[[#This Row],[DC Capacity Affected (kW)]]),"")</f>
        <v/>
      </c>
      <c r="AM105" s="33"/>
      <c r="AN105" s="33"/>
      <c r="AO105" s="33"/>
      <c r="AP105" s="33"/>
    </row>
    <row r="106" spans="1:42">
      <c r="A106" s="30">
        <v>105</v>
      </c>
      <c r="B106" s="31"/>
      <c r="C106" s="32">
        <f>YEAR(PA[[#This Row],[Date]])+IF(MONTH(PA[[#This Row],[Date]])&gt;=4,1,0)</f>
        <v>1900</v>
      </c>
      <c r="D106" s="32">
        <f>YEAR(PA[[#This Row],[Date]])</f>
        <v>1900</v>
      </c>
      <c r="E106" s="33" t="s">
        <v>157</v>
      </c>
      <c r="F106" s="33" t="s">
        <v>157</v>
      </c>
      <c r="G106" s="194">
        <f>PA[[#This Row],[Date]]-DAY(PA[[#This Row],[Date]])+1</f>
        <v>1</v>
      </c>
      <c r="H106" s="32">
        <f>DAY(EOMONTH(PA[[#This Row],[Month Year]],0))</f>
        <v>31</v>
      </c>
      <c r="I106" s="121"/>
      <c r="J106" s="121"/>
      <c r="K106" s="35">
        <f>IFERROR((PA[[#This Row],[Sunset Time (POA&lt;20 W/m2)]]-PA[[#This Row],[Sunrise Time (POA&gt;20 W/m2)]])*24,"")</f>
        <v>0</v>
      </c>
      <c r="L106" s="33"/>
      <c r="M106" s="33"/>
      <c r="N106" s="33"/>
      <c r="O106" s="36"/>
      <c r="P106" s="36"/>
      <c r="Q106" s="33"/>
      <c r="R106" s="32">
        <f>IF((PA[[#This Row],[String Type(If String BD)]]&amp;PA[[#This Row],[Equipment (If any BD other than PV  array and inv)]])="",1,0)</f>
        <v>1</v>
      </c>
      <c r="S106" s="32">
        <f>IF(PA[[#This Row],[String Type(If String BD)]]="",1,0)</f>
        <v>1</v>
      </c>
      <c r="T1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6" s="35" t="str">
        <f>IFERROR(_xlfn.XLOOKUP(PA[[#This Row],[Affected Equipment ]],'Basic Data'!N:N,'Basic Data'!Q:Q),"")</f>
        <v/>
      </c>
      <c r="V106" s="39" t="str">
        <f>IFERROR(_xlfn.XLOOKUP(PA[[#This Row],[Affected Equipment ]],'Basic Data'!N:N,'Basic Data'!R:R),"")</f>
        <v/>
      </c>
      <c r="W106" s="36" t="s">
        <v>281</v>
      </c>
      <c r="X106" s="40"/>
      <c r="Y106" s="40" t="s">
        <v>282</v>
      </c>
      <c r="Z106" s="46">
        <v>0.54374999999999996</v>
      </c>
      <c r="AA106" s="46">
        <v>0.54374999999999996</v>
      </c>
      <c r="AB106" s="46">
        <v>0.54374999999999996</v>
      </c>
      <c r="AC106" s="46">
        <v>0.56597222222222221</v>
      </c>
      <c r="AD106" s="44">
        <f>IF(PA[[#This Row],[Acknowledgement Time ]]="NA","",(PA[[#This Row],[Acknowledgement Time ]]-PA[[#This Row],[Fault Time]])*24)</f>
        <v>0</v>
      </c>
      <c r="AE106" s="44">
        <f>IF(PA[[#This Row],[Work Start time on Fault]]="NA","",(PA[[#This Row],[Work Start time on Fault]]-PA[[#This Row],[Fault Time]])*24)</f>
        <v>0</v>
      </c>
      <c r="AF106" s="45">
        <f>IF(PA[[#This Row],[Status]]="Open","",(PA[[#This Row],[Work Completion time on fault]]-PA[[#This Row],[Fault Time]])*24)</f>
        <v>0.5333333333333341</v>
      </c>
      <c r="AG106" s="44">
        <f>IFERROR((PA[[#This Row],[Work Completion time on fault]]-PA[[#This Row],[Fault Time]])*24,"")</f>
        <v>0.5333333333333341</v>
      </c>
      <c r="AH106" s="284" t="s">
        <v>283</v>
      </c>
      <c r="AI106" s="33" t="s">
        <v>235</v>
      </c>
      <c r="AJ106" s="35" t="str">
        <f>IFERROR(PA[[#This Row],[Breakdown Time]]*PA[[#This Row],[Plant Equivalent Weightage]],"")</f>
        <v/>
      </c>
      <c r="AK106" s="36">
        <v>0.35819696666666667</v>
      </c>
      <c r="AL106" s="51" t="str">
        <f>IFERROR((_xlfn.XLOOKUP($G106,'Modelling New'!D:D,'Modelling New'!$O:$O)*PA[[#This Row],[Lost PoA(kWh/m2)]]*PA[[#This Row],[DC Capacity Affected (kW)]]),"")</f>
        <v/>
      </c>
      <c r="AM106" s="33"/>
      <c r="AN106" s="33"/>
      <c r="AO106" s="33"/>
      <c r="AP106" s="33"/>
    </row>
    <row r="107" spans="1:42">
      <c r="A107" s="30">
        <v>106</v>
      </c>
      <c r="B107" s="31"/>
      <c r="C107" s="32">
        <f>YEAR(PA[[#This Row],[Date]])+IF(MONTH(PA[[#This Row],[Date]])&gt;=4,1,0)</f>
        <v>1900</v>
      </c>
      <c r="D107" s="32">
        <f>YEAR(PA[[#This Row],[Date]])</f>
        <v>1900</v>
      </c>
      <c r="E107" s="33" t="s">
        <v>157</v>
      </c>
      <c r="F107" s="33" t="s">
        <v>157</v>
      </c>
      <c r="G107" s="194">
        <f>PA[[#This Row],[Date]]-DAY(PA[[#This Row],[Date]])+1</f>
        <v>1</v>
      </c>
      <c r="H107" s="32">
        <f>DAY(EOMONTH(PA[[#This Row],[Month Year]],0))</f>
        <v>31</v>
      </c>
      <c r="I107" s="121"/>
      <c r="J107" s="121"/>
      <c r="K107" s="35">
        <f>IFERROR((PA[[#This Row],[Sunset Time (POA&lt;20 W/m2)]]-PA[[#This Row],[Sunrise Time (POA&gt;20 W/m2)]])*24,"")</f>
        <v>0</v>
      </c>
      <c r="L107" s="33"/>
      <c r="M107" s="33"/>
      <c r="N107" s="33"/>
      <c r="O107" s="36"/>
      <c r="P107" s="36"/>
      <c r="Q107" s="33"/>
      <c r="R107" s="32">
        <f>IF((PA[[#This Row],[String Type(If String BD)]]&amp;PA[[#This Row],[Equipment (If any BD other than PV  array and inv)]])="",1,0)</f>
        <v>1</v>
      </c>
      <c r="S107" s="32">
        <f>IF(PA[[#This Row],[String Type(If String BD)]]="",1,0)</f>
        <v>1</v>
      </c>
      <c r="T1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7" s="35" t="str">
        <f>IFERROR(_xlfn.XLOOKUP(PA[[#This Row],[Affected Equipment ]],'Basic Data'!N:N,'Basic Data'!Q:Q),"")</f>
        <v/>
      </c>
      <c r="V107" s="39" t="str">
        <f>IFERROR(_xlfn.XLOOKUP(PA[[#This Row],[Affected Equipment ]],'Basic Data'!N:N,'Basic Data'!R:R),"")</f>
        <v/>
      </c>
      <c r="W107" s="36" t="s">
        <v>232</v>
      </c>
      <c r="X107" s="40"/>
      <c r="Y107" s="283" t="s">
        <v>270</v>
      </c>
      <c r="Z107" s="46">
        <v>0.5131944444444444</v>
      </c>
      <c r="AA107" s="46">
        <v>0.5131944444444444</v>
      </c>
      <c r="AB107" s="46">
        <v>0.5131944444444444</v>
      </c>
      <c r="AC107" s="46">
        <v>0.53749999999999998</v>
      </c>
      <c r="AD107" s="44">
        <f>IF(PA[[#This Row],[Acknowledgement Time ]]="NA","",(PA[[#This Row],[Acknowledgement Time ]]-PA[[#This Row],[Fault Time]])*24)</f>
        <v>0</v>
      </c>
      <c r="AE107" s="44">
        <f>IF(PA[[#This Row],[Work Start time on Fault]]="NA","",(PA[[#This Row],[Work Start time on Fault]]-PA[[#This Row],[Fault Time]])*24)</f>
        <v>0</v>
      </c>
      <c r="AF107" s="45">
        <f>IF(PA[[#This Row],[Status]]="Open","",(PA[[#This Row],[Work Completion time on fault]]-PA[[#This Row],[Fault Time]])*24)</f>
        <v>0.58333333333333393</v>
      </c>
      <c r="AG107" s="44">
        <f>IFERROR((PA[[#This Row],[Work Completion time on fault]]-PA[[#This Row],[Fault Time]])*24,"")</f>
        <v>0.58333333333333393</v>
      </c>
      <c r="AH107" s="36" t="s">
        <v>234</v>
      </c>
      <c r="AI107" s="33" t="s">
        <v>235</v>
      </c>
      <c r="AJ107" s="35" t="str">
        <f>IFERROR(PA[[#This Row],[Breakdown Time]]*PA[[#This Row],[Plant Equivalent Weightage]],"")</f>
        <v/>
      </c>
      <c r="AK107" s="36">
        <v>0.42487921499999998</v>
      </c>
      <c r="AL107" s="51" t="str">
        <f>IFERROR((_xlfn.XLOOKUP($G107,'Modelling New'!D:D,'Modelling New'!$O:$O)*PA[[#This Row],[Lost PoA(kWh/m2)]]*PA[[#This Row],[DC Capacity Affected (kW)]]),"")</f>
        <v/>
      </c>
      <c r="AM107" s="33"/>
      <c r="AN107" s="33"/>
      <c r="AO107" s="33"/>
      <c r="AP107" s="33"/>
    </row>
    <row r="108" spans="1:42">
      <c r="A108" s="30">
        <v>107</v>
      </c>
      <c r="B108" s="31"/>
      <c r="C108" s="32">
        <f>YEAR(PA[[#This Row],[Date]])+IF(MONTH(PA[[#This Row],[Date]])&gt;=4,1,0)</f>
        <v>1900</v>
      </c>
      <c r="D108" s="32">
        <f>YEAR(PA[[#This Row],[Date]])</f>
        <v>1900</v>
      </c>
      <c r="E108" s="33" t="s">
        <v>157</v>
      </c>
      <c r="F108" s="33" t="s">
        <v>157</v>
      </c>
      <c r="G108" s="194">
        <f>PA[[#This Row],[Date]]-DAY(PA[[#This Row],[Date]])+1</f>
        <v>1</v>
      </c>
      <c r="H108" s="32">
        <f>DAY(EOMONTH(PA[[#This Row],[Month Year]],0))</f>
        <v>31</v>
      </c>
      <c r="I108" s="121"/>
      <c r="J108" s="121"/>
      <c r="K108" s="35">
        <f>IFERROR((PA[[#This Row],[Sunset Time (POA&lt;20 W/m2)]]-PA[[#This Row],[Sunrise Time (POA&gt;20 W/m2)]])*24,"")</f>
        <v>0</v>
      </c>
      <c r="L108" s="33"/>
      <c r="M108" s="33"/>
      <c r="N108" s="33"/>
      <c r="O108" s="36"/>
      <c r="P108" s="36"/>
      <c r="Q108" s="33"/>
      <c r="R108" s="32">
        <f>IF((PA[[#This Row],[String Type(If String BD)]]&amp;PA[[#This Row],[Equipment (If any BD other than PV  array and inv)]])="",1,0)</f>
        <v>1</v>
      </c>
      <c r="S108" s="32">
        <f>IF(PA[[#This Row],[String Type(If String BD)]]="",1,0)</f>
        <v>1</v>
      </c>
      <c r="T1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8" s="35" t="str">
        <f>IFERROR(_xlfn.XLOOKUP(PA[[#This Row],[Affected Equipment ]],'Basic Data'!N:N,'Basic Data'!Q:Q),"")</f>
        <v/>
      </c>
      <c r="V108" s="39" t="str">
        <f>IFERROR(_xlfn.XLOOKUP(PA[[#This Row],[Affected Equipment ]],'Basic Data'!N:N,'Basic Data'!R:R),"")</f>
        <v/>
      </c>
      <c r="W108" s="36" t="s">
        <v>232</v>
      </c>
      <c r="X108" s="40"/>
      <c r="Y108" s="283" t="s">
        <v>270</v>
      </c>
      <c r="Z108" s="46">
        <v>0.5131944444444444</v>
      </c>
      <c r="AA108" s="46">
        <v>0.5131944444444444</v>
      </c>
      <c r="AB108" s="46">
        <v>0.5131944444444444</v>
      </c>
      <c r="AC108" s="46">
        <v>0.53749999999999998</v>
      </c>
      <c r="AD108" s="44">
        <f>IF(PA[[#This Row],[Acknowledgement Time ]]="NA","",(PA[[#This Row],[Acknowledgement Time ]]-PA[[#This Row],[Fault Time]])*24)</f>
        <v>0</v>
      </c>
      <c r="AE108" s="44">
        <f>IF(PA[[#This Row],[Work Start time on Fault]]="NA","",(PA[[#This Row],[Work Start time on Fault]]-PA[[#This Row],[Fault Time]])*24)</f>
        <v>0</v>
      </c>
      <c r="AF108" s="45">
        <f>IF(PA[[#This Row],[Status]]="Open","",(PA[[#This Row],[Work Completion time on fault]]-PA[[#This Row],[Fault Time]])*24)</f>
        <v>0.58333333333333393</v>
      </c>
      <c r="AG108" s="44">
        <f>IFERROR((PA[[#This Row],[Work Completion time on fault]]-PA[[#This Row],[Fault Time]])*24,"")</f>
        <v>0.58333333333333393</v>
      </c>
      <c r="AH108" s="36" t="s">
        <v>234</v>
      </c>
      <c r="AI108" s="33" t="s">
        <v>235</v>
      </c>
      <c r="AJ108" s="35" t="str">
        <f>IFERROR(PA[[#This Row],[Breakdown Time]]*PA[[#This Row],[Plant Equivalent Weightage]],"")</f>
        <v/>
      </c>
      <c r="AK108" s="36">
        <v>0.42487921499999998</v>
      </c>
      <c r="AL108" s="51" t="str">
        <f>IFERROR((_xlfn.XLOOKUP($G108,'Modelling New'!D:D,'Modelling New'!$O:$O)*PA[[#This Row],[Lost PoA(kWh/m2)]]*PA[[#This Row],[DC Capacity Affected (kW)]]),"")</f>
        <v/>
      </c>
      <c r="AM108" s="33"/>
      <c r="AN108" s="33"/>
      <c r="AO108" s="33"/>
      <c r="AP108" s="33"/>
    </row>
    <row r="109" spans="1:42">
      <c r="A109" s="30">
        <v>108</v>
      </c>
      <c r="B109" s="31"/>
      <c r="C109" s="32">
        <f>YEAR(PA[[#This Row],[Date]])+IF(MONTH(PA[[#This Row],[Date]])&gt;=4,1,0)</f>
        <v>1900</v>
      </c>
      <c r="D109" s="32">
        <f>YEAR(PA[[#This Row],[Date]])</f>
        <v>1900</v>
      </c>
      <c r="E109" s="33" t="s">
        <v>157</v>
      </c>
      <c r="F109" s="33" t="s">
        <v>157</v>
      </c>
      <c r="G109" s="194">
        <f>PA[[#This Row],[Date]]-DAY(PA[[#This Row],[Date]])+1</f>
        <v>1</v>
      </c>
      <c r="H109" s="32">
        <f>DAY(EOMONTH(PA[[#This Row],[Month Year]],0))</f>
        <v>31</v>
      </c>
      <c r="I109" s="121"/>
      <c r="J109" s="121"/>
      <c r="K109" s="35">
        <f>IFERROR((PA[[#This Row],[Sunset Time (POA&lt;20 W/m2)]]-PA[[#This Row],[Sunrise Time (POA&gt;20 W/m2)]])*24,"")</f>
        <v>0</v>
      </c>
      <c r="L109" s="33"/>
      <c r="M109" s="33"/>
      <c r="N109" s="33"/>
      <c r="O109" s="36"/>
      <c r="P109" s="36"/>
      <c r="Q109" s="33"/>
      <c r="R109" s="32">
        <f>IF((PA[[#This Row],[String Type(If String BD)]]&amp;PA[[#This Row],[Equipment (If any BD other than PV  array and inv)]])="",1,0)</f>
        <v>1</v>
      </c>
      <c r="S109" s="32">
        <f>IF(PA[[#This Row],[String Type(If String BD)]]="",1,0)</f>
        <v>1</v>
      </c>
      <c r="T1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09" s="35" t="str">
        <f>IFERROR(_xlfn.XLOOKUP(PA[[#This Row],[Affected Equipment ]],'Basic Data'!N:N,'Basic Data'!Q:Q),"")</f>
        <v/>
      </c>
      <c r="V109" s="39" t="str">
        <f>IFERROR(_xlfn.XLOOKUP(PA[[#This Row],[Affected Equipment ]],'Basic Data'!N:N,'Basic Data'!R:R),"")</f>
        <v/>
      </c>
      <c r="W109" s="36" t="s">
        <v>285</v>
      </c>
      <c r="X109" s="40"/>
      <c r="Y109" s="40" t="s">
        <v>286</v>
      </c>
      <c r="Z109" s="46">
        <v>0.25416666666666665</v>
      </c>
      <c r="AA109" s="46">
        <v>0.25416666666666665</v>
      </c>
      <c r="AB109" s="46">
        <v>0.25416666666666665</v>
      </c>
      <c r="AC109" s="46">
        <v>0.67013888888888884</v>
      </c>
      <c r="AD109" s="44">
        <f>IF(PA[[#This Row],[Acknowledgement Time ]]="NA","",(PA[[#This Row],[Acknowledgement Time ]]-PA[[#This Row],[Fault Time]])*24)</f>
        <v>0</v>
      </c>
      <c r="AE109" s="44">
        <f>IF(PA[[#This Row],[Work Start time on Fault]]="NA","",(PA[[#This Row],[Work Start time on Fault]]-PA[[#This Row],[Fault Time]])*24)</f>
        <v>0</v>
      </c>
      <c r="AF109" s="45">
        <f>IF(PA[[#This Row],[Status]]="Open","",(PA[[#This Row],[Work Completion time on fault]]-PA[[#This Row],[Fault Time]])*24)</f>
        <v>9.9833333333333325</v>
      </c>
      <c r="AG109" s="44">
        <f>IFERROR((PA[[#This Row],[Work Completion time on fault]]-PA[[#This Row],[Fault Time]])*24,"")</f>
        <v>9.9833333333333325</v>
      </c>
      <c r="AH109" s="36" t="s">
        <v>287</v>
      </c>
      <c r="AI109" s="33" t="s">
        <v>235</v>
      </c>
      <c r="AJ109" s="35" t="str">
        <f>IFERROR(PA[[#This Row],[Breakdown Time]]*PA[[#This Row],[Plant Equivalent Weightage]],"")</f>
        <v/>
      </c>
      <c r="AK109" s="36">
        <v>3.1901918500000002</v>
      </c>
      <c r="AL109" s="51" t="str">
        <f>IFERROR((_xlfn.XLOOKUP($G109,'Modelling New'!D:D,'Modelling New'!$O:$O)*PA[[#This Row],[Lost PoA(kWh/m2)]]*PA[[#This Row],[DC Capacity Affected (kW)]]),"")</f>
        <v/>
      </c>
      <c r="AM109" s="33"/>
      <c r="AN109" s="33"/>
      <c r="AO109" s="33"/>
      <c r="AP109" s="33"/>
    </row>
    <row r="110" spans="1:42">
      <c r="A110" s="30">
        <v>109</v>
      </c>
      <c r="B110" s="31"/>
      <c r="C110" s="32">
        <f>YEAR(PA[[#This Row],[Date]])+IF(MONTH(PA[[#This Row],[Date]])&gt;=4,1,0)</f>
        <v>1900</v>
      </c>
      <c r="D110" s="32">
        <f>YEAR(PA[[#This Row],[Date]])</f>
        <v>1900</v>
      </c>
      <c r="E110" s="33" t="s">
        <v>157</v>
      </c>
      <c r="F110" s="33" t="s">
        <v>157</v>
      </c>
      <c r="G110" s="194">
        <f>PA[[#This Row],[Date]]-DAY(PA[[#This Row],[Date]])+1</f>
        <v>1</v>
      </c>
      <c r="H110" s="32">
        <f>DAY(EOMONTH(PA[[#This Row],[Month Year]],0))</f>
        <v>31</v>
      </c>
      <c r="I110" s="121"/>
      <c r="J110" s="121"/>
      <c r="K110" s="35">
        <f>IFERROR((PA[[#This Row],[Sunset Time (POA&lt;20 W/m2)]]-PA[[#This Row],[Sunrise Time (POA&gt;20 W/m2)]])*24,"")</f>
        <v>0</v>
      </c>
      <c r="L110" s="33"/>
      <c r="M110" s="33"/>
      <c r="N110" s="33"/>
      <c r="O110" s="36"/>
      <c r="P110" s="36"/>
      <c r="Q110" s="33"/>
      <c r="R110" s="32">
        <f>IF((PA[[#This Row],[String Type(If String BD)]]&amp;PA[[#This Row],[Equipment (If any BD other than PV  array and inv)]])="",1,0)</f>
        <v>1</v>
      </c>
      <c r="S110" s="32">
        <f>IF(PA[[#This Row],[String Type(If String BD)]]="",1,0)</f>
        <v>1</v>
      </c>
      <c r="T1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0" s="35" t="str">
        <f>IFERROR(_xlfn.XLOOKUP(PA[[#This Row],[Affected Equipment ]],'Basic Data'!N:N,'Basic Data'!Q:Q),"")</f>
        <v/>
      </c>
      <c r="V110" s="39" t="str">
        <f>IFERROR(_xlfn.XLOOKUP(PA[[#This Row],[Affected Equipment ]],'Basic Data'!N:N,'Basic Data'!R:R),"")</f>
        <v/>
      </c>
      <c r="W110" s="36" t="s">
        <v>285</v>
      </c>
      <c r="X110" s="40"/>
      <c r="Y110" s="40" t="s">
        <v>286</v>
      </c>
      <c r="Z110" s="46">
        <v>0.25069444444444444</v>
      </c>
      <c r="AA110" s="46">
        <v>0.25069444444444444</v>
      </c>
      <c r="AB110" s="46">
        <v>0.25069444444444444</v>
      </c>
      <c r="AC110" s="46">
        <v>0.73611111111111116</v>
      </c>
      <c r="AD110" s="44">
        <f>IF(PA[[#This Row],[Acknowledgement Time ]]="NA","",(PA[[#This Row],[Acknowledgement Time ]]-PA[[#This Row],[Fault Time]])*24)</f>
        <v>0</v>
      </c>
      <c r="AE110" s="44">
        <f>IF(PA[[#This Row],[Work Start time on Fault]]="NA","",(PA[[#This Row],[Work Start time on Fault]]-PA[[#This Row],[Fault Time]])*24)</f>
        <v>0</v>
      </c>
      <c r="AF110" s="45">
        <f>IF(PA[[#This Row],[Status]]="Open","",(PA[[#This Row],[Work Completion time on fault]]-PA[[#This Row],[Fault Time]])*24)</f>
        <v>11.650000000000002</v>
      </c>
      <c r="AG110" s="44">
        <f>IFERROR((PA[[#This Row],[Work Completion time on fault]]-PA[[#This Row],[Fault Time]])*24,"")</f>
        <v>11.650000000000002</v>
      </c>
      <c r="AH110" s="36" t="s">
        <v>287</v>
      </c>
      <c r="AI110" s="33" t="s">
        <v>235</v>
      </c>
      <c r="AJ110" s="35" t="str">
        <f>IFERROR(PA[[#This Row],[Breakdown Time]]*PA[[#This Row],[Plant Equivalent Weightage]],"")</f>
        <v/>
      </c>
      <c r="AK110" s="36">
        <v>6.0187588333333339</v>
      </c>
      <c r="AL110" s="51" t="str">
        <f>IFERROR((_xlfn.XLOOKUP($G110,'Modelling New'!D:D,'Modelling New'!$O:$O)*PA[[#This Row],[Lost PoA(kWh/m2)]]*PA[[#This Row],[DC Capacity Affected (kW)]]),"")</f>
        <v/>
      </c>
      <c r="AM110" s="33"/>
      <c r="AN110" s="33"/>
      <c r="AO110" s="33"/>
      <c r="AP110" s="33"/>
    </row>
    <row r="111" spans="1:42">
      <c r="A111" s="30">
        <v>110</v>
      </c>
      <c r="B111" s="31"/>
      <c r="C111" s="32">
        <f>YEAR(PA[[#This Row],[Date]])+IF(MONTH(PA[[#This Row],[Date]])&gt;=4,1,0)</f>
        <v>1900</v>
      </c>
      <c r="D111" s="32">
        <f>YEAR(PA[[#This Row],[Date]])</f>
        <v>1900</v>
      </c>
      <c r="E111" s="33" t="s">
        <v>157</v>
      </c>
      <c r="F111" s="33" t="s">
        <v>157</v>
      </c>
      <c r="G111" s="194">
        <f>PA[[#This Row],[Date]]-DAY(PA[[#This Row],[Date]])+1</f>
        <v>1</v>
      </c>
      <c r="H111" s="32">
        <f>DAY(EOMONTH(PA[[#This Row],[Month Year]],0))</f>
        <v>31</v>
      </c>
      <c r="I111" s="121"/>
      <c r="J111" s="121"/>
      <c r="K111" s="35">
        <f>IFERROR((PA[[#This Row],[Sunset Time (POA&lt;20 W/m2)]]-PA[[#This Row],[Sunrise Time (POA&gt;20 W/m2)]])*24,"")</f>
        <v>0</v>
      </c>
      <c r="L111" s="33"/>
      <c r="M111" s="33"/>
      <c r="N111" s="33"/>
      <c r="O111" s="36"/>
      <c r="P111" s="36"/>
      <c r="Q111" s="33"/>
      <c r="R111" s="32">
        <f>IF((PA[[#This Row],[String Type(If String BD)]]&amp;PA[[#This Row],[Equipment (If any BD other than PV  array and inv)]])="",1,0)</f>
        <v>1</v>
      </c>
      <c r="S111" s="32">
        <f>IF(PA[[#This Row],[String Type(If String BD)]]="",1,0)</f>
        <v>1</v>
      </c>
      <c r="T1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1" s="35" t="str">
        <f>IFERROR(_xlfn.XLOOKUP(PA[[#This Row],[Affected Equipment ]],'Basic Data'!N:N,'Basic Data'!Q:Q),"")</f>
        <v/>
      </c>
      <c r="V111" s="39" t="str">
        <f>IFERROR(_xlfn.XLOOKUP(PA[[#This Row],[Affected Equipment ]],'Basic Data'!N:N,'Basic Data'!R:R),"")</f>
        <v/>
      </c>
      <c r="W111" s="36" t="s">
        <v>285</v>
      </c>
      <c r="X111" s="40"/>
      <c r="Y111" s="40" t="s">
        <v>289</v>
      </c>
      <c r="Z111" s="46">
        <v>0.26041666666666669</v>
      </c>
      <c r="AA111" s="46">
        <v>0.26041666666666669</v>
      </c>
      <c r="AB111" s="46">
        <v>0.26041666666666669</v>
      </c>
      <c r="AC111" s="46">
        <v>0.58333333333333337</v>
      </c>
      <c r="AD111" s="44">
        <f>IF(PA[[#This Row],[Acknowledgement Time ]]="NA","",(PA[[#This Row],[Acknowledgement Time ]]-PA[[#This Row],[Fault Time]])*24)</f>
        <v>0</v>
      </c>
      <c r="AE111" s="44">
        <f>IF(PA[[#This Row],[Work Start time on Fault]]="NA","",(PA[[#This Row],[Work Start time on Fault]]-PA[[#This Row],[Fault Time]])*24)</f>
        <v>0</v>
      </c>
      <c r="AF111" s="45">
        <f>IF(PA[[#This Row],[Status]]="Open","",(PA[[#This Row],[Work Completion time on fault]]-PA[[#This Row],[Fault Time]])*24)</f>
        <v>7.75</v>
      </c>
      <c r="AG111" s="44">
        <f>IFERROR((PA[[#This Row],[Work Completion time on fault]]-PA[[#This Row],[Fault Time]])*24,"")</f>
        <v>7.75</v>
      </c>
      <c r="AH111" s="36" t="s">
        <v>290</v>
      </c>
      <c r="AI111" s="33" t="s">
        <v>235</v>
      </c>
      <c r="AJ111" s="35" t="str">
        <f>IFERROR(PA[[#This Row],[Breakdown Time]]*PA[[#This Row],[Plant Equivalent Weightage]],"")</f>
        <v/>
      </c>
      <c r="AK111" s="36">
        <v>4.9279999999999999</v>
      </c>
      <c r="AL111" s="51" t="str">
        <f>IFERROR((_xlfn.XLOOKUP($G111,'Modelling New'!D:D,'Modelling New'!$O:$O)*PA[[#This Row],[Lost PoA(kWh/m2)]]*PA[[#This Row],[DC Capacity Affected (kW)]]),"")</f>
        <v/>
      </c>
      <c r="AM111" s="33"/>
      <c r="AN111" s="33"/>
      <c r="AO111" s="33"/>
      <c r="AP111" s="33"/>
    </row>
    <row r="112" spans="1:42">
      <c r="A112" s="30">
        <v>111</v>
      </c>
      <c r="B112" s="31"/>
      <c r="C112" s="32">
        <f>YEAR(PA[[#This Row],[Date]])+IF(MONTH(PA[[#This Row],[Date]])&gt;=4,1,0)</f>
        <v>1900</v>
      </c>
      <c r="D112" s="32">
        <f>YEAR(PA[[#This Row],[Date]])</f>
        <v>1900</v>
      </c>
      <c r="E112" s="33" t="s">
        <v>157</v>
      </c>
      <c r="F112" s="33" t="s">
        <v>157</v>
      </c>
      <c r="G112" s="194">
        <f>PA[[#This Row],[Date]]-DAY(PA[[#This Row],[Date]])+1</f>
        <v>1</v>
      </c>
      <c r="H112" s="32">
        <f>DAY(EOMONTH(PA[[#This Row],[Month Year]],0))</f>
        <v>31</v>
      </c>
      <c r="I112" s="121"/>
      <c r="J112" s="121"/>
      <c r="K112" s="35">
        <f>IFERROR((PA[[#This Row],[Sunset Time (POA&lt;20 W/m2)]]-PA[[#This Row],[Sunrise Time (POA&gt;20 W/m2)]])*24,"")</f>
        <v>0</v>
      </c>
      <c r="L112" s="33"/>
      <c r="M112" s="33"/>
      <c r="N112" s="33"/>
      <c r="O112" s="36"/>
      <c r="P112" s="36"/>
      <c r="Q112" s="33"/>
      <c r="R112" s="32">
        <f>IF((PA[[#This Row],[String Type(If String BD)]]&amp;PA[[#This Row],[Equipment (If any BD other than PV  array and inv)]])="",1,0)</f>
        <v>1</v>
      </c>
      <c r="S112" s="32">
        <f>IF(PA[[#This Row],[String Type(If String BD)]]="",1,0)</f>
        <v>1</v>
      </c>
      <c r="T1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2" s="35" t="str">
        <f>IFERROR(_xlfn.XLOOKUP(PA[[#This Row],[Affected Equipment ]],'Basic Data'!N:N,'Basic Data'!Q:Q),"")</f>
        <v/>
      </c>
      <c r="V112" s="39" t="str">
        <f>IFERROR(_xlfn.XLOOKUP(PA[[#This Row],[Affected Equipment ]],'Basic Data'!N:N,'Basic Data'!R:R),"")</f>
        <v/>
      </c>
      <c r="W112" s="36" t="s">
        <v>285</v>
      </c>
      <c r="X112" s="40"/>
      <c r="Y112" s="40" t="s">
        <v>289</v>
      </c>
      <c r="Z112" s="46">
        <v>0.26041666666666669</v>
      </c>
      <c r="AA112" s="46">
        <v>0.26041666666666669</v>
      </c>
      <c r="AB112" s="46">
        <v>0.26041666666666669</v>
      </c>
      <c r="AC112" s="46">
        <v>0.58333333333333337</v>
      </c>
      <c r="AD112" s="44">
        <f>IF(PA[[#This Row],[Acknowledgement Time ]]="NA","",(PA[[#This Row],[Acknowledgement Time ]]-PA[[#This Row],[Fault Time]])*24)</f>
        <v>0</v>
      </c>
      <c r="AE112" s="44">
        <f>IF(PA[[#This Row],[Work Start time on Fault]]="NA","",(PA[[#This Row],[Work Start time on Fault]]-PA[[#This Row],[Fault Time]])*24)</f>
        <v>0</v>
      </c>
      <c r="AF112" s="45">
        <f>IF(PA[[#This Row],[Status]]="Open","",(PA[[#This Row],[Work Completion time on fault]]-PA[[#This Row],[Fault Time]])*24)</f>
        <v>7.75</v>
      </c>
      <c r="AG112" s="44">
        <f>IFERROR((PA[[#This Row],[Work Completion time on fault]]-PA[[#This Row],[Fault Time]])*24,"")</f>
        <v>7.75</v>
      </c>
      <c r="AH112" s="36" t="s">
        <v>290</v>
      </c>
      <c r="AI112" s="33" t="s">
        <v>235</v>
      </c>
      <c r="AJ112" s="35" t="str">
        <f>IFERROR(PA[[#This Row],[Breakdown Time]]*PA[[#This Row],[Plant Equivalent Weightage]],"")</f>
        <v/>
      </c>
      <c r="AK112" s="36">
        <v>4.9279999999999999</v>
      </c>
      <c r="AL112" s="51" t="str">
        <f>IFERROR((_xlfn.XLOOKUP($G112,'Modelling New'!D:D,'Modelling New'!$O:$O)*PA[[#This Row],[Lost PoA(kWh/m2)]]*PA[[#This Row],[DC Capacity Affected (kW)]]),"")</f>
        <v/>
      </c>
      <c r="AM112" s="33"/>
      <c r="AN112" s="33"/>
      <c r="AO112" s="33"/>
      <c r="AP112" s="33"/>
    </row>
    <row r="113" spans="1:42">
      <c r="A113" s="30">
        <v>112</v>
      </c>
      <c r="B113" s="31"/>
      <c r="C113" s="32">
        <f>YEAR(PA[[#This Row],[Date]])+IF(MONTH(PA[[#This Row],[Date]])&gt;=4,1,0)</f>
        <v>1900</v>
      </c>
      <c r="D113" s="32">
        <f>YEAR(PA[[#This Row],[Date]])</f>
        <v>1900</v>
      </c>
      <c r="E113" s="33" t="s">
        <v>157</v>
      </c>
      <c r="F113" s="33" t="s">
        <v>157</v>
      </c>
      <c r="G113" s="194">
        <f>PA[[#This Row],[Date]]-DAY(PA[[#This Row],[Date]])+1</f>
        <v>1</v>
      </c>
      <c r="H113" s="32">
        <f>DAY(EOMONTH(PA[[#This Row],[Month Year]],0))</f>
        <v>31</v>
      </c>
      <c r="I113" s="121"/>
      <c r="J113" s="121"/>
      <c r="K113" s="35">
        <f>IFERROR((PA[[#This Row],[Sunset Time (POA&lt;20 W/m2)]]-PA[[#This Row],[Sunrise Time (POA&gt;20 W/m2)]])*24,"")</f>
        <v>0</v>
      </c>
      <c r="L113" s="33"/>
      <c r="M113" s="33"/>
      <c r="N113" s="33"/>
      <c r="O113" s="36"/>
      <c r="P113" s="36"/>
      <c r="Q113" s="33"/>
      <c r="R113" s="32">
        <f>IF((PA[[#This Row],[String Type(If String BD)]]&amp;PA[[#This Row],[Equipment (If any BD other than PV  array and inv)]])="",1,0)</f>
        <v>1</v>
      </c>
      <c r="S113" s="32">
        <f>IF(PA[[#This Row],[String Type(If String BD)]]="",1,0)</f>
        <v>1</v>
      </c>
      <c r="T1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3" s="35" t="str">
        <f>IFERROR(_xlfn.XLOOKUP(PA[[#This Row],[Affected Equipment ]],'Basic Data'!N:N,'Basic Data'!Q:Q),"")</f>
        <v/>
      </c>
      <c r="V113" s="39" t="str">
        <f>IFERROR(_xlfn.XLOOKUP(PA[[#This Row],[Affected Equipment ]],'Basic Data'!N:N,'Basic Data'!R:R),"")</f>
        <v/>
      </c>
      <c r="W113" s="36" t="s">
        <v>285</v>
      </c>
      <c r="X113" s="40"/>
      <c r="Y113" s="40" t="s">
        <v>291</v>
      </c>
      <c r="Z113" s="46">
        <v>0.33333333333333331</v>
      </c>
      <c r="AA113" s="46">
        <v>0.33333333333333331</v>
      </c>
      <c r="AB113" s="46">
        <v>0.33333333333333331</v>
      </c>
      <c r="AC113" s="46">
        <v>0.68680555555555556</v>
      </c>
      <c r="AD113" s="44">
        <f>IF(PA[[#This Row],[Acknowledgement Time ]]="NA","",(PA[[#This Row],[Acknowledgement Time ]]-PA[[#This Row],[Fault Time]])*24)</f>
        <v>0</v>
      </c>
      <c r="AE113" s="44">
        <f>IF(PA[[#This Row],[Work Start time on Fault]]="NA","",(PA[[#This Row],[Work Start time on Fault]]-PA[[#This Row],[Fault Time]])*24)</f>
        <v>0</v>
      </c>
      <c r="AF113" s="45">
        <f>IF(PA[[#This Row],[Status]]="Open","",(PA[[#This Row],[Work Completion time on fault]]-PA[[#This Row],[Fault Time]])*24)</f>
        <v>8.4833333333333343</v>
      </c>
      <c r="AG113" s="44">
        <f>IFERROR((PA[[#This Row],[Work Completion time on fault]]-PA[[#This Row],[Fault Time]])*24,"")</f>
        <v>8.4833333333333343</v>
      </c>
      <c r="AH113" s="36" t="s">
        <v>292</v>
      </c>
      <c r="AI113" s="33" t="s">
        <v>235</v>
      </c>
      <c r="AJ113" s="35" t="str">
        <f>IFERROR(PA[[#This Row],[Breakdown Time]]*PA[[#This Row],[Plant Equivalent Weightage]],"")</f>
        <v/>
      </c>
      <c r="AK113" s="36">
        <v>5.55</v>
      </c>
      <c r="AL113" s="51" t="str">
        <f>IFERROR((_xlfn.XLOOKUP($G113,'Modelling New'!D:D,'Modelling New'!$O:$O)*PA[[#This Row],[Lost PoA(kWh/m2)]]*PA[[#This Row],[DC Capacity Affected (kW)]]),"")</f>
        <v/>
      </c>
      <c r="AM113" s="33"/>
      <c r="AN113" s="33"/>
      <c r="AO113" s="33"/>
      <c r="AP113" s="33"/>
    </row>
    <row r="114" spans="1:42">
      <c r="A114" s="30">
        <v>113</v>
      </c>
      <c r="B114" s="31"/>
      <c r="C114" s="32">
        <f>YEAR(PA[[#This Row],[Date]])+IF(MONTH(PA[[#This Row],[Date]])&gt;=4,1,0)</f>
        <v>1900</v>
      </c>
      <c r="D114" s="32">
        <f>YEAR(PA[[#This Row],[Date]])</f>
        <v>1900</v>
      </c>
      <c r="E114" s="33" t="s">
        <v>157</v>
      </c>
      <c r="F114" s="33" t="s">
        <v>157</v>
      </c>
      <c r="G114" s="194">
        <f>PA[[#This Row],[Date]]-DAY(PA[[#This Row],[Date]])+1</f>
        <v>1</v>
      </c>
      <c r="H114" s="32">
        <f>DAY(EOMONTH(PA[[#This Row],[Month Year]],0))</f>
        <v>31</v>
      </c>
      <c r="I114" s="121"/>
      <c r="J114" s="121"/>
      <c r="K114" s="35">
        <f>IFERROR((PA[[#This Row],[Sunset Time (POA&lt;20 W/m2)]]-PA[[#This Row],[Sunrise Time (POA&gt;20 W/m2)]])*24,"")</f>
        <v>0</v>
      </c>
      <c r="L114" s="33"/>
      <c r="M114" s="33"/>
      <c r="N114" s="33"/>
      <c r="O114" s="36"/>
      <c r="P114" s="36"/>
      <c r="Q114" s="33"/>
      <c r="R114" s="32">
        <f>IF((PA[[#This Row],[String Type(If String BD)]]&amp;PA[[#This Row],[Equipment (If any BD other than PV  array and inv)]])="",1,0)</f>
        <v>1</v>
      </c>
      <c r="S114" s="32">
        <f>IF(PA[[#This Row],[String Type(If String BD)]]="",1,0)</f>
        <v>1</v>
      </c>
      <c r="T1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4" s="35" t="str">
        <f>IFERROR(_xlfn.XLOOKUP(PA[[#This Row],[Affected Equipment ]],'Basic Data'!N:N,'Basic Data'!Q:Q),"")</f>
        <v/>
      </c>
      <c r="V114" s="39" t="str">
        <f>IFERROR(_xlfn.XLOOKUP(PA[[#This Row],[Affected Equipment ]],'Basic Data'!N:N,'Basic Data'!R:R),"")</f>
        <v/>
      </c>
      <c r="W114" s="36" t="s">
        <v>285</v>
      </c>
      <c r="X114" s="40"/>
      <c r="Y114" s="40" t="s">
        <v>294</v>
      </c>
      <c r="Z114" s="46">
        <v>0.29166666666666669</v>
      </c>
      <c r="AA114" s="46">
        <v>0.29166666666666669</v>
      </c>
      <c r="AB114" s="46">
        <v>0.29166666666666669</v>
      </c>
      <c r="AC114" s="46">
        <v>0.67986111111111114</v>
      </c>
      <c r="AD114" s="44">
        <f>IF(PA[[#This Row],[Acknowledgement Time ]]="NA","",(PA[[#This Row],[Acknowledgement Time ]]-PA[[#This Row],[Fault Time]])*24)</f>
        <v>0</v>
      </c>
      <c r="AE114" s="44">
        <f>IF(PA[[#This Row],[Work Start time on Fault]]="NA","",(PA[[#This Row],[Work Start time on Fault]]-PA[[#This Row],[Fault Time]])*24)</f>
        <v>0</v>
      </c>
      <c r="AF114" s="45">
        <f>IF(PA[[#This Row],[Status]]="Open","",(PA[[#This Row],[Work Completion time on fault]]-PA[[#This Row],[Fault Time]])*24)</f>
        <v>9.3166666666666664</v>
      </c>
      <c r="AG114" s="44">
        <f>IFERROR((PA[[#This Row],[Work Completion time on fault]]-PA[[#This Row],[Fault Time]])*24,"")</f>
        <v>9.3166666666666664</v>
      </c>
      <c r="AH114" s="282" t="s">
        <v>295</v>
      </c>
      <c r="AI114" s="33" t="s">
        <v>235</v>
      </c>
      <c r="AJ114" s="35" t="str">
        <f>IFERROR(PA[[#This Row],[Breakdown Time]]*PA[[#This Row],[Plant Equivalent Weightage]],"")</f>
        <v/>
      </c>
      <c r="AK114" s="36">
        <v>3.39</v>
      </c>
      <c r="AL114" s="51" t="str">
        <f>IFERROR((_xlfn.XLOOKUP($G114,'Modelling New'!D:D,'Modelling New'!$O:$O)*PA[[#This Row],[Lost PoA(kWh/m2)]]*PA[[#This Row],[DC Capacity Affected (kW)]]),"")</f>
        <v/>
      </c>
      <c r="AM114" s="33"/>
      <c r="AN114" s="33"/>
      <c r="AO114" s="33">
        <v>4218</v>
      </c>
      <c r="AP114" s="33" t="s">
        <v>296</v>
      </c>
    </row>
    <row r="115" spans="1:42">
      <c r="A115" s="30">
        <v>114</v>
      </c>
      <c r="B115" s="31"/>
      <c r="C115" s="32">
        <f>YEAR(PA[[#This Row],[Date]])+IF(MONTH(PA[[#This Row],[Date]])&gt;=4,1,0)</f>
        <v>1900</v>
      </c>
      <c r="D115" s="32">
        <f>YEAR(PA[[#This Row],[Date]])</f>
        <v>1900</v>
      </c>
      <c r="E115" s="33" t="s">
        <v>157</v>
      </c>
      <c r="F115" s="33" t="s">
        <v>157</v>
      </c>
      <c r="G115" s="194">
        <f>PA[[#This Row],[Date]]-DAY(PA[[#This Row],[Date]])+1</f>
        <v>1</v>
      </c>
      <c r="H115" s="32">
        <f>DAY(EOMONTH(PA[[#This Row],[Month Year]],0))</f>
        <v>31</v>
      </c>
      <c r="I115" s="121"/>
      <c r="J115" s="121"/>
      <c r="K115" s="35">
        <f>IFERROR((PA[[#This Row],[Sunset Time (POA&lt;20 W/m2)]]-PA[[#This Row],[Sunrise Time (POA&gt;20 W/m2)]])*24,"")</f>
        <v>0</v>
      </c>
      <c r="L115" s="33"/>
      <c r="M115" s="33"/>
      <c r="N115" s="33"/>
      <c r="O115" s="36"/>
      <c r="P115" s="36"/>
      <c r="Q115" s="33"/>
      <c r="R115" s="32">
        <f>IF((PA[[#This Row],[String Type(If String BD)]]&amp;PA[[#This Row],[Equipment (If any BD other than PV  array and inv)]])="",1,0)</f>
        <v>1</v>
      </c>
      <c r="S115" s="32">
        <f>IF(PA[[#This Row],[String Type(If String BD)]]="",1,0)</f>
        <v>1</v>
      </c>
      <c r="T1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5" s="35" t="str">
        <f>IFERROR(_xlfn.XLOOKUP(PA[[#This Row],[Affected Equipment ]],'Basic Data'!N:N,'Basic Data'!Q:Q),"")</f>
        <v/>
      </c>
      <c r="V115" s="39" t="str">
        <f>IFERROR(_xlfn.XLOOKUP(PA[[#This Row],[Affected Equipment ]],'Basic Data'!N:N,'Basic Data'!R:R),"")</f>
        <v/>
      </c>
      <c r="W115" s="36" t="s">
        <v>285</v>
      </c>
      <c r="X115" s="40"/>
      <c r="Y115" s="40" t="s">
        <v>298</v>
      </c>
      <c r="Z115" s="46">
        <v>0.33333333333333331</v>
      </c>
      <c r="AA115" s="46">
        <v>0.33333333333333331</v>
      </c>
      <c r="AB115" s="46">
        <v>0.33333333333333331</v>
      </c>
      <c r="AC115" s="46">
        <v>0.65972222222222221</v>
      </c>
      <c r="AD115" s="44">
        <f>IF(PA[[#This Row],[Acknowledgement Time ]]="NA","",(PA[[#This Row],[Acknowledgement Time ]]-PA[[#This Row],[Fault Time]])*24)</f>
        <v>0</v>
      </c>
      <c r="AE115" s="44">
        <f>IF(PA[[#This Row],[Work Start time on Fault]]="NA","",(PA[[#This Row],[Work Start time on Fault]]-PA[[#This Row],[Fault Time]])*24)</f>
        <v>0</v>
      </c>
      <c r="AF115" s="45">
        <f>IF(PA[[#This Row],[Status]]="Open","",(PA[[#This Row],[Work Completion time on fault]]-PA[[#This Row],[Fault Time]])*24)</f>
        <v>7.8333333333333339</v>
      </c>
      <c r="AG115" s="44">
        <f>IFERROR((PA[[#This Row],[Work Completion time on fault]]-PA[[#This Row],[Fault Time]])*24,"")</f>
        <v>7.8333333333333339</v>
      </c>
      <c r="AH115" s="282" t="s">
        <v>299</v>
      </c>
      <c r="AI115" s="33" t="s">
        <v>235</v>
      </c>
      <c r="AJ115" s="35" t="str">
        <f>IFERROR(PA[[#This Row],[Breakdown Time]]*PA[[#This Row],[Plant Equivalent Weightage]],"")</f>
        <v/>
      </c>
      <c r="AK115" s="36">
        <v>3.98</v>
      </c>
      <c r="AL115" s="51" t="str">
        <f>IFERROR((_xlfn.XLOOKUP($G115,'Modelling New'!D:D,'Modelling New'!$O:$O)*PA[[#This Row],[Lost PoA(kWh/m2)]]*PA[[#This Row],[DC Capacity Affected (kW)]]),"")</f>
        <v/>
      </c>
      <c r="AM115" s="33"/>
      <c r="AN115" s="33"/>
      <c r="AO115" s="33">
        <v>4250</v>
      </c>
      <c r="AP115" s="33" t="s">
        <v>300</v>
      </c>
    </row>
    <row r="116" spans="1:42">
      <c r="A116" s="30">
        <v>115</v>
      </c>
      <c r="B116" s="31"/>
      <c r="C116" s="32">
        <f>YEAR(PA[[#This Row],[Date]])+IF(MONTH(PA[[#This Row],[Date]])&gt;=4,1,0)</f>
        <v>1900</v>
      </c>
      <c r="D116" s="32">
        <f>YEAR(PA[[#This Row],[Date]])</f>
        <v>1900</v>
      </c>
      <c r="E116" s="33" t="s">
        <v>157</v>
      </c>
      <c r="F116" s="33" t="s">
        <v>157</v>
      </c>
      <c r="G116" s="194">
        <f>PA[[#This Row],[Date]]-DAY(PA[[#This Row],[Date]])+1</f>
        <v>1</v>
      </c>
      <c r="H116" s="32">
        <f>DAY(EOMONTH(PA[[#This Row],[Month Year]],0))</f>
        <v>31</v>
      </c>
      <c r="I116" s="121"/>
      <c r="J116" s="121"/>
      <c r="K116" s="35">
        <f>IFERROR((PA[[#This Row],[Sunset Time (POA&lt;20 W/m2)]]-PA[[#This Row],[Sunrise Time (POA&gt;20 W/m2)]])*24,"")</f>
        <v>0</v>
      </c>
      <c r="L116" s="33"/>
      <c r="M116" s="33"/>
      <c r="N116" s="33"/>
      <c r="O116" s="36"/>
      <c r="P116" s="36"/>
      <c r="Q116" s="33"/>
      <c r="R116" s="32">
        <f>IF((PA[[#This Row],[String Type(If String BD)]]&amp;PA[[#This Row],[Equipment (If any BD other than PV  array and inv)]])="",1,0)</f>
        <v>1</v>
      </c>
      <c r="S116" s="32">
        <f>IF(PA[[#This Row],[String Type(If String BD)]]="",1,0)</f>
        <v>1</v>
      </c>
      <c r="T1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6" s="35" t="str">
        <f>IFERROR(_xlfn.XLOOKUP(PA[[#This Row],[Affected Equipment ]],'Basic Data'!N:N,'Basic Data'!Q:Q),"")</f>
        <v/>
      </c>
      <c r="V116" s="39" t="str">
        <f>IFERROR(_xlfn.XLOOKUP(PA[[#This Row],[Affected Equipment ]],'Basic Data'!N:N,'Basic Data'!R:R),"")</f>
        <v/>
      </c>
      <c r="W116" s="36" t="s">
        <v>285</v>
      </c>
      <c r="X116" s="40"/>
      <c r="Y116" s="40" t="s">
        <v>298</v>
      </c>
      <c r="Z116" s="46">
        <v>0.33333333333333331</v>
      </c>
      <c r="AA116" s="46">
        <v>0.33333333333333331</v>
      </c>
      <c r="AB116" s="46">
        <v>0.33333333333333331</v>
      </c>
      <c r="AC116" s="46">
        <v>0.65972222222222221</v>
      </c>
      <c r="AD116" s="44">
        <f>IF(PA[[#This Row],[Acknowledgement Time ]]="NA","",(PA[[#This Row],[Acknowledgement Time ]]-PA[[#This Row],[Fault Time]])*24)</f>
        <v>0</v>
      </c>
      <c r="AE116" s="44">
        <f>IF(PA[[#This Row],[Work Start time on Fault]]="NA","",(PA[[#This Row],[Work Start time on Fault]]-PA[[#This Row],[Fault Time]])*24)</f>
        <v>0</v>
      </c>
      <c r="AF116" s="45">
        <f>IF(PA[[#This Row],[Status]]="Open","",(PA[[#This Row],[Work Completion time on fault]]-PA[[#This Row],[Fault Time]])*24)</f>
        <v>7.8333333333333339</v>
      </c>
      <c r="AG116" s="44">
        <f>IFERROR((PA[[#This Row],[Work Completion time on fault]]-PA[[#This Row],[Fault Time]])*24,"")</f>
        <v>7.8333333333333339</v>
      </c>
      <c r="AH116" s="282" t="s">
        <v>299</v>
      </c>
      <c r="AI116" s="33" t="s">
        <v>235</v>
      </c>
      <c r="AJ116" s="35" t="str">
        <f>IFERROR(PA[[#This Row],[Breakdown Time]]*PA[[#This Row],[Plant Equivalent Weightage]],"")</f>
        <v/>
      </c>
      <c r="AK116" s="36">
        <v>3.98</v>
      </c>
      <c r="AL116" s="51" t="str">
        <f>IFERROR((_xlfn.XLOOKUP($G116,'Modelling New'!D:D,'Modelling New'!$O:$O)*PA[[#This Row],[Lost PoA(kWh/m2)]]*PA[[#This Row],[DC Capacity Affected (kW)]]),"")</f>
        <v/>
      </c>
      <c r="AM116" s="33"/>
      <c r="AN116" s="33"/>
      <c r="AO116" s="33">
        <v>4250</v>
      </c>
      <c r="AP116" s="33" t="s">
        <v>300</v>
      </c>
    </row>
    <row r="117" spans="1:42">
      <c r="A117" s="30">
        <v>116</v>
      </c>
      <c r="B117" s="31"/>
      <c r="C117" s="32">
        <f>YEAR(PA[[#This Row],[Date]])+IF(MONTH(PA[[#This Row],[Date]])&gt;=4,1,0)</f>
        <v>1900</v>
      </c>
      <c r="D117" s="32">
        <f>YEAR(PA[[#This Row],[Date]])</f>
        <v>1900</v>
      </c>
      <c r="E117" s="33" t="s">
        <v>157</v>
      </c>
      <c r="F117" s="33" t="s">
        <v>157</v>
      </c>
      <c r="G117" s="194">
        <f>PA[[#This Row],[Date]]-DAY(PA[[#This Row],[Date]])+1</f>
        <v>1</v>
      </c>
      <c r="H117" s="32">
        <f>DAY(EOMONTH(PA[[#This Row],[Month Year]],0))</f>
        <v>31</v>
      </c>
      <c r="I117" s="121"/>
      <c r="J117" s="121"/>
      <c r="K117" s="35">
        <f>IFERROR((PA[[#This Row],[Sunset Time (POA&lt;20 W/m2)]]-PA[[#This Row],[Sunrise Time (POA&gt;20 W/m2)]])*24,"")</f>
        <v>0</v>
      </c>
      <c r="L117" s="33"/>
      <c r="M117" s="33"/>
      <c r="N117" s="33"/>
      <c r="O117" s="36"/>
      <c r="P117" s="36"/>
      <c r="Q117" s="33"/>
      <c r="R117" s="32">
        <f>IF((PA[[#This Row],[String Type(If String BD)]]&amp;PA[[#This Row],[Equipment (If any BD other than PV  array and inv)]])="",1,0)</f>
        <v>1</v>
      </c>
      <c r="S117" s="32">
        <f>IF(PA[[#This Row],[String Type(If String BD)]]="",1,0)</f>
        <v>1</v>
      </c>
      <c r="T1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7" s="35" t="str">
        <f>IFERROR(_xlfn.XLOOKUP(PA[[#This Row],[Affected Equipment ]],'Basic Data'!N:N,'Basic Data'!Q:Q),"")</f>
        <v/>
      </c>
      <c r="V117" s="39" t="str">
        <f>IFERROR(_xlfn.XLOOKUP(PA[[#This Row],[Affected Equipment ]],'Basic Data'!N:N,'Basic Data'!R:R),"")</f>
        <v/>
      </c>
      <c r="W117" s="36" t="s">
        <v>281</v>
      </c>
      <c r="X117" s="40"/>
      <c r="Y117" s="40" t="s">
        <v>301</v>
      </c>
      <c r="Z117" s="46">
        <v>0.28263888888888888</v>
      </c>
      <c r="AA117" s="46">
        <v>0.28263888888888888</v>
      </c>
      <c r="AB117" s="46">
        <v>0.28263888888888888</v>
      </c>
      <c r="AC117" s="46">
        <v>0.34861111111111109</v>
      </c>
      <c r="AD117" s="44">
        <f>IF(PA[[#This Row],[Acknowledgement Time ]]="NA","",(PA[[#This Row],[Acknowledgement Time ]]-PA[[#This Row],[Fault Time]])*24)</f>
        <v>0</v>
      </c>
      <c r="AE117" s="44">
        <f>IF(PA[[#This Row],[Work Start time on Fault]]="NA","",(PA[[#This Row],[Work Start time on Fault]]-PA[[#This Row],[Fault Time]])*24)</f>
        <v>0</v>
      </c>
      <c r="AF117" s="45">
        <f>IF(PA[[#This Row],[Status]]="Open","",(PA[[#This Row],[Work Completion time on fault]]-PA[[#This Row],[Fault Time]])*24)</f>
        <v>1.583333333333333</v>
      </c>
      <c r="AG117" s="44">
        <f>IFERROR((PA[[#This Row],[Work Completion time on fault]]-PA[[#This Row],[Fault Time]])*24,"")</f>
        <v>1.583333333333333</v>
      </c>
      <c r="AH117" s="36" t="s">
        <v>302</v>
      </c>
      <c r="AI117" s="33" t="s">
        <v>235</v>
      </c>
      <c r="AJ117" s="35" t="str">
        <f>IFERROR(PA[[#This Row],[Breakdown Time]]*PA[[#This Row],[Plant Equivalent Weightage]],"")</f>
        <v/>
      </c>
      <c r="AK117" s="36">
        <v>7.4765999999999999E-2</v>
      </c>
      <c r="AL117" s="51" t="str">
        <f>IFERROR((_xlfn.XLOOKUP($G117,'Modelling New'!D:D,'Modelling New'!$O:$O)*PA[[#This Row],[Lost PoA(kWh/m2)]]*PA[[#This Row],[DC Capacity Affected (kW)]]),"")</f>
        <v/>
      </c>
      <c r="AM117" s="33"/>
      <c r="AN117" s="33"/>
      <c r="AO117" s="33">
        <v>4533</v>
      </c>
      <c r="AP117" s="33"/>
    </row>
    <row r="118" spans="1:42">
      <c r="A118" s="30">
        <v>117</v>
      </c>
      <c r="B118" s="31"/>
      <c r="C118" s="32">
        <f>YEAR(PA[[#This Row],[Date]])+IF(MONTH(PA[[#This Row],[Date]])&gt;=4,1,0)</f>
        <v>1900</v>
      </c>
      <c r="D118" s="32">
        <f>YEAR(PA[[#This Row],[Date]])</f>
        <v>1900</v>
      </c>
      <c r="E118" s="33" t="s">
        <v>157</v>
      </c>
      <c r="F118" s="33" t="s">
        <v>157</v>
      </c>
      <c r="G118" s="194">
        <f>PA[[#This Row],[Date]]-DAY(PA[[#This Row],[Date]])+1</f>
        <v>1</v>
      </c>
      <c r="H118" s="32">
        <f>DAY(EOMONTH(PA[[#This Row],[Month Year]],0))</f>
        <v>31</v>
      </c>
      <c r="I118" s="121"/>
      <c r="J118" s="121"/>
      <c r="K118" s="35">
        <f>IFERROR((PA[[#This Row],[Sunset Time (POA&lt;20 W/m2)]]-PA[[#This Row],[Sunrise Time (POA&gt;20 W/m2)]])*24,"")</f>
        <v>0</v>
      </c>
      <c r="L118" s="33"/>
      <c r="M118" s="33"/>
      <c r="N118" s="33"/>
      <c r="O118" s="36"/>
      <c r="P118" s="36"/>
      <c r="Q118" s="33"/>
      <c r="R118" s="32">
        <f>IF((PA[[#This Row],[String Type(If String BD)]]&amp;PA[[#This Row],[Equipment (If any BD other than PV  array and inv)]])="",1,0)</f>
        <v>1</v>
      </c>
      <c r="S118" s="32">
        <f>IF(PA[[#This Row],[String Type(If String BD)]]="",1,0)</f>
        <v>1</v>
      </c>
      <c r="T1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8" s="35" t="str">
        <f>IFERROR(_xlfn.XLOOKUP(PA[[#This Row],[Affected Equipment ]],'Basic Data'!N:N,'Basic Data'!Q:Q),"")</f>
        <v/>
      </c>
      <c r="V118" s="39" t="str">
        <f>IFERROR(_xlfn.XLOOKUP(PA[[#This Row],[Affected Equipment ]],'Basic Data'!N:N,'Basic Data'!R:R),"")</f>
        <v/>
      </c>
      <c r="W118" s="36" t="s">
        <v>281</v>
      </c>
      <c r="X118" s="40"/>
      <c r="Y118" s="40" t="s">
        <v>301</v>
      </c>
      <c r="Z118" s="46">
        <v>0.28263888888888888</v>
      </c>
      <c r="AA118" s="46">
        <v>0.28263888888888888</v>
      </c>
      <c r="AB118" s="46">
        <v>0.28263888888888888</v>
      </c>
      <c r="AC118" s="46">
        <v>0.34861111111111109</v>
      </c>
      <c r="AD118" s="44">
        <f>IF(PA[[#This Row],[Acknowledgement Time ]]="NA","",(PA[[#This Row],[Acknowledgement Time ]]-PA[[#This Row],[Fault Time]])*24)</f>
        <v>0</v>
      </c>
      <c r="AE118" s="44">
        <f>IF(PA[[#This Row],[Work Start time on Fault]]="NA","",(PA[[#This Row],[Work Start time on Fault]]-PA[[#This Row],[Fault Time]])*24)</f>
        <v>0</v>
      </c>
      <c r="AF118" s="45">
        <f>IF(PA[[#This Row],[Status]]="Open","",(PA[[#This Row],[Work Completion time on fault]]-PA[[#This Row],[Fault Time]])*24)</f>
        <v>1.583333333333333</v>
      </c>
      <c r="AG118" s="44">
        <f>IFERROR((PA[[#This Row],[Work Completion time on fault]]-PA[[#This Row],[Fault Time]])*24,"")</f>
        <v>1.583333333333333</v>
      </c>
      <c r="AH118" s="36" t="s">
        <v>302</v>
      </c>
      <c r="AI118" s="33" t="s">
        <v>235</v>
      </c>
      <c r="AJ118" s="35" t="str">
        <f>IFERROR(PA[[#This Row],[Breakdown Time]]*PA[[#This Row],[Plant Equivalent Weightage]],"")</f>
        <v/>
      </c>
      <c r="AK118" s="36">
        <v>7.4765999999999999E-2</v>
      </c>
      <c r="AL118" s="51" t="str">
        <f>IFERROR((_xlfn.XLOOKUP($G118,'Modelling New'!D:D,'Modelling New'!$O:$O)*PA[[#This Row],[Lost PoA(kWh/m2)]]*PA[[#This Row],[DC Capacity Affected (kW)]]),"")</f>
        <v/>
      </c>
      <c r="AM118" s="33"/>
      <c r="AN118" s="33"/>
      <c r="AO118" s="33">
        <v>4533</v>
      </c>
      <c r="AP118" s="33"/>
    </row>
    <row r="119" spans="1:42">
      <c r="A119" s="30">
        <v>118</v>
      </c>
      <c r="B119" s="31"/>
      <c r="C119" s="32">
        <f>YEAR(PA[[#This Row],[Date]])+IF(MONTH(PA[[#This Row],[Date]])&gt;=4,1,0)</f>
        <v>1900</v>
      </c>
      <c r="D119" s="32">
        <f>YEAR(PA[[#This Row],[Date]])</f>
        <v>1900</v>
      </c>
      <c r="E119" s="33" t="s">
        <v>157</v>
      </c>
      <c r="F119" s="33" t="s">
        <v>157</v>
      </c>
      <c r="G119" s="194">
        <f>PA[[#This Row],[Date]]-DAY(PA[[#This Row],[Date]])+1</f>
        <v>1</v>
      </c>
      <c r="H119" s="32">
        <f>DAY(EOMONTH(PA[[#This Row],[Month Year]],0))</f>
        <v>31</v>
      </c>
      <c r="I119" s="121"/>
      <c r="J119" s="121"/>
      <c r="K119" s="35">
        <f>IFERROR((PA[[#This Row],[Sunset Time (POA&lt;20 W/m2)]]-PA[[#This Row],[Sunrise Time (POA&gt;20 W/m2)]])*24,"")</f>
        <v>0</v>
      </c>
      <c r="L119" s="33"/>
      <c r="M119" s="33"/>
      <c r="N119" s="33"/>
      <c r="O119" s="36"/>
      <c r="P119" s="36"/>
      <c r="Q119" s="33"/>
      <c r="R119" s="32">
        <f>IF((PA[[#This Row],[String Type(If String BD)]]&amp;PA[[#This Row],[Equipment (If any BD other than PV  array and inv)]])="",1,0)</f>
        <v>1</v>
      </c>
      <c r="S119" s="32">
        <f>IF(PA[[#This Row],[String Type(If String BD)]]="",1,0)</f>
        <v>1</v>
      </c>
      <c r="T1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19" s="35" t="str">
        <f>IFERROR(_xlfn.XLOOKUP(PA[[#This Row],[Affected Equipment ]],'Basic Data'!N:N,'Basic Data'!Q:Q),"")</f>
        <v/>
      </c>
      <c r="V119" s="39" t="str">
        <f>IFERROR(_xlfn.XLOOKUP(PA[[#This Row],[Affected Equipment ]],'Basic Data'!N:N,'Basic Data'!R:R),"")</f>
        <v/>
      </c>
      <c r="W119" s="36" t="s">
        <v>281</v>
      </c>
      <c r="X119" s="40"/>
      <c r="Y119" s="40" t="s">
        <v>301</v>
      </c>
      <c r="Z119" s="46">
        <v>0.28263888888888888</v>
      </c>
      <c r="AA119" s="46">
        <v>0.28263888888888888</v>
      </c>
      <c r="AB119" s="46">
        <v>0.28263888888888888</v>
      </c>
      <c r="AC119" s="46">
        <v>0.34861111111111109</v>
      </c>
      <c r="AD119" s="44">
        <f>IF(PA[[#This Row],[Acknowledgement Time ]]="NA","",(PA[[#This Row],[Acknowledgement Time ]]-PA[[#This Row],[Fault Time]])*24)</f>
        <v>0</v>
      </c>
      <c r="AE119" s="44">
        <f>IF(PA[[#This Row],[Work Start time on Fault]]="NA","",(PA[[#This Row],[Work Start time on Fault]]-PA[[#This Row],[Fault Time]])*24)</f>
        <v>0</v>
      </c>
      <c r="AF119" s="45">
        <f>IF(PA[[#This Row],[Status]]="Open","",(PA[[#This Row],[Work Completion time on fault]]-PA[[#This Row],[Fault Time]])*24)</f>
        <v>1.583333333333333</v>
      </c>
      <c r="AG119" s="44">
        <f>IFERROR((PA[[#This Row],[Work Completion time on fault]]-PA[[#This Row],[Fault Time]])*24,"")</f>
        <v>1.583333333333333</v>
      </c>
      <c r="AH119" s="36" t="s">
        <v>302</v>
      </c>
      <c r="AI119" s="33" t="s">
        <v>235</v>
      </c>
      <c r="AJ119" s="35" t="str">
        <f>IFERROR(PA[[#This Row],[Breakdown Time]]*PA[[#This Row],[Plant Equivalent Weightage]],"")</f>
        <v/>
      </c>
      <c r="AK119" s="36">
        <v>7.4765999999999999E-2</v>
      </c>
      <c r="AL119" s="51" t="str">
        <f>IFERROR((_xlfn.XLOOKUP($G119,'Modelling New'!D:D,'Modelling New'!$O:$O)*PA[[#This Row],[Lost PoA(kWh/m2)]]*PA[[#This Row],[DC Capacity Affected (kW)]]),"")</f>
        <v/>
      </c>
      <c r="AM119" s="33"/>
      <c r="AN119" s="33"/>
      <c r="AO119" s="33">
        <v>4533</v>
      </c>
      <c r="AP119" s="33"/>
    </row>
    <row r="120" spans="1:42">
      <c r="A120" s="30">
        <v>119</v>
      </c>
      <c r="B120" s="31"/>
      <c r="C120" s="32">
        <f>YEAR(PA[[#This Row],[Date]])+IF(MONTH(PA[[#This Row],[Date]])&gt;=4,1,0)</f>
        <v>1900</v>
      </c>
      <c r="D120" s="32">
        <f>YEAR(PA[[#This Row],[Date]])</f>
        <v>1900</v>
      </c>
      <c r="E120" s="33" t="s">
        <v>157</v>
      </c>
      <c r="F120" s="33" t="s">
        <v>157</v>
      </c>
      <c r="G120" s="194">
        <f>PA[[#This Row],[Date]]-DAY(PA[[#This Row],[Date]])+1</f>
        <v>1</v>
      </c>
      <c r="H120" s="32">
        <f>DAY(EOMONTH(PA[[#This Row],[Month Year]],0))</f>
        <v>31</v>
      </c>
      <c r="I120" s="121"/>
      <c r="J120" s="121"/>
      <c r="K120" s="35">
        <f>IFERROR((PA[[#This Row],[Sunset Time (POA&lt;20 W/m2)]]-PA[[#This Row],[Sunrise Time (POA&gt;20 W/m2)]])*24,"")</f>
        <v>0</v>
      </c>
      <c r="L120" s="33"/>
      <c r="M120" s="33"/>
      <c r="N120" s="33"/>
      <c r="O120" s="36"/>
      <c r="P120" s="36"/>
      <c r="Q120" s="33"/>
      <c r="R120" s="32">
        <f>IF((PA[[#This Row],[String Type(If String BD)]]&amp;PA[[#This Row],[Equipment (If any BD other than PV  array and inv)]])="",1,0)</f>
        <v>1</v>
      </c>
      <c r="S120" s="32">
        <f>IF(PA[[#This Row],[String Type(If String BD)]]="",1,0)</f>
        <v>1</v>
      </c>
      <c r="T1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0" s="35" t="str">
        <f>IFERROR(_xlfn.XLOOKUP(PA[[#This Row],[Affected Equipment ]],'Basic Data'!N:N,'Basic Data'!Q:Q),"")</f>
        <v/>
      </c>
      <c r="V120" s="39" t="str">
        <f>IFERROR(_xlfn.XLOOKUP(PA[[#This Row],[Affected Equipment ]],'Basic Data'!N:N,'Basic Data'!R:R),"")</f>
        <v/>
      </c>
      <c r="W120" s="36" t="s">
        <v>281</v>
      </c>
      <c r="X120" s="40"/>
      <c r="Y120" s="40" t="s">
        <v>301</v>
      </c>
      <c r="Z120" s="46">
        <v>0.28263888888888888</v>
      </c>
      <c r="AA120" s="46">
        <v>0.28263888888888888</v>
      </c>
      <c r="AB120" s="46">
        <v>0.28263888888888888</v>
      </c>
      <c r="AC120" s="46">
        <v>0.34861111111111109</v>
      </c>
      <c r="AD120" s="44">
        <f>IF(PA[[#This Row],[Acknowledgement Time ]]="NA","",(PA[[#This Row],[Acknowledgement Time ]]-PA[[#This Row],[Fault Time]])*24)</f>
        <v>0</v>
      </c>
      <c r="AE120" s="44">
        <f>IF(PA[[#This Row],[Work Start time on Fault]]="NA","",(PA[[#This Row],[Work Start time on Fault]]-PA[[#This Row],[Fault Time]])*24)</f>
        <v>0</v>
      </c>
      <c r="AF120" s="45">
        <f>IF(PA[[#This Row],[Status]]="Open","",(PA[[#This Row],[Work Completion time on fault]]-PA[[#This Row],[Fault Time]])*24)</f>
        <v>1.583333333333333</v>
      </c>
      <c r="AG120" s="44">
        <f>IFERROR((PA[[#This Row],[Work Completion time on fault]]-PA[[#This Row],[Fault Time]])*24,"")</f>
        <v>1.583333333333333</v>
      </c>
      <c r="AH120" s="36" t="s">
        <v>302</v>
      </c>
      <c r="AI120" s="33" t="s">
        <v>235</v>
      </c>
      <c r="AJ120" s="35" t="str">
        <f>IFERROR(PA[[#This Row],[Breakdown Time]]*PA[[#This Row],[Plant Equivalent Weightage]],"")</f>
        <v/>
      </c>
      <c r="AK120" s="36">
        <v>7.4765999999999999E-2</v>
      </c>
      <c r="AL120" s="51" t="str">
        <f>IFERROR((_xlfn.XLOOKUP($G120,'Modelling New'!D:D,'Modelling New'!$O:$O)*PA[[#This Row],[Lost PoA(kWh/m2)]]*PA[[#This Row],[DC Capacity Affected (kW)]]),"")</f>
        <v/>
      </c>
      <c r="AM120" s="33"/>
      <c r="AN120" s="33"/>
      <c r="AO120" s="33">
        <v>4533</v>
      </c>
      <c r="AP120" s="33"/>
    </row>
    <row r="121" spans="1:42">
      <c r="A121" s="30">
        <v>120</v>
      </c>
      <c r="B121" s="31"/>
      <c r="C121" s="32">
        <f>YEAR(PA[[#This Row],[Date]])+IF(MONTH(PA[[#This Row],[Date]])&gt;=4,1,0)</f>
        <v>1900</v>
      </c>
      <c r="D121" s="32">
        <f>YEAR(PA[[#This Row],[Date]])</f>
        <v>1900</v>
      </c>
      <c r="E121" s="33" t="s">
        <v>157</v>
      </c>
      <c r="F121" s="33" t="s">
        <v>157</v>
      </c>
      <c r="G121" s="194">
        <f>PA[[#This Row],[Date]]-DAY(PA[[#This Row],[Date]])+1</f>
        <v>1</v>
      </c>
      <c r="H121" s="32">
        <f>DAY(EOMONTH(PA[[#This Row],[Month Year]],0))</f>
        <v>31</v>
      </c>
      <c r="I121" s="121"/>
      <c r="J121" s="121"/>
      <c r="K121" s="35">
        <f>IFERROR((PA[[#This Row],[Sunset Time (POA&lt;20 W/m2)]]-PA[[#This Row],[Sunrise Time (POA&gt;20 W/m2)]])*24,"")</f>
        <v>0</v>
      </c>
      <c r="L121" s="33"/>
      <c r="M121" s="33"/>
      <c r="N121" s="33"/>
      <c r="O121" s="36"/>
      <c r="P121" s="36"/>
      <c r="Q121" s="33"/>
      <c r="R121" s="32">
        <f>IF((PA[[#This Row],[String Type(If String BD)]]&amp;PA[[#This Row],[Equipment (If any BD other than PV  array and inv)]])="",1,0)</f>
        <v>1</v>
      </c>
      <c r="S121" s="32">
        <f>IF(PA[[#This Row],[String Type(If String BD)]]="",1,0)</f>
        <v>1</v>
      </c>
      <c r="T1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1" s="35" t="str">
        <f>IFERROR(_xlfn.XLOOKUP(PA[[#This Row],[Affected Equipment ]],'Basic Data'!N:N,'Basic Data'!Q:Q),"")</f>
        <v/>
      </c>
      <c r="V121" s="39" t="str">
        <f>IFERROR(_xlfn.XLOOKUP(PA[[#This Row],[Affected Equipment ]],'Basic Data'!N:N,'Basic Data'!R:R),"")</f>
        <v/>
      </c>
      <c r="W121" s="36" t="s">
        <v>281</v>
      </c>
      <c r="X121" s="40"/>
      <c r="Y121" s="40" t="s">
        <v>301</v>
      </c>
      <c r="Z121" s="46">
        <v>0.28263888888888888</v>
      </c>
      <c r="AA121" s="46">
        <v>0.28263888888888888</v>
      </c>
      <c r="AB121" s="46">
        <v>0.28263888888888888</v>
      </c>
      <c r="AC121" s="46">
        <v>0.5541666666666667</v>
      </c>
      <c r="AD121" s="44">
        <f>IF(PA[[#This Row],[Acknowledgement Time ]]="NA","",(PA[[#This Row],[Acknowledgement Time ]]-PA[[#This Row],[Fault Time]])*24)</f>
        <v>0</v>
      </c>
      <c r="AE121" s="44">
        <f>IF(PA[[#This Row],[Work Start time on Fault]]="NA","",(PA[[#This Row],[Work Start time on Fault]]-PA[[#This Row],[Fault Time]])*24)</f>
        <v>0</v>
      </c>
      <c r="AF121" s="45">
        <f>IF(PA[[#This Row],[Status]]="Open","",(PA[[#This Row],[Work Completion time on fault]]-PA[[#This Row],[Fault Time]])*24)</f>
        <v>6.5166666666666675</v>
      </c>
      <c r="AG121" s="44">
        <f>IFERROR((PA[[#This Row],[Work Completion time on fault]]-PA[[#This Row],[Fault Time]])*24,"")</f>
        <v>6.5166666666666675</v>
      </c>
      <c r="AH121" s="36" t="s">
        <v>303</v>
      </c>
      <c r="AI121" s="33" t="s">
        <v>235</v>
      </c>
      <c r="AJ121" s="35" t="str">
        <f>IFERROR(PA[[#This Row],[Breakdown Time]]*PA[[#This Row],[Plant Equivalent Weightage]],"")</f>
        <v/>
      </c>
      <c r="AK121" s="36">
        <v>0.45840500000000001</v>
      </c>
      <c r="AL121" s="51" t="str">
        <f>IFERROR((_xlfn.XLOOKUP($G121,'Modelling New'!D:D,'Modelling New'!$O:$O)*PA[[#This Row],[Lost PoA(kWh/m2)]]*PA[[#This Row],[DC Capacity Affected (kW)]]),"")</f>
        <v/>
      </c>
      <c r="AM121" s="33"/>
      <c r="AN121" s="33"/>
      <c r="AO121" s="33">
        <v>4533</v>
      </c>
      <c r="AP121" s="33"/>
    </row>
    <row r="122" spans="1:42">
      <c r="A122" s="30">
        <v>121</v>
      </c>
      <c r="B122" s="31"/>
      <c r="C122" s="32">
        <f>YEAR(PA[[#This Row],[Date]])+IF(MONTH(PA[[#This Row],[Date]])&gt;=4,1,0)</f>
        <v>1900</v>
      </c>
      <c r="D122" s="32">
        <f>YEAR(PA[[#This Row],[Date]])</f>
        <v>1900</v>
      </c>
      <c r="E122" s="33" t="s">
        <v>157</v>
      </c>
      <c r="F122" s="33" t="s">
        <v>157</v>
      </c>
      <c r="G122" s="194">
        <f>PA[[#This Row],[Date]]-DAY(PA[[#This Row],[Date]])+1</f>
        <v>1</v>
      </c>
      <c r="H122" s="32">
        <f>DAY(EOMONTH(PA[[#This Row],[Month Year]],0))</f>
        <v>31</v>
      </c>
      <c r="I122" s="121"/>
      <c r="J122" s="121"/>
      <c r="K122" s="35">
        <f>IFERROR((PA[[#This Row],[Sunset Time (POA&lt;20 W/m2)]]-PA[[#This Row],[Sunrise Time (POA&gt;20 W/m2)]])*24,"")</f>
        <v>0</v>
      </c>
      <c r="L122" s="33"/>
      <c r="M122" s="33"/>
      <c r="N122" s="33"/>
      <c r="O122" s="36"/>
      <c r="P122" s="36"/>
      <c r="Q122" s="33"/>
      <c r="R122" s="32">
        <f>IF((PA[[#This Row],[String Type(If String BD)]]&amp;PA[[#This Row],[Equipment (If any BD other than PV  array and inv)]])="",1,0)</f>
        <v>1</v>
      </c>
      <c r="S122" s="32">
        <f>IF(PA[[#This Row],[String Type(If String BD)]]="",1,0)</f>
        <v>1</v>
      </c>
      <c r="T1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2" s="35" t="str">
        <f>IFERROR(_xlfn.XLOOKUP(PA[[#This Row],[Affected Equipment ]],'Basic Data'!N:N,'Basic Data'!Q:Q),"")</f>
        <v/>
      </c>
      <c r="V122" s="39" t="str">
        <f>IFERROR(_xlfn.XLOOKUP(PA[[#This Row],[Affected Equipment ]],'Basic Data'!N:N,'Basic Data'!R:R),"")</f>
        <v/>
      </c>
      <c r="W122" s="36" t="s">
        <v>281</v>
      </c>
      <c r="X122" s="40"/>
      <c r="Y122" s="40" t="s">
        <v>301</v>
      </c>
      <c r="Z122" s="46">
        <v>0.28263888888888888</v>
      </c>
      <c r="AA122" s="46">
        <v>0.28263888888888888</v>
      </c>
      <c r="AB122" s="46">
        <v>0.28263888888888888</v>
      </c>
      <c r="AC122" s="46">
        <v>0.54722222222222228</v>
      </c>
      <c r="AD122" s="44">
        <f>IF(PA[[#This Row],[Acknowledgement Time ]]="NA","",(PA[[#This Row],[Acknowledgement Time ]]-PA[[#This Row],[Fault Time]])*24)</f>
        <v>0</v>
      </c>
      <c r="AE122" s="44">
        <f>IF(PA[[#This Row],[Work Start time on Fault]]="NA","",(PA[[#This Row],[Work Start time on Fault]]-PA[[#This Row],[Fault Time]])*24)</f>
        <v>0</v>
      </c>
      <c r="AF122" s="45">
        <f>IF(PA[[#This Row],[Status]]="Open","",(PA[[#This Row],[Work Completion time on fault]]-PA[[#This Row],[Fault Time]])*24)</f>
        <v>6.3500000000000014</v>
      </c>
      <c r="AG122" s="44">
        <f>IFERROR((PA[[#This Row],[Work Completion time on fault]]-PA[[#This Row],[Fault Time]])*24,"")</f>
        <v>6.3500000000000014</v>
      </c>
      <c r="AH122" s="36" t="s">
        <v>303</v>
      </c>
      <c r="AI122" s="33" t="s">
        <v>235</v>
      </c>
      <c r="AJ122" s="35" t="str">
        <f>IFERROR(PA[[#This Row],[Breakdown Time]]*PA[[#This Row],[Plant Equivalent Weightage]],"")</f>
        <v/>
      </c>
      <c r="AK122" s="36">
        <v>0.44956299999999999</v>
      </c>
      <c r="AL122" s="51" t="str">
        <f>IFERROR((_xlfn.XLOOKUP($G122,'Modelling New'!D:D,'Modelling New'!$O:$O)*PA[[#This Row],[Lost PoA(kWh/m2)]]*PA[[#This Row],[DC Capacity Affected (kW)]]),"")</f>
        <v/>
      </c>
      <c r="AM122" s="33"/>
      <c r="AN122" s="33"/>
      <c r="AO122" s="33">
        <v>4533</v>
      </c>
      <c r="AP122" s="33"/>
    </row>
    <row r="123" spans="1:42">
      <c r="A123" s="30">
        <v>122</v>
      </c>
      <c r="B123" s="31"/>
      <c r="C123" s="32">
        <f>YEAR(PA[[#This Row],[Date]])+IF(MONTH(PA[[#This Row],[Date]])&gt;=4,1,0)</f>
        <v>1900</v>
      </c>
      <c r="D123" s="32">
        <f>YEAR(PA[[#This Row],[Date]])</f>
        <v>1900</v>
      </c>
      <c r="E123" s="33" t="s">
        <v>157</v>
      </c>
      <c r="F123" s="33" t="s">
        <v>157</v>
      </c>
      <c r="G123" s="194">
        <f>PA[[#This Row],[Date]]-DAY(PA[[#This Row],[Date]])+1</f>
        <v>1</v>
      </c>
      <c r="H123" s="32">
        <f>DAY(EOMONTH(PA[[#This Row],[Month Year]],0))</f>
        <v>31</v>
      </c>
      <c r="I123" s="121"/>
      <c r="J123" s="121"/>
      <c r="K123" s="35">
        <f>IFERROR((PA[[#This Row],[Sunset Time (POA&lt;20 W/m2)]]-PA[[#This Row],[Sunrise Time (POA&gt;20 W/m2)]])*24,"")</f>
        <v>0</v>
      </c>
      <c r="L123" s="33"/>
      <c r="M123" s="33"/>
      <c r="N123" s="33"/>
      <c r="O123" s="36"/>
      <c r="P123" s="36"/>
      <c r="Q123" s="33"/>
      <c r="R123" s="32">
        <f>IF((PA[[#This Row],[String Type(If String BD)]]&amp;PA[[#This Row],[Equipment (If any BD other than PV  array and inv)]])="",1,0)</f>
        <v>1</v>
      </c>
      <c r="S123" s="32">
        <f>IF(PA[[#This Row],[String Type(If String BD)]]="",1,0)</f>
        <v>1</v>
      </c>
      <c r="T1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3" s="35" t="str">
        <f>IFERROR(_xlfn.XLOOKUP(PA[[#This Row],[Affected Equipment ]],'Basic Data'!N:N,'Basic Data'!Q:Q),"")</f>
        <v/>
      </c>
      <c r="V123" s="39" t="str">
        <f>IFERROR(_xlfn.XLOOKUP(PA[[#This Row],[Affected Equipment ]],'Basic Data'!N:N,'Basic Data'!R:R),"")</f>
        <v/>
      </c>
      <c r="W123" s="36" t="s">
        <v>281</v>
      </c>
      <c r="X123" s="40"/>
      <c r="Y123" s="40" t="s">
        <v>301</v>
      </c>
      <c r="Z123" s="46">
        <v>0.28263888888888888</v>
      </c>
      <c r="AA123" s="46">
        <v>0.28263888888888888</v>
      </c>
      <c r="AB123" s="46">
        <v>0.28263888888888888</v>
      </c>
      <c r="AC123" s="46">
        <v>0.34097222222222223</v>
      </c>
      <c r="AD123" s="44">
        <f>IF(PA[[#This Row],[Acknowledgement Time ]]="NA","",(PA[[#This Row],[Acknowledgement Time ]]-PA[[#This Row],[Fault Time]])*24)</f>
        <v>0</v>
      </c>
      <c r="AE123" s="44">
        <f>IF(PA[[#This Row],[Work Start time on Fault]]="NA","",(PA[[#This Row],[Work Start time on Fault]]-PA[[#This Row],[Fault Time]])*24)</f>
        <v>0</v>
      </c>
      <c r="AF123" s="45">
        <f>IF(PA[[#This Row],[Status]]="Open","",(PA[[#This Row],[Work Completion time on fault]]-PA[[#This Row],[Fault Time]])*24)</f>
        <v>1.4000000000000004</v>
      </c>
      <c r="AG123" s="44">
        <f>IFERROR((PA[[#This Row],[Work Completion time on fault]]-PA[[#This Row],[Fault Time]])*24,"")</f>
        <v>1.4000000000000004</v>
      </c>
      <c r="AH123" s="36" t="s">
        <v>302</v>
      </c>
      <c r="AI123" s="33" t="s">
        <v>235</v>
      </c>
      <c r="AJ123" s="35" t="str">
        <f>IFERROR(PA[[#This Row],[Breakdown Time]]*PA[[#This Row],[Plant Equivalent Weightage]],"")</f>
        <v/>
      </c>
      <c r="AK123" s="36">
        <v>6.2623999999999999E-2</v>
      </c>
      <c r="AL123" s="51" t="str">
        <f>IFERROR((_xlfn.XLOOKUP($G123,'Modelling New'!D:D,'Modelling New'!$O:$O)*PA[[#This Row],[Lost PoA(kWh/m2)]]*PA[[#This Row],[DC Capacity Affected (kW)]]),"")</f>
        <v/>
      </c>
      <c r="AM123" s="33"/>
      <c r="AN123" s="33"/>
      <c r="AO123" s="33">
        <v>4533</v>
      </c>
      <c r="AP123" s="33"/>
    </row>
    <row r="124" spans="1:42">
      <c r="A124" s="30">
        <v>123</v>
      </c>
      <c r="B124" s="31"/>
      <c r="C124" s="32">
        <f>YEAR(PA[[#This Row],[Date]])+IF(MONTH(PA[[#This Row],[Date]])&gt;=4,1,0)</f>
        <v>1900</v>
      </c>
      <c r="D124" s="32">
        <f>YEAR(PA[[#This Row],[Date]])</f>
        <v>1900</v>
      </c>
      <c r="E124" s="33" t="s">
        <v>157</v>
      </c>
      <c r="F124" s="33" t="s">
        <v>157</v>
      </c>
      <c r="G124" s="194">
        <f>PA[[#This Row],[Date]]-DAY(PA[[#This Row],[Date]])+1</f>
        <v>1</v>
      </c>
      <c r="H124" s="32">
        <f>DAY(EOMONTH(PA[[#This Row],[Month Year]],0))</f>
        <v>31</v>
      </c>
      <c r="I124" s="121"/>
      <c r="J124" s="121"/>
      <c r="K124" s="35">
        <f>IFERROR((PA[[#This Row],[Sunset Time (POA&lt;20 W/m2)]]-PA[[#This Row],[Sunrise Time (POA&gt;20 W/m2)]])*24,"")</f>
        <v>0</v>
      </c>
      <c r="L124" s="33"/>
      <c r="M124" s="33"/>
      <c r="N124" s="33"/>
      <c r="O124" s="36"/>
      <c r="P124" s="36"/>
      <c r="Q124" s="33"/>
      <c r="R124" s="32">
        <f>IF((PA[[#This Row],[String Type(If String BD)]]&amp;PA[[#This Row],[Equipment (If any BD other than PV  array and inv)]])="",1,0)</f>
        <v>1</v>
      </c>
      <c r="S124" s="32">
        <f>IF(PA[[#This Row],[String Type(If String BD)]]="",1,0)</f>
        <v>1</v>
      </c>
      <c r="T1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4" s="35" t="str">
        <f>IFERROR(_xlfn.XLOOKUP(PA[[#This Row],[Affected Equipment ]],'Basic Data'!N:N,'Basic Data'!Q:Q),"")</f>
        <v/>
      </c>
      <c r="V124" s="39" t="str">
        <f>IFERROR(_xlfn.XLOOKUP(PA[[#This Row],[Affected Equipment ]],'Basic Data'!N:N,'Basic Data'!R:R),"")</f>
        <v/>
      </c>
      <c r="W124" s="36" t="s">
        <v>240</v>
      </c>
      <c r="X124" s="40"/>
      <c r="Y124" s="283" t="s">
        <v>304</v>
      </c>
      <c r="Z124" s="46">
        <v>0.59930555555555554</v>
      </c>
      <c r="AA124" s="46">
        <v>0.59930555555555554</v>
      </c>
      <c r="AB124" s="46">
        <v>0.59930555555555554</v>
      </c>
      <c r="AC124" s="46">
        <v>0.61527777777777781</v>
      </c>
      <c r="AD124" s="44">
        <f>IF(PA[[#This Row],[Acknowledgement Time ]]="NA","",(PA[[#This Row],[Acknowledgement Time ]]-PA[[#This Row],[Fault Time]])*24)</f>
        <v>0</v>
      </c>
      <c r="AE124" s="44">
        <f>IF(PA[[#This Row],[Work Start time on Fault]]="NA","",(PA[[#This Row],[Work Start time on Fault]]-PA[[#This Row],[Fault Time]])*24)</f>
        <v>0</v>
      </c>
      <c r="AF124" s="45">
        <f>IF(PA[[#This Row],[Status]]="Open","",(PA[[#This Row],[Work Completion time on fault]]-PA[[#This Row],[Fault Time]])*24)</f>
        <v>0.38333333333333464</v>
      </c>
      <c r="AG124" s="44">
        <f>IFERROR((PA[[#This Row],[Work Completion time on fault]]-PA[[#This Row],[Fault Time]])*24,"")</f>
        <v>0.38333333333333464</v>
      </c>
      <c r="AH124" s="284" t="s">
        <v>248</v>
      </c>
      <c r="AI124" s="33" t="s">
        <v>235</v>
      </c>
      <c r="AJ124" s="35" t="str">
        <f>IFERROR(PA[[#This Row],[Breakdown Time]]*PA[[#This Row],[Plant Equivalent Weightage]],"")</f>
        <v/>
      </c>
      <c r="AK124" s="36">
        <v>4.3240000000000001E-2</v>
      </c>
      <c r="AL124" s="51" t="str">
        <f>IFERROR((_xlfn.XLOOKUP($G124,'Modelling New'!D:D,'Modelling New'!$O:$O)*PA[[#This Row],[Lost PoA(kWh/m2)]]*PA[[#This Row],[DC Capacity Affected (kW)]]),"")</f>
        <v/>
      </c>
      <c r="AM124" s="33"/>
      <c r="AN124" s="33"/>
      <c r="AO124" s="33"/>
      <c r="AP124" s="33"/>
    </row>
    <row r="125" spans="1:42">
      <c r="A125" s="30">
        <v>124</v>
      </c>
      <c r="B125" s="31"/>
      <c r="C125" s="32">
        <f>YEAR(PA[[#This Row],[Date]])+IF(MONTH(PA[[#This Row],[Date]])&gt;=4,1,0)</f>
        <v>1900</v>
      </c>
      <c r="D125" s="32">
        <f>YEAR(PA[[#This Row],[Date]])</f>
        <v>1900</v>
      </c>
      <c r="E125" s="33" t="s">
        <v>157</v>
      </c>
      <c r="F125" s="33" t="s">
        <v>157</v>
      </c>
      <c r="G125" s="194">
        <f>PA[[#This Row],[Date]]-DAY(PA[[#This Row],[Date]])+1</f>
        <v>1</v>
      </c>
      <c r="H125" s="32">
        <f>DAY(EOMONTH(PA[[#This Row],[Month Year]],0))</f>
        <v>31</v>
      </c>
      <c r="I125" s="121"/>
      <c r="J125" s="121"/>
      <c r="K125" s="35">
        <f>IFERROR((PA[[#This Row],[Sunset Time (POA&lt;20 W/m2)]]-PA[[#This Row],[Sunrise Time (POA&gt;20 W/m2)]])*24,"")</f>
        <v>0</v>
      </c>
      <c r="L125" s="33"/>
      <c r="M125" s="33"/>
      <c r="N125" s="33"/>
      <c r="O125" s="36"/>
      <c r="P125" s="36"/>
      <c r="Q125" s="33"/>
      <c r="R125" s="32">
        <f>IF((PA[[#This Row],[String Type(If String BD)]]&amp;PA[[#This Row],[Equipment (If any BD other than PV  array and inv)]])="",1,0)</f>
        <v>1</v>
      </c>
      <c r="S125" s="32">
        <f>IF(PA[[#This Row],[String Type(If String BD)]]="",1,0)</f>
        <v>1</v>
      </c>
      <c r="T1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5" s="35" t="str">
        <f>IFERROR(_xlfn.XLOOKUP(PA[[#This Row],[Affected Equipment ]],'Basic Data'!N:N,'Basic Data'!Q:Q),"")</f>
        <v/>
      </c>
      <c r="V125" s="39" t="str">
        <f>IFERROR(_xlfn.XLOOKUP(PA[[#This Row],[Affected Equipment ]],'Basic Data'!N:N,'Basic Data'!R:R),"")</f>
        <v/>
      </c>
      <c r="W125" s="36" t="s">
        <v>285</v>
      </c>
      <c r="X125" s="40"/>
      <c r="Y125" s="40" t="s">
        <v>305</v>
      </c>
      <c r="Z125" s="46">
        <v>0.26458333333333334</v>
      </c>
      <c r="AA125" s="46">
        <v>0.26458333333333334</v>
      </c>
      <c r="AB125" s="46">
        <v>0.26458333333333334</v>
      </c>
      <c r="AC125" s="46">
        <v>0.65277777777777779</v>
      </c>
      <c r="AD125" s="44">
        <f>IF(PA[[#This Row],[Acknowledgement Time ]]="NA","",(PA[[#This Row],[Acknowledgement Time ]]-PA[[#This Row],[Fault Time]])*24)</f>
        <v>0</v>
      </c>
      <c r="AE125" s="44">
        <f>IF(PA[[#This Row],[Work Start time on Fault]]="NA","",(PA[[#This Row],[Work Start time on Fault]]-PA[[#This Row],[Fault Time]])*24)</f>
        <v>0</v>
      </c>
      <c r="AF125" s="45">
        <f>IF(PA[[#This Row],[Status]]="Open","",(PA[[#This Row],[Work Completion time on fault]]-PA[[#This Row],[Fault Time]])*24)</f>
        <v>9.3166666666666664</v>
      </c>
      <c r="AG125" s="44">
        <f>IFERROR((PA[[#This Row],[Work Completion time on fault]]-PA[[#This Row],[Fault Time]])*24,"")</f>
        <v>9.3166666666666664</v>
      </c>
      <c r="AH125" s="282" t="s">
        <v>306</v>
      </c>
      <c r="AI125" s="33" t="s">
        <v>235</v>
      </c>
      <c r="AJ125" s="35" t="str">
        <f>IFERROR(PA[[#This Row],[Breakdown Time]]*PA[[#This Row],[Plant Equivalent Weightage]],"")</f>
        <v/>
      </c>
      <c r="AK125" s="36">
        <v>4.2469999999999999</v>
      </c>
      <c r="AL125" s="51" t="str">
        <f>IFERROR((_xlfn.XLOOKUP($G125,'Modelling New'!D:D,'Modelling New'!$O:$O)*PA[[#This Row],[Lost PoA(kWh/m2)]]*PA[[#This Row],[DC Capacity Affected (kW)]]),"")</f>
        <v/>
      </c>
      <c r="AM125" s="33"/>
      <c r="AN125" s="33"/>
      <c r="AO125" s="33">
        <v>4585</v>
      </c>
      <c r="AP125" s="33" t="s">
        <v>307</v>
      </c>
    </row>
    <row r="126" spans="1:42">
      <c r="A126" s="30">
        <v>125</v>
      </c>
      <c r="B126" s="31"/>
      <c r="C126" s="32">
        <f>YEAR(PA[[#This Row],[Date]])+IF(MONTH(PA[[#This Row],[Date]])&gt;=4,1,0)</f>
        <v>1900</v>
      </c>
      <c r="D126" s="32">
        <f>YEAR(PA[[#This Row],[Date]])</f>
        <v>1900</v>
      </c>
      <c r="E126" s="33" t="s">
        <v>157</v>
      </c>
      <c r="F126" s="33" t="s">
        <v>157</v>
      </c>
      <c r="G126" s="194">
        <f>PA[[#This Row],[Date]]-DAY(PA[[#This Row],[Date]])+1</f>
        <v>1</v>
      </c>
      <c r="H126" s="32">
        <f>DAY(EOMONTH(PA[[#This Row],[Month Year]],0))</f>
        <v>31</v>
      </c>
      <c r="I126" s="121"/>
      <c r="J126" s="121"/>
      <c r="K126" s="35">
        <f>IFERROR((PA[[#This Row],[Sunset Time (POA&lt;20 W/m2)]]-PA[[#This Row],[Sunrise Time (POA&gt;20 W/m2)]])*24,"")</f>
        <v>0</v>
      </c>
      <c r="L126" s="33"/>
      <c r="M126" s="33"/>
      <c r="N126" s="33"/>
      <c r="O126" s="36"/>
      <c r="P126" s="36"/>
      <c r="Q126" s="33"/>
      <c r="R126" s="32">
        <f>IF((PA[[#This Row],[String Type(If String BD)]]&amp;PA[[#This Row],[Equipment (If any BD other than PV  array and inv)]])="",1,0)</f>
        <v>1</v>
      </c>
      <c r="S126" s="32">
        <f>IF(PA[[#This Row],[String Type(If String BD)]]="",1,0)</f>
        <v>1</v>
      </c>
      <c r="T126" s="32" t="s">
        <v>125</v>
      </c>
      <c r="U126" s="35" t="str">
        <f>IFERROR(_xlfn.XLOOKUP(PA[[#This Row],[Affected Equipment ]],'Basic Data'!N:N,'Basic Data'!Q:Q),"")</f>
        <v/>
      </c>
      <c r="V126" s="39" t="str">
        <f>IFERROR(_xlfn.XLOOKUP(PA[[#This Row],[Affected Equipment ]],'Basic Data'!N:N,'Basic Data'!R:R),"")</f>
        <v/>
      </c>
      <c r="W126" s="36" t="s">
        <v>281</v>
      </c>
      <c r="X126" s="40"/>
      <c r="Y126" s="40" t="s">
        <v>308</v>
      </c>
      <c r="Z126" s="46">
        <v>0.50069444444444444</v>
      </c>
      <c r="AA126" s="46">
        <v>0.50069444444444444</v>
      </c>
      <c r="AB126" s="46">
        <v>0.50069444444444444</v>
      </c>
      <c r="AC126" s="46">
        <v>0.58125000000000004</v>
      </c>
      <c r="AD126" s="44">
        <f>IF(PA[[#This Row],[Acknowledgement Time ]]="NA","",(PA[[#This Row],[Acknowledgement Time ]]-PA[[#This Row],[Fault Time]])*24)</f>
        <v>0</v>
      </c>
      <c r="AE126" s="44">
        <f>IF(PA[[#This Row],[Work Start time on Fault]]="NA","",(PA[[#This Row],[Work Start time on Fault]]-PA[[#This Row],[Fault Time]])*24)</f>
        <v>0</v>
      </c>
      <c r="AF126" s="45">
        <f>IF(PA[[#This Row],[Status]]="Open","",(PA[[#This Row],[Work Completion time on fault]]-PA[[#This Row],[Fault Time]])*24)</f>
        <v>1.9333333333333345</v>
      </c>
      <c r="AG126" s="44">
        <f>IFERROR((PA[[#This Row],[Work Completion time on fault]]-PA[[#This Row],[Fault Time]])*24,"")</f>
        <v>1.9333333333333345</v>
      </c>
      <c r="AH126" s="36" t="s">
        <v>309</v>
      </c>
      <c r="AI126" s="33" t="s">
        <v>235</v>
      </c>
      <c r="AJ126" s="35" t="str">
        <f>IFERROR(PA[[#This Row],[Breakdown Time]]*PA[[#This Row],[Plant Equivalent Weightage]],"")</f>
        <v/>
      </c>
      <c r="AK126" s="36">
        <v>0.37616783333333331</v>
      </c>
      <c r="AL126" s="51" t="str">
        <f>IFERROR((_xlfn.XLOOKUP($G126,'Modelling New'!D:D,'Modelling New'!$O:$O)*PA[[#This Row],[Lost PoA(kWh/m2)]]*PA[[#This Row],[DC Capacity Affected (kW)]]),"")</f>
        <v/>
      </c>
      <c r="AM126" s="33"/>
      <c r="AN126" s="33"/>
      <c r="AO126" s="33">
        <v>4611</v>
      </c>
      <c r="AP126" s="33"/>
    </row>
    <row r="127" spans="1:42">
      <c r="A127" s="30">
        <v>126</v>
      </c>
      <c r="B127" s="31"/>
      <c r="C127" s="32">
        <f>YEAR(PA[[#This Row],[Date]])+IF(MONTH(PA[[#This Row],[Date]])&gt;=4,1,0)</f>
        <v>1900</v>
      </c>
      <c r="D127" s="32">
        <f>YEAR(PA[[#This Row],[Date]])</f>
        <v>1900</v>
      </c>
      <c r="E127" s="33" t="s">
        <v>157</v>
      </c>
      <c r="F127" s="33" t="s">
        <v>157</v>
      </c>
      <c r="G127" s="194">
        <f>PA[[#This Row],[Date]]-DAY(PA[[#This Row],[Date]])+1</f>
        <v>1</v>
      </c>
      <c r="H127" s="32">
        <f>DAY(EOMONTH(PA[[#This Row],[Month Year]],0))</f>
        <v>31</v>
      </c>
      <c r="I127" s="121"/>
      <c r="J127" s="121"/>
      <c r="K127" s="35">
        <f>IFERROR((PA[[#This Row],[Sunset Time (POA&lt;20 W/m2)]]-PA[[#This Row],[Sunrise Time (POA&gt;20 W/m2)]])*24,"")</f>
        <v>0</v>
      </c>
      <c r="L127" s="33"/>
      <c r="M127" s="33"/>
      <c r="N127" s="33"/>
      <c r="O127" s="36"/>
      <c r="P127" s="36"/>
      <c r="Q127" s="33"/>
      <c r="R127" s="32">
        <f>IF((PA[[#This Row],[String Type(If String BD)]]&amp;PA[[#This Row],[Equipment (If any BD other than PV  array and inv)]])="",1,0)</f>
        <v>1</v>
      </c>
      <c r="S127" s="32">
        <f>IF(PA[[#This Row],[String Type(If String BD)]]="",1,0)</f>
        <v>1</v>
      </c>
      <c r="T1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7" s="35" t="str">
        <f>IFERROR(_xlfn.XLOOKUP(PA[[#This Row],[Affected Equipment ]],'Basic Data'!N:N,'Basic Data'!Q:Q),"")</f>
        <v/>
      </c>
      <c r="V127" s="39" t="str">
        <f>IFERROR(_xlfn.XLOOKUP(PA[[#This Row],[Affected Equipment ]],'Basic Data'!N:N,'Basic Data'!R:R),"")</f>
        <v/>
      </c>
      <c r="W127" s="36" t="s">
        <v>281</v>
      </c>
      <c r="X127" s="40"/>
      <c r="Y127" s="40" t="s">
        <v>308</v>
      </c>
      <c r="Z127" s="46">
        <v>0.50069444444444444</v>
      </c>
      <c r="AA127" s="46">
        <v>0.50069444444444444</v>
      </c>
      <c r="AB127" s="46">
        <v>0.50069444444444444</v>
      </c>
      <c r="AC127" s="46">
        <v>0.58125000000000004</v>
      </c>
      <c r="AD127" s="44">
        <f>IF(PA[[#This Row],[Acknowledgement Time ]]="NA","",(PA[[#This Row],[Acknowledgement Time ]]-PA[[#This Row],[Fault Time]])*24)</f>
        <v>0</v>
      </c>
      <c r="AE127" s="44">
        <f>IF(PA[[#This Row],[Work Start time on Fault]]="NA","",(PA[[#This Row],[Work Start time on Fault]]-PA[[#This Row],[Fault Time]])*24)</f>
        <v>0</v>
      </c>
      <c r="AF127" s="45">
        <f>IF(PA[[#This Row],[Status]]="Open","",(PA[[#This Row],[Work Completion time on fault]]-PA[[#This Row],[Fault Time]])*24)</f>
        <v>1.9333333333333345</v>
      </c>
      <c r="AG127" s="44">
        <f>IFERROR((PA[[#This Row],[Work Completion time on fault]]-PA[[#This Row],[Fault Time]])*24,"")</f>
        <v>1.9333333333333345</v>
      </c>
      <c r="AH127" s="36" t="s">
        <v>309</v>
      </c>
      <c r="AI127" s="33" t="s">
        <v>235</v>
      </c>
      <c r="AJ127" s="35" t="str">
        <f>IFERROR(PA[[#This Row],[Breakdown Time]]*PA[[#This Row],[Plant Equivalent Weightage]],"")</f>
        <v/>
      </c>
      <c r="AK127" s="36">
        <v>0.37616783333333331</v>
      </c>
      <c r="AL127" s="51" t="str">
        <f>IFERROR((_xlfn.XLOOKUP($G127,'Modelling New'!D:D,'Modelling New'!$O:$O)*PA[[#This Row],[Lost PoA(kWh/m2)]]*PA[[#This Row],[DC Capacity Affected (kW)]]),"")</f>
        <v/>
      </c>
      <c r="AM127" s="33"/>
      <c r="AN127" s="33"/>
      <c r="AO127" s="33">
        <v>4611</v>
      </c>
      <c r="AP127" s="33"/>
    </row>
    <row r="128" spans="1:42">
      <c r="A128" s="30">
        <v>127</v>
      </c>
      <c r="B128" s="31"/>
      <c r="C128" s="32">
        <f>YEAR(PA[[#This Row],[Date]])+IF(MONTH(PA[[#This Row],[Date]])&gt;=4,1,0)</f>
        <v>1900</v>
      </c>
      <c r="D128" s="32">
        <f>YEAR(PA[[#This Row],[Date]])</f>
        <v>1900</v>
      </c>
      <c r="E128" s="33" t="s">
        <v>157</v>
      </c>
      <c r="F128" s="33" t="s">
        <v>157</v>
      </c>
      <c r="G128" s="194">
        <f>PA[[#This Row],[Date]]-DAY(PA[[#This Row],[Date]])+1</f>
        <v>1</v>
      </c>
      <c r="H128" s="32">
        <f>DAY(EOMONTH(PA[[#This Row],[Month Year]],0))</f>
        <v>31</v>
      </c>
      <c r="I128" s="121"/>
      <c r="J128" s="121"/>
      <c r="K128" s="35">
        <f>IFERROR((PA[[#This Row],[Sunset Time (POA&lt;20 W/m2)]]-PA[[#This Row],[Sunrise Time (POA&gt;20 W/m2)]])*24,"")</f>
        <v>0</v>
      </c>
      <c r="L128" s="33"/>
      <c r="M128" s="33"/>
      <c r="N128" s="33"/>
      <c r="O128" s="36"/>
      <c r="P128" s="36"/>
      <c r="Q128" s="33"/>
      <c r="R128" s="32">
        <f>IF((PA[[#This Row],[String Type(If String BD)]]&amp;PA[[#This Row],[Equipment (If any BD other than PV  array and inv)]])="",1,0)</f>
        <v>1</v>
      </c>
      <c r="S128" s="32">
        <f>IF(PA[[#This Row],[String Type(If String BD)]]="",1,0)</f>
        <v>1</v>
      </c>
      <c r="T1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8" s="35" t="str">
        <f>IFERROR(_xlfn.XLOOKUP(PA[[#This Row],[Affected Equipment ]],'Basic Data'!N:N,'Basic Data'!Q:Q),"")</f>
        <v/>
      </c>
      <c r="V128" s="39" t="str">
        <f>IFERROR(_xlfn.XLOOKUP(PA[[#This Row],[Affected Equipment ]],'Basic Data'!N:N,'Basic Data'!R:R),"")</f>
        <v/>
      </c>
      <c r="W128" s="36" t="s">
        <v>281</v>
      </c>
      <c r="X128" s="40"/>
      <c r="Y128" s="40" t="s">
        <v>308</v>
      </c>
      <c r="Z128" s="46">
        <v>0.50069444444444444</v>
      </c>
      <c r="AA128" s="46">
        <v>0.50069444444444444</v>
      </c>
      <c r="AB128" s="46">
        <v>0.50069444444444444</v>
      </c>
      <c r="AC128" s="46">
        <v>0.58611111111111114</v>
      </c>
      <c r="AD128" s="44">
        <f>IF(PA[[#This Row],[Acknowledgement Time ]]="NA","",(PA[[#This Row],[Acknowledgement Time ]]-PA[[#This Row],[Fault Time]])*24)</f>
        <v>0</v>
      </c>
      <c r="AE128" s="44">
        <f>IF(PA[[#This Row],[Work Start time on Fault]]="NA","",(PA[[#This Row],[Work Start time on Fault]]-PA[[#This Row],[Fault Time]])*24)</f>
        <v>0</v>
      </c>
      <c r="AF128" s="45">
        <f>IF(PA[[#This Row],[Status]]="Open","",(PA[[#This Row],[Work Completion time on fault]]-PA[[#This Row],[Fault Time]])*24)</f>
        <v>2.0500000000000007</v>
      </c>
      <c r="AG128" s="44">
        <f>IFERROR((PA[[#This Row],[Work Completion time on fault]]-PA[[#This Row],[Fault Time]])*24,"")</f>
        <v>2.0500000000000007</v>
      </c>
      <c r="AH128" s="36" t="s">
        <v>309</v>
      </c>
      <c r="AI128" s="33" t="s">
        <v>235</v>
      </c>
      <c r="AJ128" s="35" t="str">
        <f>IFERROR(PA[[#This Row],[Breakdown Time]]*PA[[#This Row],[Plant Equivalent Weightage]],"")</f>
        <v/>
      </c>
      <c r="AK128" s="36">
        <v>0.39956851166666668</v>
      </c>
      <c r="AL128" s="51" t="str">
        <f>IFERROR((_xlfn.XLOOKUP($G128,'Modelling New'!D:D,'Modelling New'!$O:$O)*PA[[#This Row],[Lost PoA(kWh/m2)]]*PA[[#This Row],[DC Capacity Affected (kW)]]),"")</f>
        <v/>
      </c>
      <c r="AM128" s="33"/>
      <c r="AN128" s="33"/>
      <c r="AO128" s="33">
        <v>4611</v>
      </c>
      <c r="AP128" s="33"/>
    </row>
    <row r="129" spans="1:42">
      <c r="A129" s="30">
        <v>128</v>
      </c>
      <c r="B129" s="31"/>
      <c r="C129" s="32">
        <f>YEAR(PA[[#This Row],[Date]])+IF(MONTH(PA[[#This Row],[Date]])&gt;=4,1,0)</f>
        <v>1900</v>
      </c>
      <c r="D129" s="32">
        <f>YEAR(PA[[#This Row],[Date]])</f>
        <v>1900</v>
      </c>
      <c r="E129" s="33" t="s">
        <v>157</v>
      </c>
      <c r="F129" s="33" t="s">
        <v>157</v>
      </c>
      <c r="G129" s="194">
        <f>PA[[#This Row],[Date]]-DAY(PA[[#This Row],[Date]])+1</f>
        <v>1</v>
      </c>
      <c r="H129" s="32">
        <f>DAY(EOMONTH(PA[[#This Row],[Month Year]],0))</f>
        <v>31</v>
      </c>
      <c r="I129" s="121"/>
      <c r="J129" s="121"/>
      <c r="K129" s="35">
        <f>IFERROR((PA[[#This Row],[Sunset Time (POA&lt;20 W/m2)]]-PA[[#This Row],[Sunrise Time (POA&gt;20 W/m2)]])*24,"")</f>
        <v>0</v>
      </c>
      <c r="L129" s="33"/>
      <c r="M129" s="33"/>
      <c r="N129" s="33"/>
      <c r="O129" s="36"/>
      <c r="P129" s="36"/>
      <c r="Q129" s="33"/>
      <c r="R129" s="32">
        <f>IF((PA[[#This Row],[String Type(If String BD)]]&amp;PA[[#This Row],[Equipment (If any BD other than PV  array and inv)]])="",1,0)</f>
        <v>1</v>
      </c>
      <c r="S129" s="32">
        <f>IF(PA[[#This Row],[String Type(If String BD)]]="",1,0)</f>
        <v>1</v>
      </c>
      <c r="T1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29" s="35" t="str">
        <f>IFERROR(_xlfn.XLOOKUP(PA[[#This Row],[Affected Equipment ]],'Basic Data'!N:N,'Basic Data'!Q:Q),"")</f>
        <v/>
      </c>
      <c r="V129" s="39" t="str">
        <f>IFERROR(_xlfn.XLOOKUP(PA[[#This Row],[Affected Equipment ]],'Basic Data'!N:N,'Basic Data'!R:R),"")</f>
        <v/>
      </c>
      <c r="W129" s="36" t="s">
        <v>281</v>
      </c>
      <c r="X129" s="40"/>
      <c r="Y129" s="40" t="s">
        <v>308</v>
      </c>
      <c r="Z129" s="46">
        <v>0.50069444444444444</v>
      </c>
      <c r="AA129" s="46">
        <v>0.50069444444444444</v>
      </c>
      <c r="AB129" s="46">
        <v>0.50069444444444444</v>
      </c>
      <c r="AC129" s="46">
        <v>0.58611111111111114</v>
      </c>
      <c r="AD129" s="44">
        <f>IF(PA[[#This Row],[Acknowledgement Time ]]="NA","",(PA[[#This Row],[Acknowledgement Time ]]-PA[[#This Row],[Fault Time]])*24)</f>
        <v>0</v>
      </c>
      <c r="AE129" s="44">
        <f>IF(PA[[#This Row],[Work Start time on Fault]]="NA","",(PA[[#This Row],[Work Start time on Fault]]-PA[[#This Row],[Fault Time]])*24)</f>
        <v>0</v>
      </c>
      <c r="AF129" s="45">
        <f>IF(PA[[#This Row],[Status]]="Open","",(PA[[#This Row],[Work Completion time on fault]]-PA[[#This Row],[Fault Time]])*24)</f>
        <v>2.0500000000000007</v>
      </c>
      <c r="AG129" s="44">
        <f>IFERROR((PA[[#This Row],[Work Completion time on fault]]-PA[[#This Row],[Fault Time]])*24,"")</f>
        <v>2.0500000000000007</v>
      </c>
      <c r="AH129" s="36" t="s">
        <v>309</v>
      </c>
      <c r="AI129" s="33" t="s">
        <v>235</v>
      </c>
      <c r="AJ129" s="35" t="str">
        <f>IFERROR(PA[[#This Row],[Breakdown Time]]*PA[[#This Row],[Plant Equivalent Weightage]],"")</f>
        <v/>
      </c>
      <c r="AK129" s="36">
        <v>0.39956851166666668</v>
      </c>
      <c r="AL129" s="51" t="str">
        <f>IFERROR((_xlfn.XLOOKUP($G129,'Modelling New'!D:D,'Modelling New'!$O:$O)*PA[[#This Row],[Lost PoA(kWh/m2)]]*PA[[#This Row],[DC Capacity Affected (kW)]]),"")</f>
        <v/>
      </c>
      <c r="AM129" s="33"/>
      <c r="AN129" s="33"/>
      <c r="AO129" s="33">
        <v>4611</v>
      </c>
      <c r="AP129" s="33"/>
    </row>
    <row r="130" spans="1:42">
      <c r="A130" s="30">
        <v>129</v>
      </c>
      <c r="B130" s="31"/>
      <c r="C130" s="32">
        <f>YEAR(PA[[#This Row],[Date]])+IF(MONTH(PA[[#This Row],[Date]])&gt;=4,1,0)</f>
        <v>1900</v>
      </c>
      <c r="D130" s="32">
        <f>YEAR(PA[[#This Row],[Date]])</f>
        <v>1900</v>
      </c>
      <c r="E130" s="33" t="s">
        <v>157</v>
      </c>
      <c r="F130" s="33" t="s">
        <v>157</v>
      </c>
      <c r="G130" s="194">
        <f>PA[[#This Row],[Date]]-DAY(PA[[#This Row],[Date]])+1</f>
        <v>1</v>
      </c>
      <c r="H130" s="32">
        <f>DAY(EOMONTH(PA[[#This Row],[Month Year]],0))</f>
        <v>31</v>
      </c>
      <c r="I130" s="121"/>
      <c r="J130" s="121"/>
      <c r="K130" s="35">
        <f>IFERROR((PA[[#This Row],[Sunset Time (POA&lt;20 W/m2)]]-PA[[#This Row],[Sunrise Time (POA&gt;20 W/m2)]])*24,"")</f>
        <v>0</v>
      </c>
      <c r="L130" s="33"/>
      <c r="M130" s="33"/>
      <c r="N130" s="33"/>
      <c r="O130" s="36"/>
      <c r="P130" s="36"/>
      <c r="Q130" s="33"/>
      <c r="R130" s="32">
        <f>IF((PA[[#This Row],[String Type(If String BD)]]&amp;PA[[#This Row],[Equipment (If any BD other than PV  array and inv)]])="",1,0)</f>
        <v>1</v>
      </c>
      <c r="S130" s="32">
        <f>IF(PA[[#This Row],[String Type(If String BD)]]="",1,0)</f>
        <v>1</v>
      </c>
      <c r="T1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0" s="35" t="str">
        <f>IFERROR(_xlfn.XLOOKUP(PA[[#This Row],[Affected Equipment ]],'Basic Data'!N:N,'Basic Data'!Q:Q),"")</f>
        <v/>
      </c>
      <c r="V130" s="39" t="str">
        <f>IFERROR(_xlfn.XLOOKUP(PA[[#This Row],[Affected Equipment ]],'Basic Data'!N:N,'Basic Data'!R:R),"")</f>
        <v/>
      </c>
      <c r="W130" s="36" t="s">
        <v>281</v>
      </c>
      <c r="X130" s="40"/>
      <c r="Y130" s="40" t="s">
        <v>308</v>
      </c>
      <c r="Z130" s="46">
        <v>0.50069444444444444</v>
      </c>
      <c r="AA130" s="46">
        <v>0.50069444444444444</v>
      </c>
      <c r="AB130" s="46">
        <v>0.50069444444444444</v>
      </c>
      <c r="AC130" s="46">
        <v>0.58402777777777781</v>
      </c>
      <c r="AD130" s="44">
        <f>IF(PA[[#This Row],[Acknowledgement Time ]]="NA","",(PA[[#This Row],[Acknowledgement Time ]]-PA[[#This Row],[Fault Time]])*24)</f>
        <v>0</v>
      </c>
      <c r="AE130" s="44">
        <f>IF(PA[[#This Row],[Work Start time on Fault]]="NA","",(PA[[#This Row],[Work Start time on Fault]]-PA[[#This Row],[Fault Time]])*24)</f>
        <v>0</v>
      </c>
      <c r="AF130" s="45">
        <f>IF(PA[[#This Row],[Status]]="Open","",(PA[[#This Row],[Work Completion time on fault]]-PA[[#This Row],[Fault Time]])*24)</f>
        <v>2.0000000000000009</v>
      </c>
      <c r="AG130" s="44">
        <f>IFERROR((PA[[#This Row],[Work Completion time on fault]]-PA[[#This Row],[Fault Time]])*24,"")</f>
        <v>2.0000000000000009</v>
      </c>
      <c r="AH130" s="36" t="s">
        <v>309</v>
      </c>
      <c r="AI130" s="33" t="s">
        <v>235</v>
      </c>
      <c r="AJ130" s="35" t="str">
        <f>IFERROR(PA[[#This Row],[Breakdown Time]]*PA[[#This Row],[Plant Equivalent Weightage]],"")</f>
        <v/>
      </c>
      <c r="AK130" s="36">
        <v>0.389436</v>
      </c>
      <c r="AL130" s="51" t="str">
        <f>IFERROR((_xlfn.XLOOKUP($G130,'Modelling New'!D:D,'Modelling New'!$O:$O)*PA[[#This Row],[Lost PoA(kWh/m2)]]*PA[[#This Row],[DC Capacity Affected (kW)]]),"")</f>
        <v/>
      </c>
      <c r="AM130" s="33"/>
      <c r="AN130" s="33"/>
      <c r="AO130" s="33">
        <v>4611</v>
      </c>
      <c r="AP130" s="33"/>
    </row>
    <row r="131" spans="1:42">
      <c r="A131" s="30">
        <v>130</v>
      </c>
      <c r="B131" s="31"/>
      <c r="C131" s="32">
        <f>YEAR(PA[[#This Row],[Date]])+IF(MONTH(PA[[#This Row],[Date]])&gt;=4,1,0)</f>
        <v>1900</v>
      </c>
      <c r="D131" s="32">
        <f>YEAR(PA[[#This Row],[Date]])</f>
        <v>1900</v>
      </c>
      <c r="E131" s="33" t="s">
        <v>157</v>
      </c>
      <c r="F131" s="33" t="s">
        <v>157</v>
      </c>
      <c r="G131" s="194">
        <f>PA[[#This Row],[Date]]-DAY(PA[[#This Row],[Date]])+1</f>
        <v>1</v>
      </c>
      <c r="H131" s="32">
        <f>DAY(EOMONTH(PA[[#This Row],[Month Year]],0))</f>
        <v>31</v>
      </c>
      <c r="I131" s="121"/>
      <c r="J131" s="121"/>
      <c r="K131" s="35">
        <f>IFERROR((PA[[#This Row],[Sunset Time (POA&lt;20 W/m2)]]-PA[[#This Row],[Sunrise Time (POA&gt;20 W/m2)]])*24,"")</f>
        <v>0</v>
      </c>
      <c r="L131" s="33"/>
      <c r="M131" s="33"/>
      <c r="N131" s="33"/>
      <c r="O131" s="36"/>
      <c r="P131" s="36"/>
      <c r="Q131" s="33"/>
      <c r="R131" s="32">
        <f>IF((PA[[#This Row],[String Type(If String BD)]]&amp;PA[[#This Row],[Equipment (If any BD other than PV  array and inv)]])="",1,0)</f>
        <v>1</v>
      </c>
      <c r="S131" s="32">
        <f>IF(PA[[#This Row],[String Type(If String BD)]]="",1,0)</f>
        <v>1</v>
      </c>
      <c r="T1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1" s="35" t="str">
        <f>IFERROR(_xlfn.XLOOKUP(PA[[#This Row],[Affected Equipment ]],'Basic Data'!N:N,'Basic Data'!Q:Q),"")</f>
        <v/>
      </c>
      <c r="V131" s="39" t="str">
        <f>IFERROR(_xlfn.XLOOKUP(PA[[#This Row],[Affected Equipment ]],'Basic Data'!N:N,'Basic Data'!R:R),"")</f>
        <v/>
      </c>
      <c r="W131" s="36" t="s">
        <v>281</v>
      </c>
      <c r="X131" s="40"/>
      <c r="Y131" s="40" t="s">
        <v>308</v>
      </c>
      <c r="Z131" s="46">
        <v>0.50069444444444444</v>
      </c>
      <c r="AA131" s="46">
        <v>0.50069444444444444</v>
      </c>
      <c r="AB131" s="46">
        <v>0.50069444444444444</v>
      </c>
      <c r="AC131" s="46">
        <v>0.5756944444444444</v>
      </c>
      <c r="AD131" s="44">
        <f>IF(PA[[#This Row],[Acknowledgement Time ]]="NA","",(PA[[#This Row],[Acknowledgement Time ]]-PA[[#This Row],[Fault Time]])*24)</f>
        <v>0</v>
      </c>
      <c r="AE131" s="44">
        <f>IF(PA[[#This Row],[Work Start time on Fault]]="NA","",(PA[[#This Row],[Work Start time on Fault]]-PA[[#This Row],[Fault Time]])*24)</f>
        <v>0</v>
      </c>
      <c r="AF131" s="45">
        <f>IF(PA[[#This Row],[Status]]="Open","",(PA[[#This Row],[Work Completion time on fault]]-PA[[#This Row],[Fault Time]])*24)</f>
        <v>1.7999999999999989</v>
      </c>
      <c r="AG131" s="44">
        <f>IFERROR((PA[[#This Row],[Work Completion time on fault]]-PA[[#This Row],[Fault Time]])*24,"")</f>
        <v>1.7999999999999989</v>
      </c>
      <c r="AH131" s="36" t="s">
        <v>309</v>
      </c>
      <c r="AI131" s="33" t="s">
        <v>235</v>
      </c>
      <c r="AJ131" s="35" t="str">
        <f>IFERROR(PA[[#This Row],[Breakdown Time]]*PA[[#This Row],[Plant Equivalent Weightage]],"")</f>
        <v/>
      </c>
      <c r="AK131" s="36">
        <v>0.34861993333333335</v>
      </c>
      <c r="AL131" s="51" t="str">
        <f>IFERROR((_xlfn.XLOOKUP($G131,'Modelling New'!D:D,'Modelling New'!$O:$O)*PA[[#This Row],[Lost PoA(kWh/m2)]]*PA[[#This Row],[DC Capacity Affected (kW)]]),"")</f>
        <v/>
      </c>
      <c r="AM131" s="33"/>
      <c r="AN131" s="33"/>
      <c r="AO131" s="33">
        <v>4611</v>
      </c>
      <c r="AP131" s="33"/>
    </row>
    <row r="132" spans="1:42">
      <c r="A132" s="30">
        <v>131</v>
      </c>
      <c r="B132" s="31"/>
      <c r="C132" s="32">
        <f>YEAR(PA[[#This Row],[Date]])+IF(MONTH(PA[[#This Row],[Date]])&gt;=4,1,0)</f>
        <v>1900</v>
      </c>
      <c r="D132" s="32">
        <f>YEAR(PA[[#This Row],[Date]])</f>
        <v>1900</v>
      </c>
      <c r="E132" s="33" t="s">
        <v>157</v>
      </c>
      <c r="F132" s="33" t="s">
        <v>157</v>
      </c>
      <c r="G132" s="194">
        <f>PA[[#This Row],[Date]]-DAY(PA[[#This Row],[Date]])+1</f>
        <v>1</v>
      </c>
      <c r="H132" s="32">
        <f>DAY(EOMONTH(PA[[#This Row],[Month Year]],0))</f>
        <v>31</v>
      </c>
      <c r="I132" s="121"/>
      <c r="J132" s="121"/>
      <c r="K132" s="35">
        <f>IFERROR((PA[[#This Row],[Sunset Time (POA&lt;20 W/m2)]]-PA[[#This Row],[Sunrise Time (POA&gt;20 W/m2)]])*24,"")</f>
        <v>0</v>
      </c>
      <c r="L132" s="33"/>
      <c r="M132" s="33"/>
      <c r="N132" s="33"/>
      <c r="O132" s="36"/>
      <c r="P132" s="36"/>
      <c r="Q132" s="33"/>
      <c r="R132" s="32">
        <f>IF((PA[[#This Row],[String Type(If String BD)]]&amp;PA[[#This Row],[Equipment (If any BD other than PV  array and inv)]])="",1,0)</f>
        <v>1</v>
      </c>
      <c r="S132" s="32">
        <f>IF(PA[[#This Row],[String Type(If String BD)]]="",1,0)</f>
        <v>1</v>
      </c>
      <c r="T1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2" s="35" t="str">
        <f>IFERROR(_xlfn.XLOOKUP(PA[[#This Row],[Affected Equipment ]],'Basic Data'!N:N,'Basic Data'!Q:Q),"")</f>
        <v/>
      </c>
      <c r="V132" s="39" t="str">
        <f>IFERROR(_xlfn.XLOOKUP(PA[[#This Row],[Affected Equipment ]],'Basic Data'!N:N,'Basic Data'!R:R),"")</f>
        <v/>
      </c>
      <c r="W132" s="36" t="s">
        <v>281</v>
      </c>
      <c r="X132" s="40"/>
      <c r="Y132" s="40" t="s">
        <v>308</v>
      </c>
      <c r="Z132" s="46">
        <v>0.50069444444444444</v>
      </c>
      <c r="AA132" s="46">
        <v>0.50069444444444444</v>
      </c>
      <c r="AB132" s="46">
        <v>0.50069444444444444</v>
      </c>
      <c r="AC132" s="46">
        <v>0.5756944444444444</v>
      </c>
      <c r="AD132" s="44">
        <f>IF(PA[[#This Row],[Acknowledgement Time ]]="NA","",(PA[[#This Row],[Acknowledgement Time ]]-PA[[#This Row],[Fault Time]])*24)</f>
        <v>0</v>
      </c>
      <c r="AE132" s="44">
        <f>IF(PA[[#This Row],[Work Start time on Fault]]="NA","",(PA[[#This Row],[Work Start time on Fault]]-PA[[#This Row],[Fault Time]])*24)</f>
        <v>0</v>
      </c>
      <c r="AF132" s="45">
        <f>IF(PA[[#This Row],[Status]]="Open","",(PA[[#This Row],[Work Completion time on fault]]-PA[[#This Row],[Fault Time]])*24)</f>
        <v>1.7999999999999989</v>
      </c>
      <c r="AG132" s="44">
        <f>IFERROR((PA[[#This Row],[Work Completion time on fault]]-PA[[#This Row],[Fault Time]])*24,"")</f>
        <v>1.7999999999999989</v>
      </c>
      <c r="AH132" s="36" t="s">
        <v>309</v>
      </c>
      <c r="AI132" s="33" t="s">
        <v>235</v>
      </c>
      <c r="AJ132" s="35" t="str">
        <f>IFERROR(PA[[#This Row],[Breakdown Time]]*PA[[#This Row],[Plant Equivalent Weightage]],"")</f>
        <v/>
      </c>
      <c r="AK132" s="36">
        <v>0.34861993333333335</v>
      </c>
      <c r="AL132" s="51" t="str">
        <f>IFERROR((_xlfn.XLOOKUP($G132,'Modelling New'!D:D,'Modelling New'!$O:$O)*PA[[#This Row],[Lost PoA(kWh/m2)]]*PA[[#This Row],[DC Capacity Affected (kW)]]),"")</f>
        <v/>
      </c>
      <c r="AM132" s="33"/>
      <c r="AN132" s="33"/>
      <c r="AO132" s="33">
        <v>4611</v>
      </c>
      <c r="AP132" s="33"/>
    </row>
    <row r="133" spans="1:42">
      <c r="A133" s="30">
        <v>132</v>
      </c>
      <c r="B133" s="31"/>
      <c r="C133" s="32">
        <f>YEAR(PA[[#This Row],[Date]])+IF(MONTH(PA[[#This Row],[Date]])&gt;=4,1,0)</f>
        <v>1900</v>
      </c>
      <c r="D133" s="32">
        <f>YEAR(PA[[#This Row],[Date]])</f>
        <v>1900</v>
      </c>
      <c r="E133" s="33" t="s">
        <v>157</v>
      </c>
      <c r="F133" s="33" t="s">
        <v>157</v>
      </c>
      <c r="G133" s="194">
        <f>PA[[#This Row],[Date]]-DAY(PA[[#This Row],[Date]])+1</f>
        <v>1</v>
      </c>
      <c r="H133" s="32">
        <f>DAY(EOMONTH(PA[[#This Row],[Month Year]],0))</f>
        <v>31</v>
      </c>
      <c r="I133" s="121"/>
      <c r="J133" s="121"/>
      <c r="K133" s="35">
        <f>IFERROR((PA[[#This Row],[Sunset Time (POA&lt;20 W/m2)]]-PA[[#This Row],[Sunrise Time (POA&gt;20 W/m2)]])*24,"")</f>
        <v>0</v>
      </c>
      <c r="L133" s="33"/>
      <c r="M133" s="33"/>
      <c r="N133" s="33"/>
      <c r="O133" s="36"/>
      <c r="P133" s="36"/>
      <c r="Q133" s="33"/>
      <c r="R133" s="32">
        <f>IF((PA[[#This Row],[String Type(If String BD)]]&amp;PA[[#This Row],[Equipment (If any BD other than PV  array and inv)]])="",1,0)</f>
        <v>1</v>
      </c>
      <c r="S133" s="32">
        <f>IF(PA[[#This Row],[String Type(If String BD)]]="",1,0)</f>
        <v>1</v>
      </c>
      <c r="T1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3" s="35" t="str">
        <f>IFERROR(_xlfn.XLOOKUP(PA[[#This Row],[Affected Equipment ]],'Basic Data'!N:N,'Basic Data'!Q:Q),"")</f>
        <v/>
      </c>
      <c r="V133" s="39" t="str">
        <f>IFERROR(_xlfn.XLOOKUP(PA[[#This Row],[Affected Equipment ]],'Basic Data'!N:N,'Basic Data'!R:R),"")</f>
        <v/>
      </c>
      <c r="W133" s="36" t="s">
        <v>281</v>
      </c>
      <c r="X133" s="40"/>
      <c r="Y133" s="40" t="s">
        <v>308</v>
      </c>
      <c r="Z133" s="46">
        <v>0.59027777777777779</v>
      </c>
      <c r="AA133" s="46">
        <v>0.59027777777777779</v>
      </c>
      <c r="AB133" s="46">
        <v>0.59027777777777779</v>
      </c>
      <c r="AC133" s="46">
        <v>0.6791666666666667</v>
      </c>
      <c r="AD133" s="44">
        <f>IF(PA[[#This Row],[Acknowledgement Time ]]="NA","",(PA[[#This Row],[Acknowledgement Time ]]-PA[[#This Row],[Fault Time]])*24)</f>
        <v>0</v>
      </c>
      <c r="AE133" s="44">
        <f>IF(PA[[#This Row],[Work Start time on Fault]]="NA","",(PA[[#This Row],[Work Start time on Fault]]-PA[[#This Row],[Fault Time]])*24)</f>
        <v>0</v>
      </c>
      <c r="AF133" s="45">
        <f>IF(PA[[#This Row],[Status]]="Open","",(PA[[#This Row],[Work Completion time on fault]]-PA[[#This Row],[Fault Time]])*24)</f>
        <v>2.1333333333333337</v>
      </c>
      <c r="AG133" s="44">
        <f>IFERROR((PA[[#This Row],[Work Completion time on fault]]-PA[[#This Row],[Fault Time]])*24,"")</f>
        <v>2.1333333333333337</v>
      </c>
      <c r="AH133" s="36" t="s">
        <v>309</v>
      </c>
      <c r="AI133" s="33" t="s">
        <v>235</v>
      </c>
      <c r="AJ133" s="35" t="str">
        <f>IFERROR(PA[[#This Row],[Breakdown Time]]*PA[[#This Row],[Plant Equivalent Weightage]],"")</f>
        <v/>
      </c>
      <c r="AK133" s="36">
        <v>0.31530596166666669</v>
      </c>
      <c r="AL133" s="51" t="str">
        <f>IFERROR((_xlfn.XLOOKUP($G133,'Modelling New'!D:D,'Modelling New'!$O:$O)*PA[[#This Row],[Lost PoA(kWh/m2)]]*PA[[#This Row],[DC Capacity Affected (kW)]]),"")</f>
        <v/>
      </c>
      <c r="AM133" s="33"/>
      <c r="AN133" s="33"/>
      <c r="AO133" s="33">
        <v>4610</v>
      </c>
      <c r="AP133" s="33"/>
    </row>
    <row r="134" spans="1:42">
      <c r="A134" s="30">
        <v>133</v>
      </c>
      <c r="B134" s="31"/>
      <c r="C134" s="32">
        <f>YEAR(PA[[#This Row],[Date]])+IF(MONTH(PA[[#This Row],[Date]])&gt;=4,1,0)</f>
        <v>1900</v>
      </c>
      <c r="D134" s="32">
        <f>YEAR(PA[[#This Row],[Date]])</f>
        <v>1900</v>
      </c>
      <c r="E134" s="33" t="s">
        <v>157</v>
      </c>
      <c r="F134" s="33" t="s">
        <v>157</v>
      </c>
      <c r="G134" s="194">
        <f>PA[[#This Row],[Date]]-DAY(PA[[#This Row],[Date]])+1</f>
        <v>1</v>
      </c>
      <c r="H134" s="32">
        <f>DAY(EOMONTH(PA[[#This Row],[Month Year]],0))</f>
        <v>31</v>
      </c>
      <c r="I134" s="121"/>
      <c r="J134" s="121"/>
      <c r="K134" s="35">
        <f>IFERROR((PA[[#This Row],[Sunset Time (POA&lt;20 W/m2)]]-PA[[#This Row],[Sunrise Time (POA&gt;20 W/m2)]])*24,"")</f>
        <v>0</v>
      </c>
      <c r="L134" s="33"/>
      <c r="M134" s="33"/>
      <c r="N134" s="33"/>
      <c r="O134" s="36"/>
      <c r="P134" s="36"/>
      <c r="Q134" s="33"/>
      <c r="R134" s="32">
        <f>IF((PA[[#This Row],[String Type(If String BD)]]&amp;PA[[#This Row],[Equipment (If any BD other than PV  array and inv)]])="",1,0)</f>
        <v>1</v>
      </c>
      <c r="S134" s="32">
        <f>IF(PA[[#This Row],[String Type(If String BD)]]="",1,0)</f>
        <v>1</v>
      </c>
      <c r="T1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4" s="35" t="str">
        <f>IFERROR(_xlfn.XLOOKUP(PA[[#This Row],[Affected Equipment ]],'Basic Data'!N:N,'Basic Data'!Q:Q),"")</f>
        <v/>
      </c>
      <c r="V134" s="39" t="str">
        <f>IFERROR(_xlfn.XLOOKUP(PA[[#This Row],[Affected Equipment ]],'Basic Data'!N:N,'Basic Data'!R:R),"")</f>
        <v/>
      </c>
      <c r="W134" s="36" t="s">
        <v>281</v>
      </c>
      <c r="X134" s="40"/>
      <c r="Y134" s="40" t="s">
        <v>308</v>
      </c>
      <c r="Z134" s="46">
        <v>0.59027777777777779</v>
      </c>
      <c r="AA134" s="46">
        <v>0.59027777777777779</v>
      </c>
      <c r="AB134" s="46">
        <v>0.59027777777777779</v>
      </c>
      <c r="AC134" s="46">
        <v>0.6791666666666667</v>
      </c>
      <c r="AD134" s="44">
        <f>IF(PA[[#This Row],[Acknowledgement Time ]]="NA","",(PA[[#This Row],[Acknowledgement Time ]]-PA[[#This Row],[Fault Time]])*24)</f>
        <v>0</v>
      </c>
      <c r="AE134" s="44">
        <f>IF(PA[[#This Row],[Work Start time on Fault]]="NA","",(PA[[#This Row],[Work Start time on Fault]]-PA[[#This Row],[Fault Time]])*24)</f>
        <v>0</v>
      </c>
      <c r="AF134" s="45">
        <f>IF(PA[[#This Row],[Status]]="Open","",(PA[[#This Row],[Work Completion time on fault]]-PA[[#This Row],[Fault Time]])*24)</f>
        <v>2.1333333333333337</v>
      </c>
      <c r="AG134" s="44">
        <f>IFERROR((PA[[#This Row],[Work Completion time on fault]]-PA[[#This Row],[Fault Time]])*24,"")</f>
        <v>2.1333333333333337</v>
      </c>
      <c r="AH134" s="36" t="s">
        <v>309</v>
      </c>
      <c r="AI134" s="33" t="s">
        <v>235</v>
      </c>
      <c r="AJ134" s="35" t="str">
        <f>IFERROR(PA[[#This Row],[Breakdown Time]]*PA[[#This Row],[Plant Equivalent Weightage]],"")</f>
        <v/>
      </c>
      <c r="AK134" s="36">
        <v>0.31530596166666669</v>
      </c>
      <c r="AL134" s="51" t="str">
        <f>IFERROR((_xlfn.XLOOKUP($G134,'Modelling New'!D:D,'Modelling New'!$O:$O)*PA[[#This Row],[Lost PoA(kWh/m2)]]*PA[[#This Row],[DC Capacity Affected (kW)]]),"")</f>
        <v/>
      </c>
      <c r="AM134" s="33"/>
      <c r="AN134" s="33"/>
      <c r="AO134" s="33">
        <v>4610</v>
      </c>
      <c r="AP134" s="33"/>
    </row>
    <row r="135" spans="1:42">
      <c r="A135" s="30">
        <v>134</v>
      </c>
      <c r="B135" s="31"/>
      <c r="C135" s="32">
        <f>YEAR(PA[[#This Row],[Date]])+IF(MONTH(PA[[#This Row],[Date]])&gt;=4,1,0)</f>
        <v>1900</v>
      </c>
      <c r="D135" s="32">
        <f>YEAR(PA[[#This Row],[Date]])</f>
        <v>1900</v>
      </c>
      <c r="E135" s="33" t="s">
        <v>157</v>
      </c>
      <c r="F135" s="33" t="s">
        <v>157</v>
      </c>
      <c r="G135" s="194">
        <f>PA[[#This Row],[Date]]-DAY(PA[[#This Row],[Date]])+1</f>
        <v>1</v>
      </c>
      <c r="H135" s="32">
        <f>DAY(EOMONTH(PA[[#This Row],[Month Year]],0))</f>
        <v>31</v>
      </c>
      <c r="I135" s="121"/>
      <c r="J135" s="121"/>
      <c r="K135" s="35">
        <f>IFERROR((PA[[#This Row],[Sunset Time (POA&lt;20 W/m2)]]-PA[[#This Row],[Sunrise Time (POA&gt;20 W/m2)]])*24,"")</f>
        <v>0</v>
      </c>
      <c r="L135" s="33"/>
      <c r="M135" s="33"/>
      <c r="N135" s="33"/>
      <c r="O135" s="36"/>
      <c r="P135" s="36"/>
      <c r="Q135" s="33"/>
      <c r="R135" s="32">
        <f>IF((PA[[#This Row],[String Type(If String BD)]]&amp;PA[[#This Row],[Equipment (If any BD other than PV  array and inv)]])="",1,0)</f>
        <v>1</v>
      </c>
      <c r="S135" s="32">
        <f>IF(PA[[#This Row],[String Type(If String BD)]]="",1,0)</f>
        <v>1</v>
      </c>
      <c r="T1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5" s="35" t="str">
        <f>IFERROR(_xlfn.XLOOKUP(PA[[#This Row],[Affected Equipment ]],'Basic Data'!N:N,'Basic Data'!Q:Q),"")</f>
        <v/>
      </c>
      <c r="V135" s="39" t="str">
        <f>IFERROR(_xlfn.XLOOKUP(PA[[#This Row],[Affected Equipment ]],'Basic Data'!N:N,'Basic Data'!R:R),"")</f>
        <v/>
      </c>
      <c r="W135" s="36" t="s">
        <v>281</v>
      </c>
      <c r="X135" s="40"/>
      <c r="Y135" s="40" t="s">
        <v>308</v>
      </c>
      <c r="Z135" s="46">
        <v>0.59027777777777779</v>
      </c>
      <c r="AA135" s="46">
        <v>0.59027777777777779</v>
      </c>
      <c r="AB135" s="46">
        <v>0.59027777777777779</v>
      </c>
      <c r="AC135" s="46">
        <v>0.67291666666666672</v>
      </c>
      <c r="AD135" s="44">
        <f>IF(PA[[#This Row],[Acknowledgement Time ]]="NA","",(PA[[#This Row],[Acknowledgement Time ]]-PA[[#This Row],[Fault Time]])*24)</f>
        <v>0</v>
      </c>
      <c r="AE135" s="44">
        <f>IF(PA[[#This Row],[Work Start time on Fault]]="NA","",(PA[[#This Row],[Work Start time on Fault]]-PA[[#This Row],[Fault Time]])*24)</f>
        <v>0</v>
      </c>
      <c r="AF135" s="45">
        <f>IF(PA[[#This Row],[Status]]="Open","",(PA[[#This Row],[Work Completion time on fault]]-PA[[#This Row],[Fault Time]])*24)</f>
        <v>1.9833333333333343</v>
      </c>
      <c r="AG135" s="44">
        <f>IFERROR((PA[[#This Row],[Work Completion time on fault]]-PA[[#This Row],[Fault Time]])*24,"")</f>
        <v>1.9833333333333343</v>
      </c>
      <c r="AH135" s="36" t="s">
        <v>309</v>
      </c>
      <c r="AI135" s="33" t="s">
        <v>235</v>
      </c>
      <c r="AJ135" s="35" t="str">
        <f>IFERROR(PA[[#This Row],[Breakdown Time]]*PA[[#This Row],[Plant Equivalent Weightage]],"")</f>
        <v/>
      </c>
      <c r="AK135" s="36">
        <v>0.30112380666666666</v>
      </c>
      <c r="AL135" s="51" t="str">
        <f>IFERROR((_xlfn.XLOOKUP($G135,'Modelling New'!D:D,'Modelling New'!$O:$O)*PA[[#This Row],[Lost PoA(kWh/m2)]]*PA[[#This Row],[DC Capacity Affected (kW)]]),"")</f>
        <v/>
      </c>
      <c r="AM135" s="33"/>
      <c r="AN135" s="33"/>
      <c r="AO135" s="33">
        <v>4610</v>
      </c>
      <c r="AP135" s="33"/>
    </row>
    <row r="136" spans="1:42">
      <c r="A136" s="30">
        <v>135</v>
      </c>
      <c r="B136" s="31"/>
      <c r="C136" s="32">
        <f>YEAR(PA[[#This Row],[Date]])+IF(MONTH(PA[[#This Row],[Date]])&gt;=4,1,0)</f>
        <v>1900</v>
      </c>
      <c r="D136" s="32">
        <f>YEAR(PA[[#This Row],[Date]])</f>
        <v>1900</v>
      </c>
      <c r="E136" s="33" t="s">
        <v>157</v>
      </c>
      <c r="F136" s="33" t="s">
        <v>157</v>
      </c>
      <c r="G136" s="194">
        <f>PA[[#This Row],[Date]]-DAY(PA[[#This Row],[Date]])+1</f>
        <v>1</v>
      </c>
      <c r="H136" s="32">
        <f>DAY(EOMONTH(PA[[#This Row],[Month Year]],0))</f>
        <v>31</v>
      </c>
      <c r="I136" s="121"/>
      <c r="J136" s="121"/>
      <c r="K136" s="35">
        <f>IFERROR((PA[[#This Row],[Sunset Time (POA&lt;20 W/m2)]]-PA[[#This Row],[Sunrise Time (POA&gt;20 W/m2)]])*24,"")</f>
        <v>0</v>
      </c>
      <c r="L136" s="33"/>
      <c r="M136" s="33"/>
      <c r="N136" s="33"/>
      <c r="O136" s="36"/>
      <c r="P136" s="36"/>
      <c r="Q136" s="33"/>
      <c r="R136" s="32">
        <f>IF((PA[[#This Row],[String Type(If String BD)]]&amp;PA[[#This Row],[Equipment (If any BD other than PV  array and inv)]])="",1,0)</f>
        <v>1</v>
      </c>
      <c r="S136" s="32">
        <f>IF(PA[[#This Row],[String Type(If String BD)]]="",1,0)</f>
        <v>1</v>
      </c>
      <c r="T1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6" s="35" t="str">
        <f>IFERROR(_xlfn.XLOOKUP(PA[[#This Row],[Affected Equipment ]],'Basic Data'!N:N,'Basic Data'!Q:Q),"")</f>
        <v/>
      </c>
      <c r="V136" s="39" t="str">
        <f>IFERROR(_xlfn.XLOOKUP(PA[[#This Row],[Affected Equipment ]],'Basic Data'!N:N,'Basic Data'!R:R),"")</f>
        <v/>
      </c>
      <c r="W136" s="36" t="s">
        <v>281</v>
      </c>
      <c r="X136" s="40"/>
      <c r="Y136" s="40" t="s">
        <v>308</v>
      </c>
      <c r="Z136" s="46">
        <v>0.59027777777777779</v>
      </c>
      <c r="AA136" s="46">
        <v>0.59027777777777779</v>
      </c>
      <c r="AB136" s="46">
        <v>0.59027777777777779</v>
      </c>
      <c r="AC136" s="46">
        <v>0.67291666666666672</v>
      </c>
      <c r="AD136" s="44">
        <f>IF(PA[[#This Row],[Acknowledgement Time ]]="NA","",(PA[[#This Row],[Acknowledgement Time ]]-PA[[#This Row],[Fault Time]])*24)</f>
        <v>0</v>
      </c>
      <c r="AE136" s="44">
        <f>IF(PA[[#This Row],[Work Start time on Fault]]="NA","",(PA[[#This Row],[Work Start time on Fault]]-PA[[#This Row],[Fault Time]])*24)</f>
        <v>0</v>
      </c>
      <c r="AF136" s="45">
        <f>IF(PA[[#This Row],[Status]]="Open","",(PA[[#This Row],[Work Completion time on fault]]-PA[[#This Row],[Fault Time]])*24)</f>
        <v>1.9833333333333343</v>
      </c>
      <c r="AG136" s="44">
        <f>IFERROR((PA[[#This Row],[Work Completion time on fault]]-PA[[#This Row],[Fault Time]])*24,"")</f>
        <v>1.9833333333333343</v>
      </c>
      <c r="AH136" s="36" t="s">
        <v>309</v>
      </c>
      <c r="AI136" s="33" t="s">
        <v>235</v>
      </c>
      <c r="AJ136" s="35" t="str">
        <f>IFERROR(PA[[#This Row],[Breakdown Time]]*PA[[#This Row],[Plant Equivalent Weightage]],"")</f>
        <v/>
      </c>
      <c r="AK136" s="36">
        <v>0.30112380666666666</v>
      </c>
      <c r="AL136" s="51" t="str">
        <f>IFERROR((_xlfn.XLOOKUP($G136,'Modelling New'!D:D,'Modelling New'!$O:$O)*PA[[#This Row],[Lost PoA(kWh/m2)]]*PA[[#This Row],[DC Capacity Affected (kW)]]),"")</f>
        <v/>
      </c>
      <c r="AM136" s="33"/>
      <c r="AN136" s="33"/>
      <c r="AO136" s="33">
        <v>4610</v>
      </c>
      <c r="AP136" s="33"/>
    </row>
    <row r="137" spans="1:42">
      <c r="A137" s="30">
        <v>136</v>
      </c>
      <c r="B137" s="31"/>
      <c r="C137" s="32">
        <f>YEAR(PA[[#This Row],[Date]])+IF(MONTH(PA[[#This Row],[Date]])&gt;=4,1,0)</f>
        <v>1900</v>
      </c>
      <c r="D137" s="32">
        <f>YEAR(PA[[#This Row],[Date]])</f>
        <v>1900</v>
      </c>
      <c r="E137" s="33" t="s">
        <v>157</v>
      </c>
      <c r="F137" s="33" t="s">
        <v>157</v>
      </c>
      <c r="G137" s="194">
        <f>PA[[#This Row],[Date]]-DAY(PA[[#This Row],[Date]])+1</f>
        <v>1</v>
      </c>
      <c r="H137" s="32">
        <f>DAY(EOMONTH(PA[[#This Row],[Month Year]],0))</f>
        <v>31</v>
      </c>
      <c r="I137" s="121"/>
      <c r="J137" s="121"/>
      <c r="K137" s="35">
        <f>IFERROR((PA[[#This Row],[Sunset Time (POA&lt;20 W/m2)]]-PA[[#This Row],[Sunrise Time (POA&gt;20 W/m2)]])*24,"")</f>
        <v>0</v>
      </c>
      <c r="L137" s="33"/>
      <c r="M137" s="33"/>
      <c r="N137" s="33"/>
      <c r="O137" s="36"/>
      <c r="P137" s="36"/>
      <c r="Q137" s="33"/>
      <c r="R137" s="32">
        <f>IF((PA[[#This Row],[String Type(If String BD)]]&amp;PA[[#This Row],[Equipment (If any BD other than PV  array and inv)]])="",1,0)</f>
        <v>1</v>
      </c>
      <c r="S137" s="32">
        <f>IF(PA[[#This Row],[String Type(If String BD)]]="",1,0)</f>
        <v>1</v>
      </c>
      <c r="T1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7" s="35" t="str">
        <f>IFERROR(_xlfn.XLOOKUP(PA[[#This Row],[Affected Equipment ]],'Basic Data'!N:N,'Basic Data'!Q:Q),"")</f>
        <v/>
      </c>
      <c r="V137" s="39" t="str">
        <f>IFERROR(_xlfn.XLOOKUP(PA[[#This Row],[Affected Equipment ]],'Basic Data'!N:N,'Basic Data'!R:R),"")</f>
        <v/>
      </c>
      <c r="W137" s="36" t="s">
        <v>281</v>
      </c>
      <c r="X137" s="40"/>
      <c r="Y137" s="40" t="s">
        <v>308</v>
      </c>
      <c r="Z137" s="46">
        <v>0.59027777777777779</v>
      </c>
      <c r="AA137" s="46">
        <v>0.59027777777777779</v>
      </c>
      <c r="AB137" s="46">
        <v>0.59027777777777779</v>
      </c>
      <c r="AC137" s="46">
        <v>0.67708333333333337</v>
      </c>
      <c r="AD137" s="44">
        <f>IF(PA[[#This Row],[Acknowledgement Time ]]="NA","",(PA[[#This Row],[Acknowledgement Time ]]-PA[[#This Row],[Fault Time]])*24)</f>
        <v>0</v>
      </c>
      <c r="AE137" s="44">
        <f>IF(PA[[#This Row],[Work Start time on Fault]]="NA","",(PA[[#This Row],[Work Start time on Fault]]-PA[[#This Row],[Fault Time]])*24)</f>
        <v>0</v>
      </c>
      <c r="AF137" s="45">
        <f>IF(PA[[#This Row],[Status]]="Open","",(PA[[#This Row],[Work Completion time on fault]]-PA[[#This Row],[Fault Time]])*24)</f>
        <v>2.0833333333333339</v>
      </c>
      <c r="AG137" s="44">
        <f>IFERROR((PA[[#This Row],[Work Completion time on fault]]-PA[[#This Row],[Fault Time]])*24,"")</f>
        <v>2.0833333333333339</v>
      </c>
      <c r="AH137" s="36" t="s">
        <v>309</v>
      </c>
      <c r="AI137" s="33" t="s">
        <v>235</v>
      </c>
      <c r="AJ137" s="35" t="str">
        <f>IFERROR(PA[[#This Row],[Breakdown Time]]*PA[[#This Row],[Plant Equivalent Weightage]],"")</f>
        <v/>
      </c>
      <c r="AK137" s="36">
        <v>0.31083002500000001</v>
      </c>
      <c r="AL137" s="51" t="str">
        <f>IFERROR((_xlfn.XLOOKUP($G137,'Modelling New'!D:D,'Modelling New'!$O:$O)*PA[[#This Row],[Lost PoA(kWh/m2)]]*PA[[#This Row],[DC Capacity Affected (kW)]]),"")</f>
        <v/>
      </c>
      <c r="AM137" s="33"/>
      <c r="AN137" s="33"/>
      <c r="AO137" s="33">
        <v>4610</v>
      </c>
      <c r="AP137" s="33"/>
    </row>
    <row r="138" spans="1:42">
      <c r="A138" s="30">
        <v>137</v>
      </c>
      <c r="B138" s="31"/>
      <c r="C138" s="32">
        <f>YEAR(PA[[#This Row],[Date]])+IF(MONTH(PA[[#This Row],[Date]])&gt;=4,1,0)</f>
        <v>1900</v>
      </c>
      <c r="D138" s="32">
        <f>YEAR(PA[[#This Row],[Date]])</f>
        <v>1900</v>
      </c>
      <c r="E138" s="33" t="s">
        <v>157</v>
      </c>
      <c r="F138" s="33" t="s">
        <v>157</v>
      </c>
      <c r="G138" s="194">
        <f>PA[[#This Row],[Date]]-DAY(PA[[#This Row],[Date]])+1</f>
        <v>1</v>
      </c>
      <c r="H138" s="32">
        <f>DAY(EOMONTH(PA[[#This Row],[Month Year]],0))</f>
        <v>31</v>
      </c>
      <c r="I138" s="121"/>
      <c r="J138" s="121"/>
      <c r="K138" s="35">
        <f>IFERROR((PA[[#This Row],[Sunset Time (POA&lt;20 W/m2)]]-PA[[#This Row],[Sunrise Time (POA&gt;20 W/m2)]])*24,"")</f>
        <v>0</v>
      </c>
      <c r="L138" s="33"/>
      <c r="M138" s="33"/>
      <c r="N138" s="33"/>
      <c r="O138" s="36"/>
      <c r="P138" s="36"/>
      <c r="Q138" s="33"/>
      <c r="R138" s="32">
        <f>IF((PA[[#This Row],[String Type(If String BD)]]&amp;PA[[#This Row],[Equipment (If any BD other than PV  array and inv)]])="",1,0)</f>
        <v>1</v>
      </c>
      <c r="S138" s="32">
        <f>IF(PA[[#This Row],[String Type(If String BD)]]="",1,0)</f>
        <v>1</v>
      </c>
      <c r="T1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8" s="35" t="str">
        <f>IFERROR(_xlfn.XLOOKUP(PA[[#This Row],[Affected Equipment ]],'Basic Data'!N:N,'Basic Data'!Q:Q),"")</f>
        <v/>
      </c>
      <c r="V138" s="39" t="str">
        <f>IFERROR(_xlfn.XLOOKUP(PA[[#This Row],[Affected Equipment ]],'Basic Data'!N:N,'Basic Data'!R:R),"")</f>
        <v/>
      </c>
      <c r="W138" s="36" t="s">
        <v>281</v>
      </c>
      <c r="X138" s="40"/>
      <c r="Y138" s="40" t="s">
        <v>308</v>
      </c>
      <c r="Z138" s="46">
        <v>0.59027777777777779</v>
      </c>
      <c r="AA138" s="46">
        <v>0.59027777777777779</v>
      </c>
      <c r="AB138" s="46">
        <v>0.59027777777777779</v>
      </c>
      <c r="AC138" s="46">
        <v>0.6694444444444444</v>
      </c>
      <c r="AD138" s="44">
        <f>IF(PA[[#This Row],[Acknowledgement Time ]]="NA","",(PA[[#This Row],[Acknowledgement Time ]]-PA[[#This Row],[Fault Time]])*24)</f>
        <v>0</v>
      </c>
      <c r="AE138" s="44">
        <f>IF(PA[[#This Row],[Work Start time on Fault]]="NA","",(PA[[#This Row],[Work Start time on Fault]]-PA[[#This Row],[Fault Time]])*24)</f>
        <v>0</v>
      </c>
      <c r="AF138" s="45">
        <f>IF(PA[[#This Row],[Status]]="Open","",(PA[[#This Row],[Work Completion time on fault]]-PA[[#This Row],[Fault Time]])*24)</f>
        <v>1.8999999999999986</v>
      </c>
      <c r="AG138" s="44">
        <f>IFERROR((PA[[#This Row],[Work Completion time on fault]]-PA[[#This Row],[Fault Time]])*24,"")</f>
        <v>1.8999999999999986</v>
      </c>
      <c r="AH138" s="36" t="s">
        <v>309</v>
      </c>
      <c r="AI138" s="33" t="s">
        <v>235</v>
      </c>
      <c r="AJ138" s="35" t="str">
        <f>IFERROR(PA[[#This Row],[Breakdown Time]]*PA[[#This Row],[Plant Equivalent Weightage]],"")</f>
        <v/>
      </c>
      <c r="AK138" s="36">
        <v>0.29203591166666665</v>
      </c>
      <c r="AL138" s="51" t="str">
        <f>IFERROR((_xlfn.XLOOKUP($G138,'Modelling New'!D:D,'Modelling New'!$O:$O)*PA[[#This Row],[Lost PoA(kWh/m2)]]*PA[[#This Row],[DC Capacity Affected (kW)]]),"")</f>
        <v/>
      </c>
      <c r="AM138" s="33"/>
      <c r="AN138" s="33"/>
      <c r="AO138" s="33">
        <v>4610</v>
      </c>
      <c r="AP138" s="33"/>
    </row>
    <row r="139" spans="1:42">
      <c r="A139" s="30">
        <v>138</v>
      </c>
      <c r="B139" s="31"/>
      <c r="C139" s="32">
        <f>YEAR(PA[[#This Row],[Date]])+IF(MONTH(PA[[#This Row],[Date]])&gt;=4,1,0)</f>
        <v>1900</v>
      </c>
      <c r="D139" s="32">
        <f>YEAR(PA[[#This Row],[Date]])</f>
        <v>1900</v>
      </c>
      <c r="E139" s="33" t="s">
        <v>157</v>
      </c>
      <c r="F139" s="33" t="s">
        <v>157</v>
      </c>
      <c r="G139" s="194">
        <f>PA[[#This Row],[Date]]-DAY(PA[[#This Row],[Date]])+1</f>
        <v>1</v>
      </c>
      <c r="H139" s="32">
        <f>DAY(EOMONTH(PA[[#This Row],[Month Year]],0))</f>
        <v>31</v>
      </c>
      <c r="I139" s="121"/>
      <c r="J139" s="121"/>
      <c r="K139" s="35">
        <f>IFERROR((PA[[#This Row],[Sunset Time (POA&lt;20 W/m2)]]-PA[[#This Row],[Sunrise Time (POA&gt;20 W/m2)]])*24,"")</f>
        <v>0</v>
      </c>
      <c r="L139" s="33"/>
      <c r="M139" s="33"/>
      <c r="N139" s="33"/>
      <c r="O139" s="36"/>
      <c r="P139" s="36"/>
      <c r="Q139" s="33"/>
      <c r="R139" s="32">
        <f>IF((PA[[#This Row],[String Type(If String BD)]]&amp;PA[[#This Row],[Equipment (If any BD other than PV  array and inv)]])="",1,0)</f>
        <v>1</v>
      </c>
      <c r="S139" s="32">
        <f>IF(PA[[#This Row],[String Type(If String BD)]]="",1,0)</f>
        <v>1</v>
      </c>
      <c r="T1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39" s="35" t="str">
        <f>IFERROR(_xlfn.XLOOKUP(PA[[#This Row],[Affected Equipment ]],'Basic Data'!N:N,'Basic Data'!Q:Q),"")</f>
        <v/>
      </c>
      <c r="V139" s="39" t="str">
        <f>IFERROR(_xlfn.XLOOKUP(PA[[#This Row],[Affected Equipment ]],'Basic Data'!N:N,'Basic Data'!R:R),"")</f>
        <v/>
      </c>
      <c r="W139" s="36" t="s">
        <v>281</v>
      </c>
      <c r="X139" s="40"/>
      <c r="Y139" s="40" t="s">
        <v>308</v>
      </c>
      <c r="Z139" s="46">
        <v>0.59027777777777779</v>
      </c>
      <c r="AA139" s="46">
        <v>0.59027777777777779</v>
      </c>
      <c r="AB139" s="46">
        <v>0.59027777777777779</v>
      </c>
      <c r="AC139" s="46">
        <v>0.6694444444444444</v>
      </c>
      <c r="AD139" s="44">
        <f>IF(PA[[#This Row],[Acknowledgement Time ]]="NA","",(PA[[#This Row],[Acknowledgement Time ]]-PA[[#This Row],[Fault Time]])*24)</f>
        <v>0</v>
      </c>
      <c r="AE139" s="44">
        <f>IF(PA[[#This Row],[Work Start time on Fault]]="NA","",(PA[[#This Row],[Work Start time on Fault]]-PA[[#This Row],[Fault Time]])*24)</f>
        <v>0</v>
      </c>
      <c r="AF139" s="45">
        <f>IF(PA[[#This Row],[Status]]="Open","",(PA[[#This Row],[Work Completion time on fault]]-PA[[#This Row],[Fault Time]])*24)</f>
        <v>1.8999999999999986</v>
      </c>
      <c r="AG139" s="44">
        <f>IFERROR((PA[[#This Row],[Work Completion time on fault]]-PA[[#This Row],[Fault Time]])*24,"")</f>
        <v>1.8999999999999986</v>
      </c>
      <c r="AH139" s="36" t="s">
        <v>309</v>
      </c>
      <c r="AI139" s="33" t="s">
        <v>235</v>
      </c>
      <c r="AJ139" s="35" t="str">
        <f>IFERROR(PA[[#This Row],[Breakdown Time]]*PA[[#This Row],[Plant Equivalent Weightage]],"")</f>
        <v/>
      </c>
      <c r="AK139" s="36">
        <v>0.29203591166666665</v>
      </c>
      <c r="AL139" s="51" t="str">
        <f>IFERROR((_xlfn.XLOOKUP($G139,'Modelling New'!D:D,'Modelling New'!$O:$O)*PA[[#This Row],[Lost PoA(kWh/m2)]]*PA[[#This Row],[DC Capacity Affected (kW)]]),"")</f>
        <v/>
      </c>
      <c r="AM139" s="33"/>
      <c r="AN139" s="33"/>
      <c r="AO139" s="33">
        <v>4610</v>
      </c>
      <c r="AP139" s="33"/>
    </row>
    <row r="140" spans="1:42">
      <c r="A140" s="30">
        <v>139</v>
      </c>
      <c r="B140" s="31"/>
      <c r="C140" s="32">
        <f>YEAR(PA[[#This Row],[Date]])+IF(MONTH(PA[[#This Row],[Date]])&gt;=4,1,0)</f>
        <v>1900</v>
      </c>
      <c r="D140" s="32">
        <f>YEAR(PA[[#This Row],[Date]])</f>
        <v>1900</v>
      </c>
      <c r="E140" s="33" t="s">
        <v>157</v>
      </c>
      <c r="F140" s="33" t="s">
        <v>157</v>
      </c>
      <c r="G140" s="194">
        <f>PA[[#This Row],[Date]]-DAY(PA[[#This Row],[Date]])+1</f>
        <v>1</v>
      </c>
      <c r="H140" s="32">
        <f>DAY(EOMONTH(PA[[#This Row],[Month Year]],0))</f>
        <v>31</v>
      </c>
      <c r="I140" s="121"/>
      <c r="J140" s="121"/>
      <c r="K140" s="35">
        <f>IFERROR((PA[[#This Row],[Sunset Time (POA&lt;20 W/m2)]]-PA[[#This Row],[Sunrise Time (POA&gt;20 W/m2)]])*24,"")</f>
        <v>0</v>
      </c>
      <c r="L140" s="33"/>
      <c r="M140" s="33"/>
      <c r="N140" s="33"/>
      <c r="O140" s="36"/>
      <c r="P140" s="36"/>
      <c r="Q140" s="33"/>
      <c r="R140" s="32">
        <f>IF((PA[[#This Row],[String Type(If String BD)]]&amp;PA[[#This Row],[Equipment (If any BD other than PV  array and inv)]])="",1,0)</f>
        <v>1</v>
      </c>
      <c r="S140" s="32">
        <f>IF(PA[[#This Row],[String Type(If String BD)]]="",1,0)</f>
        <v>1</v>
      </c>
      <c r="T1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0" s="35" t="str">
        <f>IFERROR(_xlfn.XLOOKUP(PA[[#This Row],[Affected Equipment ]],'Basic Data'!N:N,'Basic Data'!Q:Q),"")</f>
        <v/>
      </c>
      <c r="V140" s="39" t="str">
        <f>IFERROR(_xlfn.XLOOKUP(PA[[#This Row],[Affected Equipment ]],'Basic Data'!N:N,'Basic Data'!R:R),"")</f>
        <v/>
      </c>
      <c r="W140" s="36" t="s">
        <v>281</v>
      </c>
      <c r="X140" s="40"/>
      <c r="Y140" s="40" t="s">
        <v>308</v>
      </c>
      <c r="Z140" s="43">
        <v>0.54027777777777775</v>
      </c>
      <c r="AA140" s="43">
        <v>0.54027777777777775</v>
      </c>
      <c r="AB140" s="43">
        <v>0.54027777777777775</v>
      </c>
      <c r="AC140" s="46">
        <v>0.60347222222222219</v>
      </c>
      <c r="AD140" s="44">
        <f>IF(PA[[#This Row],[Acknowledgement Time ]]="NA","",(PA[[#This Row],[Acknowledgement Time ]]-PA[[#This Row],[Fault Time]])*24)</f>
        <v>0</v>
      </c>
      <c r="AE140" s="44">
        <f>IF(PA[[#This Row],[Work Start time on Fault]]="NA","",(PA[[#This Row],[Work Start time on Fault]]-PA[[#This Row],[Fault Time]])*24)</f>
        <v>0</v>
      </c>
      <c r="AF140" s="45">
        <f>IF(PA[[#This Row],[Status]]="Open","",(PA[[#This Row],[Work Completion time on fault]]-PA[[#This Row],[Fault Time]])*24)</f>
        <v>1.5166666666666666</v>
      </c>
      <c r="AG140" s="44">
        <f>IFERROR((PA[[#This Row],[Work Completion time on fault]]-PA[[#This Row],[Fault Time]])*24,"")</f>
        <v>1.5166666666666666</v>
      </c>
      <c r="AH140" s="36" t="s">
        <v>309</v>
      </c>
      <c r="AI140" s="33" t="s">
        <v>235</v>
      </c>
      <c r="AJ140" s="35" t="str">
        <f>IFERROR(PA[[#This Row],[Breakdown Time]]*PA[[#This Row],[Plant Equivalent Weightage]],"")</f>
        <v/>
      </c>
      <c r="AK140" s="36">
        <v>0.23711769199999999</v>
      </c>
      <c r="AL140" s="51" t="str">
        <f>IFERROR((_xlfn.XLOOKUP($G140,'Modelling New'!D:D,'Modelling New'!$O:$O)*PA[[#This Row],[Lost PoA(kWh/m2)]]*PA[[#This Row],[DC Capacity Affected (kW)]]),"")</f>
        <v/>
      </c>
      <c r="AM140" s="33"/>
      <c r="AN140" s="33"/>
      <c r="AO140" s="33">
        <v>4657</v>
      </c>
      <c r="AP140" s="33"/>
    </row>
    <row r="141" spans="1:42">
      <c r="A141" s="30">
        <v>140</v>
      </c>
      <c r="B141" s="31"/>
      <c r="C141" s="32">
        <f>YEAR(PA[[#This Row],[Date]])+IF(MONTH(PA[[#This Row],[Date]])&gt;=4,1,0)</f>
        <v>1900</v>
      </c>
      <c r="D141" s="32">
        <f>YEAR(PA[[#This Row],[Date]])</f>
        <v>1900</v>
      </c>
      <c r="E141" s="33" t="s">
        <v>157</v>
      </c>
      <c r="F141" s="33" t="s">
        <v>157</v>
      </c>
      <c r="G141" s="194">
        <f>PA[[#This Row],[Date]]-DAY(PA[[#This Row],[Date]])+1</f>
        <v>1</v>
      </c>
      <c r="H141" s="32">
        <f>DAY(EOMONTH(PA[[#This Row],[Month Year]],0))</f>
        <v>31</v>
      </c>
      <c r="I141" s="121"/>
      <c r="J141" s="121"/>
      <c r="K141" s="35">
        <f>IFERROR((PA[[#This Row],[Sunset Time (POA&lt;20 W/m2)]]-PA[[#This Row],[Sunrise Time (POA&gt;20 W/m2)]])*24,"")</f>
        <v>0</v>
      </c>
      <c r="L141" s="33"/>
      <c r="M141" s="33"/>
      <c r="N141" s="33"/>
      <c r="O141" s="36"/>
      <c r="P141" s="36"/>
      <c r="Q141" s="33"/>
      <c r="R141" s="32">
        <f>IF((PA[[#This Row],[String Type(If String BD)]]&amp;PA[[#This Row],[Equipment (If any BD other than PV  array and inv)]])="",1,0)</f>
        <v>1</v>
      </c>
      <c r="S141" s="32">
        <f>IF(PA[[#This Row],[String Type(If String BD)]]="",1,0)</f>
        <v>1</v>
      </c>
      <c r="T1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1" s="35" t="str">
        <f>IFERROR(_xlfn.XLOOKUP(PA[[#This Row],[Affected Equipment ]],'Basic Data'!N:N,'Basic Data'!Q:Q),"")</f>
        <v/>
      </c>
      <c r="V141" s="39" t="str">
        <f>IFERROR(_xlfn.XLOOKUP(PA[[#This Row],[Affected Equipment ]],'Basic Data'!N:N,'Basic Data'!R:R),"")</f>
        <v/>
      </c>
      <c r="W141" s="36" t="s">
        <v>281</v>
      </c>
      <c r="X141" s="40"/>
      <c r="Y141" s="40" t="s">
        <v>308</v>
      </c>
      <c r="Z141" s="43">
        <v>0.54027777777777775</v>
      </c>
      <c r="AA141" s="43">
        <v>0.54027777777777775</v>
      </c>
      <c r="AB141" s="43">
        <v>0.54027777777777775</v>
      </c>
      <c r="AC141" s="46">
        <v>0.60347222222222219</v>
      </c>
      <c r="AD141" s="44">
        <f>IF(PA[[#This Row],[Acknowledgement Time ]]="NA","",(PA[[#This Row],[Acknowledgement Time ]]-PA[[#This Row],[Fault Time]])*24)</f>
        <v>0</v>
      </c>
      <c r="AE141" s="44">
        <f>IF(PA[[#This Row],[Work Start time on Fault]]="NA","",(PA[[#This Row],[Work Start time on Fault]]-PA[[#This Row],[Fault Time]])*24)</f>
        <v>0</v>
      </c>
      <c r="AF141" s="45">
        <f>IF(PA[[#This Row],[Status]]="Open","",(PA[[#This Row],[Work Completion time on fault]]-PA[[#This Row],[Fault Time]])*24)</f>
        <v>1.5166666666666666</v>
      </c>
      <c r="AG141" s="44">
        <f>IFERROR((PA[[#This Row],[Work Completion time on fault]]-PA[[#This Row],[Fault Time]])*24,"")</f>
        <v>1.5166666666666666</v>
      </c>
      <c r="AH141" s="36" t="s">
        <v>309</v>
      </c>
      <c r="AI141" s="33" t="s">
        <v>235</v>
      </c>
      <c r="AJ141" s="35" t="str">
        <f>IFERROR(PA[[#This Row],[Breakdown Time]]*PA[[#This Row],[Plant Equivalent Weightage]],"")</f>
        <v/>
      </c>
      <c r="AK141" s="36">
        <v>0.23711769199999999</v>
      </c>
      <c r="AL141" s="51" t="str">
        <f>IFERROR((_xlfn.XLOOKUP($G141,'Modelling New'!D:D,'Modelling New'!$O:$O)*PA[[#This Row],[Lost PoA(kWh/m2)]]*PA[[#This Row],[DC Capacity Affected (kW)]]),"")</f>
        <v/>
      </c>
      <c r="AM141" s="33"/>
      <c r="AN141" s="33"/>
      <c r="AO141" s="33">
        <v>4657</v>
      </c>
      <c r="AP141" s="33"/>
    </row>
    <row r="142" spans="1:42">
      <c r="A142" s="30">
        <v>141</v>
      </c>
      <c r="B142" s="31"/>
      <c r="C142" s="32">
        <f>YEAR(PA[[#This Row],[Date]])+IF(MONTH(PA[[#This Row],[Date]])&gt;=4,1,0)</f>
        <v>1900</v>
      </c>
      <c r="D142" s="32">
        <f>YEAR(PA[[#This Row],[Date]])</f>
        <v>1900</v>
      </c>
      <c r="E142" s="33" t="s">
        <v>157</v>
      </c>
      <c r="F142" s="33" t="s">
        <v>157</v>
      </c>
      <c r="G142" s="194">
        <f>PA[[#This Row],[Date]]-DAY(PA[[#This Row],[Date]])+1</f>
        <v>1</v>
      </c>
      <c r="H142" s="32">
        <f>DAY(EOMONTH(PA[[#This Row],[Month Year]],0))</f>
        <v>31</v>
      </c>
      <c r="I142" s="121"/>
      <c r="J142" s="121"/>
      <c r="K142" s="35">
        <f>IFERROR((PA[[#This Row],[Sunset Time (POA&lt;20 W/m2)]]-PA[[#This Row],[Sunrise Time (POA&gt;20 W/m2)]])*24,"")</f>
        <v>0</v>
      </c>
      <c r="L142" s="33"/>
      <c r="M142" s="33"/>
      <c r="N142" s="33"/>
      <c r="O142" s="36"/>
      <c r="P142" s="36"/>
      <c r="Q142" s="33"/>
      <c r="R142" s="32">
        <f>IF((PA[[#This Row],[String Type(If String BD)]]&amp;PA[[#This Row],[Equipment (If any BD other than PV  array and inv)]])="",1,0)</f>
        <v>1</v>
      </c>
      <c r="S142" s="32">
        <f>IF(PA[[#This Row],[String Type(If String BD)]]="",1,0)</f>
        <v>1</v>
      </c>
      <c r="T1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2" s="35" t="str">
        <f>IFERROR(_xlfn.XLOOKUP(PA[[#This Row],[Affected Equipment ]],'Basic Data'!N:N,'Basic Data'!Q:Q),"")</f>
        <v/>
      </c>
      <c r="V142" s="39" t="str">
        <f>IFERROR(_xlfn.XLOOKUP(PA[[#This Row],[Affected Equipment ]],'Basic Data'!N:N,'Basic Data'!R:R),"")</f>
        <v/>
      </c>
      <c r="W142" s="36" t="s">
        <v>281</v>
      </c>
      <c r="X142" s="40"/>
      <c r="Y142" s="40" t="s">
        <v>308</v>
      </c>
      <c r="Z142" s="43">
        <v>0.54027777777777775</v>
      </c>
      <c r="AA142" s="43">
        <v>0.54027777777777775</v>
      </c>
      <c r="AB142" s="43">
        <v>0.54027777777777775</v>
      </c>
      <c r="AC142" s="46">
        <v>0.60555555555555551</v>
      </c>
      <c r="AD142" s="44">
        <f>IF(PA[[#This Row],[Acknowledgement Time ]]="NA","",(PA[[#This Row],[Acknowledgement Time ]]-PA[[#This Row],[Fault Time]])*24)</f>
        <v>0</v>
      </c>
      <c r="AE142" s="44">
        <f>IF(PA[[#This Row],[Work Start time on Fault]]="NA","",(PA[[#This Row],[Work Start time on Fault]]-PA[[#This Row],[Fault Time]])*24)</f>
        <v>0</v>
      </c>
      <c r="AF142" s="45">
        <f>IF(PA[[#This Row],[Status]]="Open","",(PA[[#This Row],[Work Completion time on fault]]-PA[[#This Row],[Fault Time]])*24)</f>
        <v>1.5666666666666664</v>
      </c>
      <c r="AG142" s="44">
        <f>IFERROR((PA[[#This Row],[Work Completion time on fault]]-PA[[#This Row],[Fault Time]])*24,"")</f>
        <v>1.5666666666666664</v>
      </c>
      <c r="AH142" s="36" t="s">
        <v>309</v>
      </c>
      <c r="AI142" s="33" t="s">
        <v>235</v>
      </c>
      <c r="AJ142" s="35" t="str">
        <f>IFERROR(PA[[#This Row],[Breakdown Time]]*PA[[#This Row],[Plant Equivalent Weightage]],"")</f>
        <v/>
      </c>
      <c r="AK142" s="36">
        <v>0.24000411799999999</v>
      </c>
      <c r="AL142" s="51" t="str">
        <f>IFERROR((_xlfn.XLOOKUP($G142,'Modelling New'!D:D,'Modelling New'!$O:$O)*PA[[#This Row],[Lost PoA(kWh/m2)]]*PA[[#This Row],[DC Capacity Affected (kW)]]),"")</f>
        <v/>
      </c>
      <c r="AM142" s="33"/>
      <c r="AN142" s="33"/>
      <c r="AO142" s="33">
        <v>4657</v>
      </c>
      <c r="AP142" s="33"/>
    </row>
    <row r="143" spans="1:42">
      <c r="A143" s="30">
        <v>142</v>
      </c>
      <c r="B143" s="31"/>
      <c r="C143" s="32">
        <f>YEAR(PA[[#This Row],[Date]])+IF(MONTH(PA[[#This Row],[Date]])&gt;=4,1,0)</f>
        <v>1900</v>
      </c>
      <c r="D143" s="32">
        <f>YEAR(PA[[#This Row],[Date]])</f>
        <v>1900</v>
      </c>
      <c r="E143" s="33" t="s">
        <v>157</v>
      </c>
      <c r="F143" s="33" t="s">
        <v>157</v>
      </c>
      <c r="G143" s="194">
        <f>PA[[#This Row],[Date]]-DAY(PA[[#This Row],[Date]])+1</f>
        <v>1</v>
      </c>
      <c r="H143" s="32">
        <f>DAY(EOMONTH(PA[[#This Row],[Month Year]],0))</f>
        <v>31</v>
      </c>
      <c r="I143" s="121"/>
      <c r="J143" s="121"/>
      <c r="K143" s="35">
        <f>IFERROR((PA[[#This Row],[Sunset Time (POA&lt;20 W/m2)]]-PA[[#This Row],[Sunrise Time (POA&gt;20 W/m2)]])*24,"")</f>
        <v>0</v>
      </c>
      <c r="L143" s="33"/>
      <c r="M143" s="33"/>
      <c r="N143" s="33"/>
      <c r="O143" s="36"/>
      <c r="P143" s="36"/>
      <c r="Q143" s="33"/>
      <c r="R143" s="32">
        <f>IF((PA[[#This Row],[String Type(If String BD)]]&amp;PA[[#This Row],[Equipment (If any BD other than PV  array and inv)]])="",1,0)</f>
        <v>1</v>
      </c>
      <c r="S143" s="32">
        <f>IF(PA[[#This Row],[String Type(If String BD)]]="",1,0)</f>
        <v>1</v>
      </c>
      <c r="T1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3" s="35" t="str">
        <f>IFERROR(_xlfn.XLOOKUP(PA[[#This Row],[Affected Equipment ]],'Basic Data'!N:N,'Basic Data'!Q:Q),"")</f>
        <v/>
      </c>
      <c r="V143" s="39" t="str">
        <f>IFERROR(_xlfn.XLOOKUP(PA[[#This Row],[Affected Equipment ]],'Basic Data'!N:N,'Basic Data'!R:R),"")</f>
        <v/>
      </c>
      <c r="W143" s="36" t="s">
        <v>281</v>
      </c>
      <c r="X143" s="40"/>
      <c r="Y143" s="40" t="s">
        <v>308</v>
      </c>
      <c r="Z143" s="43">
        <v>0.54027777777777775</v>
      </c>
      <c r="AA143" s="43">
        <v>0.54027777777777775</v>
      </c>
      <c r="AB143" s="43">
        <v>0.54027777777777775</v>
      </c>
      <c r="AC143" s="46">
        <v>0.60555555555555551</v>
      </c>
      <c r="AD143" s="44">
        <f>IF(PA[[#This Row],[Acknowledgement Time ]]="NA","",(PA[[#This Row],[Acknowledgement Time ]]-PA[[#This Row],[Fault Time]])*24)</f>
        <v>0</v>
      </c>
      <c r="AE143" s="44">
        <f>IF(PA[[#This Row],[Work Start time on Fault]]="NA","",(PA[[#This Row],[Work Start time on Fault]]-PA[[#This Row],[Fault Time]])*24)</f>
        <v>0</v>
      </c>
      <c r="AF143" s="45">
        <f>IF(PA[[#This Row],[Status]]="Open","",(PA[[#This Row],[Work Completion time on fault]]-PA[[#This Row],[Fault Time]])*24)</f>
        <v>1.5666666666666664</v>
      </c>
      <c r="AG143" s="44">
        <f>IFERROR((PA[[#This Row],[Work Completion time on fault]]-PA[[#This Row],[Fault Time]])*24,"")</f>
        <v>1.5666666666666664</v>
      </c>
      <c r="AH143" s="36" t="s">
        <v>309</v>
      </c>
      <c r="AI143" s="33" t="s">
        <v>235</v>
      </c>
      <c r="AJ143" s="35" t="str">
        <f>IFERROR(PA[[#This Row],[Breakdown Time]]*PA[[#This Row],[Plant Equivalent Weightage]],"")</f>
        <v/>
      </c>
      <c r="AK143" s="36">
        <v>0.24000411799999999</v>
      </c>
      <c r="AL143" s="51" t="str">
        <f>IFERROR((_xlfn.XLOOKUP($G143,'Modelling New'!D:D,'Modelling New'!$O:$O)*PA[[#This Row],[Lost PoA(kWh/m2)]]*PA[[#This Row],[DC Capacity Affected (kW)]]),"")</f>
        <v/>
      </c>
      <c r="AM143" s="33"/>
      <c r="AN143" s="33"/>
      <c r="AO143" s="33">
        <v>4657</v>
      </c>
      <c r="AP143" s="33"/>
    </row>
    <row r="144" spans="1:42">
      <c r="A144" s="30">
        <v>143</v>
      </c>
      <c r="B144" s="31"/>
      <c r="C144" s="32">
        <f>YEAR(PA[[#This Row],[Date]])+IF(MONTH(PA[[#This Row],[Date]])&gt;=4,1,0)</f>
        <v>1900</v>
      </c>
      <c r="D144" s="32">
        <f>YEAR(PA[[#This Row],[Date]])</f>
        <v>1900</v>
      </c>
      <c r="E144" s="33" t="s">
        <v>157</v>
      </c>
      <c r="F144" s="33" t="s">
        <v>157</v>
      </c>
      <c r="G144" s="194">
        <f>PA[[#This Row],[Date]]-DAY(PA[[#This Row],[Date]])+1</f>
        <v>1</v>
      </c>
      <c r="H144" s="32">
        <f>DAY(EOMONTH(PA[[#This Row],[Month Year]],0))</f>
        <v>31</v>
      </c>
      <c r="I144" s="121"/>
      <c r="J144" s="121"/>
      <c r="K144" s="35">
        <f>IFERROR((PA[[#This Row],[Sunset Time (POA&lt;20 W/m2)]]-PA[[#This Row],[Sunrise Time (POA&gt;20 W/m2)]])*24,"")</f>
        <v>0</v>
      </c>
      <c r="L144" s="33"/>
      <c r="M144" s="33"/>
      <c r="N144" s="33"/>
      <c r="O144" s="36"/>
      <c r="P144" s="36"/>
      <c r="Q144" s="33"/>
      <c r="R144" s="32">
        <f>IF((PA[[#This Row],[String Type(If String BD)]]&amp;PA[[#This Row],[Equipment (If any BD other than PV  array and inv)]])="",1,0)</f>
        <v>1</v>
      </c>
      <c r="S144" s="32">
        <f>IF(PA[[#This Row],[String Type(If String BD)]]="",1,0)</f>
        <v>1</v>
      </c>
      <c r="T1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4" s="35" t="str">
        <f>IFERROR(_xlfn.XLOOKUP(PA[[#This Row],[Affected Equipment ]],'Basic Data'!N:N,'Basic Data'!Q:Q),"")</f>
        <v/>
      </c>
      <c r="V144" s="39" t="str">
        <f>IFERROR(_xlfn.XLOOKUP(PA[[#This Row],[Affected Equipment ]],'Basic Data'!N:N,'Basic Data'!R:R),"")</f>
        <v/>
      </c>
      <c r="W144" s="36" t="s">
        <v>281</v>
      </c>
      <c r="X144" s="40"/>
      <c r="Y144" s="40" t="s">
        <v>308</v>
      </c>
      <c r="Z144" s="43">
        <v>0.54027777777777775</v>
      </c>
      <c r="AA144" s="43">
        <v>0.54027777777777775</v>
      </c>
      <c r="AB144" s="43">
        <v>0.54027777777777775</v>
      </c>
      <c r="AC144" s="46">
        <v>0.60277777777777775</v>
      </c>
      <c r="AD144" s="44">
        <f>IF(PA[[#This Row],[Acknowledgement Time ]]="NA","",(PA[[#This Row],[Acknowledgement Time ]]-PA[[#This Row],[Fault Time]])*24)</f>
        <v>0</v>
      </c>
      <c r="AE144" s="44">
        <f>IF(PA[[#This Row],[Work Start time on Fault]]="NA","",(PA[[#This Row],[Work Start time on Fault]]-PA[[#This Row],[Fault Time]])*24)</f>
        <v>0</v>
      </c>
      <c r="AF144" s="45">
        <f>IF(PA[[#This Row],[Status]]="Open","",(PA[[#This Row],[Work Completion time on fault]]-PA[[#This Row],[Fault Time]])*24)</f>
        <v>1.5</v>
      </c>
      <c r="AG144" s="44">
        <f>IFERROR((PA[[#This Row],[Work Completion time on fault]]-PA[[#This Row],[Fault Time]])*24,"")</f>
        <v>1.5</v>
      </c>
      <c r="AH144" s="36" t="s">
        <v>309</v>
      </c>
      <c r="AI144" s="33" t="s">
        <v>235</v>
      </c>
      <c r="AJ144" s="35" t="str">
        <f>IFERROR(PA[[#This Row],[Breakdown Time]]*PA[[#This Row],[Plant Equivalent Weightage]],"")</f>
        <v/>
      </c>
      <c r="AK144" s="36">
        <v>0.233976183</v>
      </c>
      <c r="AL144" s="51" t="str">
        <f>IFERROR((_xlfn.XLOOKUP($G144,'Modelling New'!D:D,'Modelling New'!$O:$O)*PA[[#This Row],[Lost PoA(kWh/m2)]]*PA[[#This Row],[DC Capacity Affected (kW)]]),"")</f>
        <v/>
      </c>
      <c r="AM144" s="33"/>
      <c r="AN144" s="33"/>
      <c r="AO144" s="33">
        <v>4657</v>
      </c>
      <c r="AP144" s="33"/>
    </row>
    <row r="145" spans="1:42">
      <c r="A145" s="30">
        <v>144</v>
      </c>
      <c r="B145" s="31"/>
      <c r="C145" s="32">
        <f>YEAR(PA[[#This Row],[Date]])+IF(MONTH(PA[[#This Row],[Date]])&gt;=4,1,0)</f>
        <v>1900</v>
      </c>
      <c r="D145" s="32">
        <f>YEAR(PA[[#This Row],[Date]])</f>
        <v>1900</v>
      </c>
      <c r="E145" s="33" t="s">
        <v>157</v>
      </c>
      <c r="F145" s="33" t="s">
        <v>157</v>
      </c>
      <c r="G145" s="194">
        <f>PA[[#This Row],[Date]]-DAY(PA[[#This Row],[Date]])+1</f>
        <v>1</v>
      </c>
      <c r="H145" s="32">
        <f>DAY(EOMONTH(PA[[#This Row],[Month Year]],0))</f>
        <v>31</v>
      </c>
      <c r="I145" s="121"/>
      <c r="J145" s="121"/>
      <c r="K145" s="35">
        <f>IFERROR((PA[[#This Row],[Sunset Time (POA&lt;20 W/m2)]]-PA[[#This Row],[Sunrise Time (POA&gt;20 W/m2)]])*24,"")</f>
        <v>0</v>
      </c>
      <c r="L145" s="33"/>
      <c r="M145" s="33"/>
      <c r="N145" s="33"/>
      <c r="O145" s="36"/>
      <c r="P145" s="36"/>
      <c r="Q145" s="33"/>
      <c r="R145" s="32">
        <f>IF((PA[[#This Row],[String Type(If String BD)]]&amp;PA[[#This Row],[Equipment (If any BD other than PV  array and inv)]])="",1,0)</f>
        <v>1</v>
      </c>
      <c r="S145" s="32">
        <f>IF(PA[[#This Row],[String Type(If String BD)]]="",1,0)</f>
        <v>1</v>
      </c>
      <c r="T1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5" s="35" t="str">
        <f>IFERROR(_xlfn.XLOOKUP(PA[[#This Row],[Affected Equipment ]],'Basic Data'!N:N,'Basic Data'!Q:Q),"")</f>
        <v/>
      </c>
      <c r="V145" s="39" t="str">
        <f>IFERROR(_xlfn.XLOOKUP(PA[[#This Row],[Affected Equipment ]],'Basic Data'!N:N,'Basic Data'!R:R),"")</f>
        <v/>
      </c>
      <c r="W145" s="36" t="s">
        <v>281</v>
      </c>
      <c r="X145" s="40"/>
      <c r="Y145" s="40" t="s">
        <v>308</v>
      </c>
      <c r="Z145" s="43">
        <v>0.54027777777777775</v>
      </c>
      <c r="AA145" s="43">
        <v>0.54027777777777775</v>
      </c>
      <c r="AB145" s="43">
        <v>0.54027777777777775</v>
      </c>
      <c r="AC145" s="46">
        <v>0.59861111111111109</v>
      </c>
      <c r="AD145" s="44">
        <f>IF(PA[[#This Row],[Acknowledgement Time ]]="NA","",(PA[[#This Row],[Acknowledgement Time ]]-PA[[#This Row],[Fault Time]])*24)</f>
        <v>0</v>
      </c>
      <c r="AE145" s="44">
        <f>IF(PA[[#This Row],[Work Start time on Fault]]="NA","",(PA[[#This Row],[Work Start time on Fault]]-PA[[#This Row],[Fault Time]])*24)</f>
        <v>0</v>
      </c>
      <c r="AF145" s="45">
        <f>IF(PA[[#This Row],[Status]]="Open","",(PA[[#This Row],[Work Completion time on fault]]-PA[[#This Row],[Fault Time]])*24)</f>
        <v>1.4000000000000004</v>
      </c>
      <c r="AG145" s="44">
        <f>IFERROR((PA[[#This Row],[Work Completion time on fault]]-PA[[#This Row],[Fault Time]])*24,"")</f>
        <v>1.4000000000000004</v>
      </c>
      <c r="AH145" s="36" t="s">
        <v>309</v>
      </c>
      <c r="AI145" s="33" t="s">
        <v>235</v>
      </c>
      <c r="AJ145" s="35" t="str">
        <f>IFERROR(PA[[#This Row],[Breakdown Time]]*PA[[#This Row],[Plant Equivalent Weightage]],"")</f>
        <v/>
      </c>
      <c r="AK145" s="36">
        <v>0.21787252700000001</v>
      </c>
      <c r="AL145" s="51" t="str">
        <f>IFERROR((_xlfn.XLOOKUP($G145,'Modelling New'!D:D,'Modelling New'!$O:$O)*PA[[#This Row],[Lost PoA(kWh/m2)]]*PA[[#This Row],[DC Capacity Affected (kW)]]),"")</f>
        <v/>
      </c>
      <c r="AM145" s="33"/>
      <c r="AN145" s="33"/>
      <c r="AO145" s="33">
        <v>4657</v>
      </c>
      <c r="AP145" s="33"/>
    </row>
    <row r="146" spans="1:42">
      <c r="A146" s="30">
        <v>145</v>
      </c>
      <c r="B146" s="31"/>
      <c r="C146" s="32">
        <f>YEAR(PA[[#This Row],[Date]])+IF(MONTH(PA[[#This Row],[Date]])&gt;=4,1,0)</f>
        <v>1900</v>
      </c>
      <c r="D146" s="32">
        <f>YEAR(PA[[#This Row],[Date]])</f>
        <v>1900</v>
      </c>
      <c r="E146" s="33" t="s">
        <v>157</v>
      </c>
      <c r="F146" s="33" t="s">
        <v>157</v>
      </c>
      <c r="G146" s="194">
        <f>PA[[#This Row],[Date]]-DAY(PA[[#This Row],[Date]])+1</f>
        <v>1</v>
      </c>
      <c r="H146" s="32">
        <f>DAY(EOMONTH(PA[[#This Row],[Month Year]],0))</f>
        <v>31</v>
      </c>
      <c r="I146" s="121"/>
      <c r="J146" s="121"/>
      <c r="K146" s="35">
        <f>IFERROR((PA[[#This Row],[Sunset Time (POA&lt;20 W/m2)]]-PA[[#This Row],[Sunrise Time (POA&gt;20 W/m2)]])*24,"")</f>
        <v>0</v>
      </c>
      <c r="L146" s="33"/>
      <c r="M146" s="33"/>
      <c r="N146" s="33"/>
      <c r="O146" s="36"/>
      <c r="P146" s="36"/>
      <c r="Q146" s="33"/>
      <c r="R146" s="32">
        <f>IF((PA[[#This Row],[String Type(If String BD)]]&amp;PA[[#This Row],[Equipment (If any BD other than PV  array and inv)]])="",1,0)</f>
        <v>1</v>
      </c>
      <c r="S146" s="32">
        <f>IF(PA[[#This Row],[String Type(If String BD)]]="",1,0)</f>
        <v>1</v>
      </c>
      <c r="T1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6" s="35" t="str">
        <f>IFERROR(_xlfn.XLOOKUP(PA[[#This Row],[Affected Equipment ]],'Basic Data'!N:N,'Basic Data'!Q:Q),"")</f>
        <v/>
      </c>
      <c r="V146" s="39" t="str">
        <f>IFERROR(_xlfn.XLOOKUP(PA[[#This Row],[Affected Equipment ]],'Basic Data'!N:N,'Basic Data'!R:R),"")</f>
        <v/>
      </c>
      <c r="W146" s="36" t="s">
        <v>281</v>
      </c>
      <c r="X146" s="40"/>
      <c r="Y146" s="40" t="s">
        <v>308</v>
      </c>
      <c r="Z146" s="43">
        <v>0.54027777777777775</v>
      </c>
      <c r="AA146" s="43">
        <v>0.54027777777777775</v>
      </c>
      <c r="AB146" s="43">
        <v>0.54027777777777775</v>
      </c>
      <c r="AC146" s="46">
        <v>0.62083333333333335</v>
      </c>
      <c r="AD146" s="44">
        <f>IF(PA[[#This Row],[Acknowledgement Time ]]="NA","",(PA[[#This Row],[Acknowledgement Time ]]-PA[[#This Row],[Fault Time]])*24)</f>
        <v>0</v>
      </c>
      <c r="AE146" s="44">
        <f>IF(PA[[#This Row],[Work Start time on Fault]]="NA","",(PA[[#This Row],[Work Start time on Fault]]-PA[[#This Row],[Fault Time]])*24)</f>
        <v>0</v>
      </c>
      <c r="AF146" s="45">
        <f>IF(PA[[#This Row],[Status]]="Open","",(PA[[#This Row],[Work Completion time on fault]]-PA[[#This Row],[Fault Time]])*24)</f>
        <v>1.9333333333333345</v>
      </c>
      <c r="AG146" s="44">
        <f>IFERROR((PA[[#This Row],[Work Completion time on fault]]-PA[[#This Row],[Fault Time]])*24,"")</f>
        <v>1.9333333333333345</v>
      </c>
      <c r="AH146" s="36" t="s">
        <v>309</v>
      </c>
      <c r="AI146" s="33" t="s">
        <v>235</v>
      </c>
      <c r="AJ146" s="35" t="str">
        <f>IFERROR(PA[[#This Row],[Breakdown Time]]*PA[[#This Row],[Plant Equivalent Weightage]],"")</f>
        <v/>
      </c>
      <c r="AK146" s="36">
        <v>0.32361979800000001</v>
      </c>
      <c r="AL146" s="51" t="str">
        <f>IFERROR((_xlfn.XLOOKUP($G146,'Modelling New'!D:D,'Modelling New'!$O:$O)*PA[[#This Row],[Lost PoA(kWh/m2)]]*PA[[#This Row],[DC Capacity Affected (kW)]]),"")</f>
        <v/>
      </c>
      <c r="AM146" s="33"/>
      <c r="AN146" s="33"/>
      <c r="AO146" s="33">
        <v>4657</v>
      </c>
      <c r="AP146" s="33"/>
    </row>
    <row r="147" spans="1:42">
      <c r="A147" s="30">
        <v>146</v>
      </c>
      <c r="B147" s="31"/>
      <c r="C147" s="32">
        <f>YEAR(PA[[#This Row],[Date]])+IF(MONTH(PA[[#This Row],[Date]])&gt;=4,1,0)</f>
        <v>1900</v>
      </c>
      <c r="D147" s="32">
        <f>YEAR(PA[[#This Row],[Date]])</f>
        <v>1900</v>
      </c>
      <c r="E147" s="33" t="s">
        <v>157</v>
      </c>
      <c r="F147" s="33" t="s">
        <v>157</v>
      </c>
      <c r="G147" s="194">
        <f>PA[[#This Row],[Date]]-DAY(PA[[#This Row],[Date]])+1</f>
        <v>1</v>
      </c>
      <c r="H147" s="32">
        <f>DAY(EOMONTH(PA[[#This Row],[Month Year]],0))</f>
        <v>31</v>
      </c>
      <c r="I147" s="121"/>
      <c r="J147" s="121"/>
      <c r="K147" s="35">
        <f>IFERROR((PA[[#This Row],[Sunset Time (POA&lt;20 W/m2)]]-PA[[#This Row],[Sunrise Time (POA&gt;20 W/m2)]])*24,"")</f>
        <v>0</v>
      </c>
      <c r="L147" s="33"/>
      <c r="M147" s="33"/>
      <c r="N147" s="33"/>
      <c r="O147" s="36"/>
      <c r="P147" s="36"/>
      <c r="Q147" s="33"/>
      <c r="R147" s="32">
        <f>IF((PA[[#This Row],[String Type(If String BD)]]&amp;PA[[#This Row],[Equipment (If any BD other than PV  array and inv)]])="",1,0)</f>
        <v>1</v>
      </c>
      <c r="S147" s="32">
        <f>IF(PA[[#This Row],[String Type(If String BD)]]="",1,0)</f>
        <v>1</v>
      </c>
      <c r="T1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7" s="35" t="str">
        <f>IFERROR(_xlfn.XLOOKUP(PA[[#This Row],[Affected Equipment ]],'Basic Data'!N:N,'Basic Data'!Q:Q),"")</f>
        <v/>
      </c>
      <c r="V147" s="39" t="str">
        <f>IFERROR(_xlfn.XLOOKUP(PA[[#This Row],[Affected Equipment ]],'Basic Data'!N:N,'Basic Data'!R:R),"")</f>
        <v/>
      </c>
      <c r="W147" s="36" t="s">
        <v>281</v>
      </c>
      <c r="X147" s="40"/>
      <c r="Y147" s="40" t="s">
        <v>308</v>
      </c>
      <c r="Z147" s="46">
        <v>0.62638888888888888</v>
      </c>
      <c r="AA147" s="46">
        <v>0.62638888888888888</v>
      </c>
      <c r="AB147" s="46">
        <v>0.62638888888888888</v>
      </c>
      <c r="AC147" s="46">
        <v>0.64513888888888893</v>
      </c>
      <c r="AD147" s="44">
        <f>IF(PA[[#This Row],[Acknowledgement Time ]]="NA","",(PA[[#This Row],[Acknowledgement Time ]]-PA[[#This Row],[Fault Time]])*24)</f>
        <v>0</v>
      </c>
      <c r="AE147" s="44">
        <f>IF(PA[[#This Row],[Work Start time on Fault]]="NA","",(PA[[#This Row],[Work Start time on Fault]]-PA[[#This Row],[Fault Time]])*24)</f>
        <v>0</v>
      </c>
      <c r="AF147" s="45">
        <f>IF(PA[[#This Row],[Status]]="Open","",(PA[[#This Row],[Work Completion time on fault]]-PA[[#This Row],[Fault Time]])*24)</f>
        <v>0.45000000000000107</v>
      </c>
      <c r="AG147" s="44">
        <f>IFERROR((PA[[#This Row],[Work Completion time on fault]]-PA[[#This Row],[Fault Time]])*24,"")</f>
        <v>0.45000000000000107</v>
      </c>
      <c r="AH147" s="36" t="s">
        <v>309</v>
      </c>
      <c r="AI147" s="33" t="s">
        <v>235</v>
      </c>
      <c r="AJ147" s="35" t="str">
        <f>IFERROR(PA[[#This Row],[Breakdown Time]]*PA[[#This Row],[Plant Equivalent Weightage]],"")</f>
        <v/>
      </c>
      <c r="AK147" s="36">
        <v>8.4870783000000005E-2</v>
      </c>
      <c r="AL147" s="51" t="str">
        <f>IFERROR((_xlfn.XLOOKUP($G147,'Modelling New'!D:D,'Modelling New'!$O:$O)*PA[[#This Row],[Lost PoA(kWh/m2)]]*PA[[#This Row],[DC Capacity Affected (kW)]]),"")</f>
        <v/>
      </c>
      <c r="AM147" s="33"/>
      <c r="AN147" s="33"/>
      <c r="AO147" s="33">
        <v>4657</v>
      </c>
      <c r="AP147" s="33"/>
    </row>
    <row r="148" spans="1:42">
      <c r="A148" s="30">
        <v>147</v>
      </c>
      <c r="B148" s="31"/>
      <c r="C148" s="32">
        <f>YEAR(PA[[#This Row],[Date]])+IF(MONTH(PA[[#This Row],[Date]])&gt;=4,1,0)</f>
        <v>1900</v>
      </c>
      <c r="D148" s="32">
        <f>YEAR(PA[[#This Row],[Date]])</f>
        <v>1900</v>
      </c>
      <c r="E148" s="33" t="s">
        <v>157</v>
      </c>
      <c r="F148" s="33" t="s">
        <v>157</v>
      </c>
      <c r="G148" s="194">
        <f>PA[[#This Row],[Date]]-DAY(PA[[#This Row],[Date]])+1</f>
        <v>1</v>
      </c>
      <c r="H148" s="32">
        <f>DAY(EOMONTH(PA[[#This Row],[Month Year]],0))</f>
        <v>31</v>
      </c>
      <c r="I148" s="121"/>
      <c r="J148" s="121"/>
      <c r="K148" s="35">
        <f>IFERROR((PA[[#This Row],[Sunset Time (POA&lt;20 W/m2)]]-PA[[#This Row],[Sunrise Time (POA&gt;20 W/m2)]])*24,"")</f>
        <v>0</v>
      </c>
      <c r="L148" s="33"/>
      <c r="M148" s="33"/>
      <c r="N148" s="33"/>
      <c r="O148" s="36"/>
      <c r="P148" s="36"/>
      <c r="Q148" s="33"/>
      <c r="R148" s="32">
        <f>IF((PA[[#This Row],[String Type(If String BD)]]&amp;PA[[#This Row],[Equipment (If any BD other than PV  array and inv)]])="",1,0)</f>
        <v>1</v>
      </c>
      <c r="S148" s="32">
        <f>IF(PA[[#This Row],[String Type(If String BD)]]="",1,0)</f>
        <v>1</v>
      </c>
      <c r="T14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8" s="35" t="str">
        <f>IFERROR(_xlfn.XLOOKUP(PA[[#This Row],[Affected Equipment ]],'Basic Data'!N:N,'Basic Data'!Q:Q),"")</f>
        <v/>
      </c>
      <c r="V148" s="39" t="str">
        <f>IFERROR(_xlfn.XLOOKUP(PA[[#This Row],[Affected Equipment ]],'Basic Data'!N:N,'Basic Data'!R:R),"")</f>
        <v/>
      </c>
      <c r="W148" s="36" t="s">
        <v>281</v>
      </c>
      <c r="X148" s="40"/>
      <c r="Y148" s="40" t="s">
        <v>308</v>
      </c>
      <c r="Z148" s="46">
        <v>0.62638888888888888</v>
      </c>
      <c r="AA148" s="46">
        <v>0.62638888888888888</v>
      </c>
      <c r="AB148" s="46">
        <v>0.62638888888888888</v>
      </c>
      <c r="AC148" s="46">
        <v>0.64513888888888893</v>
      </c>
      <c r="AD148" s="44">
        <f>IF(PA[[#This Row],[Acknowledgement Time ]]="NA","",(PA[[#This Row],[Acknowledgement Time ]]-PA[[#This Row],[Fault Time]])*24)</f>
        <v>0</v>
      </c>
      <c r="AE148" s="44">
        <f>IF(PA[[#This Row],[Work Start time on Fault]]="NA","",(PA[[#This Row],[Work Start time on Fault]]-PA[[#This Row],[Fault Time]])*24)</f>
        <v>0</v>
      </c>
      <c r="AF148" s="45">
        <f>IF(PA[[#This Row],[Status]]="Open","",(PA[[#This Row],[Work Completion time on fault]]-PA[[#This Row],[Fault Time]])*24)</f>
        <v>0.45000000000000107</v>
      </c>
      <c r="AG148" s="44">
        <f>IFERROR((PA[[#This Row],[Work Completion time on fault]]-PA[[#This Row],[Fault Time]])*24,"")</f>
        <v>0.45000000000000107</v>
      </c>
      <c r="AH148" s="36" t="s">
        <v>309</v>
      </c>
      <c r="AI148" s="33" t="s">
        <v>235</v>
      </c>
      <c r="AJ148" s="35" t="str">
        <f>IFERROR(PA[[#This Row],[Breakdown Time]]*PA[[#This Row],[Plant Equivalent Weightage]],"")</f>
        <v/>
      </c>
      <c r="AK148" s="36">
        <v>8.4870783000000005E-2</v>
      </c>
      <c r="AL148" s="51" t="str">
        <f>IFERROR((_xlfn.XLOOKUP($G148,'Modelling New'!D:D,'Modelling New'!$O:$O)*PA[[#This Row],[Lost PoA(kWh/m2)]]*PA[[#This Row],[DC Capacity Affected (kW)]]),"")</f>
        <v/>
      </c>
      <c r="AM148" s="33"/>
      <c r="AN148" s="33"/>
      <c r="AO148" s="33">
        <v>4657</v>
      </c>
      <c r="AP148" s="33"/>
    </row>
    <row r="149" spans="1:42">
      <c r="A149" s="30">
        <v>148</v>
      </c>
      <c r="B149" s="31"/>
      <c r="C149" s="32">
        <f>YEAR(PA[[#This Row],[Date]])+IF(MONTH(PA[[#This Row],[Date]])&gt;=4,1,0)</f>
        <v>1900</v>
      </c>
      <c r="D149" s="32">
        <f>YEAR(PA[[#This Row],[Date]])</f>
        <v>1900</v>
      </c>
      <c r="E149" s="33" t="s">
        <v>157</v>
      </c>
      <c r="F149" s="33" t="s">
        <v>157</v>
      </c>
      <c r="G149" s="194">
        <f>PA[[#This Row],[Date]]-DAY(PA[[#This Row],[Date]])+1</f>
        <v>1</v>
      </c>
      <c r="H149" s="32">
        <f>DAY(EOMONTH(PA[[#This Row],[Month Year]],0))</f>
        <v>31</v>
      </c>
      <c r="I149" s="121"/>
      <c r="J149" s="121"/>
      <c r="K149" s="35">
        <f>IFERROR((PA[[#This Row],[Sunset Time (POA&lt;20 W/m2)]]-PA[[#This Row],[Sunrise Time (POA&gt;20 W/m2)]])*24,"")</f>
        <v>0</v>
      </c>
      <c r="L149" s="33"/>
      <c r="M149" s="33"/>
      <c r="N149" s="33"/>
      <c r="O149" s="36"/>
      <c r="P149" s="36"/>
      <c r="Q149" s="33"/>
      <c r="R149" s="32">
        <f>IF((PA[[#This Row],[String Type(If String BD)]]&amp;PA[[#This Row],[Equipment (If any BD other than PV  array and inv)]])="",1,0)</f>
        <v>1</v>
      </c>
      <c r="S149" s="32">
        <f>IF(PA[[#This Row],[String Type(If String BD)]]="",1,0)</f>
        <v>1</v>
      </c>
      <c r="T1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49" s="35" t="str">
        <f>IFERROR(_xlfn.XLOOKUP(PA[[#This Row],[Affected Equipment ]],'Basic Data'!N:N,'Basic Data'!Q:Q),"")</f>
        <v/>
      </c>
      <c r="V149" s="39" t="str">
        <f>IFERROR(_xlfn.XLOOKUP(PA[[#This Row],[Affected Equipment ]],'Basic Data'!N:N,'Basic Data'!R:R),"")</f>
        <v/>
      </c>
      <c r="W149" s="36" t="s">
        <v>281</v>
      </c>
      <c r="X149" s="40"/>
      <c r="Y149" s="40" t="s">
        <v>308</v>
      </c>
      <c r="Z149" s="46">
        <v>0.62638888888888888</v>
      </c>
      <c r="AA149" s="46">
        <v>0.62638888888888888</v>
      </c>
      <c r="AB149" s="46">
        <v>0.62638888888888888</v>
      </c>
      <c r="AC149" s="46">
        <v>0.64444444444444449</v>
      </c>
      <c r="AD149" s="44">
        <f>IF(PA[[#This Row],[Acknowledgement Time ]]="NA","",(PA[[#This Row],[Acknowledgement Time ]]-PA[[#This Row],[Fault Time]])*24)</f>
        <v>0</v>
      </c>
      <c r="AE149" s="44">
        <f>IF(PA[[#This Row],[Work Start time on Fault]]="NA","",(PA[[#This Row],[Work Start time on Fault]]-PA[[#This Row],[Fault Time]])*24)</f>
        <v>0</v>
      </c>
      <c r="AF149" s="45">
        <f>IF(PA[[#This Row],[Status]]="Open","",(PA[[#This Row],[Work Completion time on fault]]-PA[[#This Row],[Fault Time]])*24)</f>
        <v>0.43333333333333446</v>
      </c>
      <c r="AG149" s="44">
        <f>IFERROR((PA[[#This Row],[Work Completion time on fault]]-PA[[#This Row],[Fault Time]])*24,"")</f>
        <v>0.43333333333333446</v>
      </c>
      <c r="AH149" s="36" t="s">
        <v>309</v>
      </c>
      <c r="AI149" s="33" t="s">
        <v>235</v>
      </c>
      <c r="AJ149" s="35" t="str">
        <f>IFERROR(PA[[#This Row],[Breakdown Time]]*PA[[#This Row],[Plant Equivalent Weightage]],"")</f>
        <v/>
      </c>
      <c r="AK149" s="36">
        <v>8.1273339999999999E-2</v>
      </c>
      <c r="AL149" s="51" t="str">
        <f>IFERROR((_xlfn.XLOOKUP($G149,'Modelling New'!D:D,'Modelling New'!$O:$O)*PA[[#This Row],[Lost PoA(kWh/m2)]]*PA[[#This Row],[DC Capacity Affected (kW)]]),"")</f>
        <v/>
      </c>
      <c r="AM149" s="33"/>
      <c r="AN149" s="33"/>
      <c r="AO149" s="33">
        <v>4657</v>
      </c>
      <c r="AP149" s="33"/>
    </row>
    <row r="150" spans="1:42">
      <c r="A150" s="30">
        <v>149</v>
      </c>
      <c r="B150" s="31"/>
      <c r="C150" s="32">
        <f>YEAR(PA[[#This Row],[Date]])+IF(MONTH(PA[[#This Row],[Date]])&gt;=4,1,0)</f>
        <v>1900</v>
      </c>
      <c r="D150" s="32">
        <f>YEAR(PA[[#This Row],[Date]])</f>
        <v>1900</v>
      </c>
      <c r="E150" s="33" t="s">
        <v>157</v>
      </c>
      <c r="F150" s="33" t="s">
        <v>157</v>
      </c>
      <c r="G150" s="194">
        <f>PA[[#This Row],[Date]]-DAY(PA[[#This Row],[Date]])+1</f>
        <v>1</v>
      </c>
      <c r="H150" s="32">
        <f>DAY(EOMONTH(PA[[#This Row],[Month Year]],0))</f>
        <v>31</v>
      </c>
      <c r="I150" s="121"/>
      <c r="J150" s="121"/>
      <c r="K150" s="35">
        <f>IFERROR((PA[[#This Row],[Sunset Time (POA&lt;20 W/m2)]]-PA[[#This Row],[Sunrise Time (POA&gt;20 W/m2)]])*24,"")</f>
        <v>0</v>
      </c>
      <c r="L150" s="33"/>
      <c r="M150" s="33"/>
      <c r="N150" s="33"/>
      <c r="O150" s="36"/>
      <c r="P150" s="36"/>
      <c r="Q150" s="33"/>
      <c r="R150" s="32">
        <f>IF((PA[[#This Row],[String Type(If String BD)]]&amp;PA[[#This Row],[Equipment (If any BD other than PV  array and inv)]])="",1,0)</f>
        <v>1</v>
      </c>
      <c r="S150" s="32">
        <f>IF(PA[[#This Row],[String Type(If String BD)]]="",1,0)</f>
        <v>1</v>
      </c>
      <c r="T1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0" s="35" t="str">
        <f>IFERROR(_xlfn.XLOOKUP(PA[[#This Row],[Affected Equipment ]],'Basic Data'!N:N,'Basic Data'!Q:Q),"")</f>
        <v/>
      </c>
      <c r="V150" s="39" t="str">
        <f>IFERROR(_xlfn.XLOOKUP(PA[[#This Row],[Affected Equipment ]],'Basic Data'!N:N,'Basic Data'!R:R),"")</f>
        <v/>
      </c>
      <c r="W150" s="36" t="s">
        <v>281</v>
      </c>
      <c r="X150" s="40"/>
      <c r="Y150" s="40" t="s">
        <v>308</v>
      </c>
      <c r="Z150" s="46">
        <v>0.62638888888888888</v>
      </c>
      <c r="AA150" s="46">
        <v>0.62638888888888888</v>
      </c>
      <c r="AB150" s="46">
        <v>0.62638888888888888</v>
      </c>
      <c r="AC150" s="46">
        <v>0.64444444444444449</v>
      </c>
      <c r="AD150" s="44">
        <f>IF(PA[[#This Row],[Acknowledgement Time ]]="NA","",(PA[[#This Row],[Acknowledgement Time ]]-PA[[#This Row],[Fault Time]])*24)</f>
        <v>0</v>
      </c>
      <c r="AE150" s="44">
        <f>IF(PA[[#This Row],[Work Start time on Fault]]="NA","",(PA[[#This Row],[Work Start time on Fault]]-PA[[#This Row],[Fault Time]])*24)</f>
        <v>0</v>
      </c>
      <c r="AF150" s="45">
        <f>IF(PA[[#This Row],[Status]]="Open","",(PA[[#This Row],[Work Completion time on fault]]-PA[[#This Row],[Fault Time]])*24)</f>
        <v>0.43333333333333446</v>
      </c>
      <c r="AG150" s="44">
        <f>IFERROR((PA[[#This Row],[Work Completion time on fault]]-PA[[#This Row],[Fault Time]])*24,"")</f>
        <v>0.43333333333333446</v>
      </c>
      <c r="AH150" s="36" t="s">
        <v>309</v>
      </c>
      <c r="AI150" s="33" t="s">
        <v>235</v>
      </c>
      <c r="AJ150" s="35" t="str">
        <f>IFERROR(PA[[#This Row],[Breakdown Time]]*PA[[#This Row],[Plant Equivalent Weightage]],"")</f>
        <v/>
      </c>
      <c r="AK150" s="36">
        <v>8.1273339999999999E-2</v>
      </c>
      <c r="AL150" s="51" t="str">
        <f>IFERROR((_xlfn.XLOOKUP($G150,'Modelling New'!D:D,'Modelling New'!$O:$O)*PA[[#This Row],[Lost PoA(kWh/m2)]]*PA[[#This Row],[DC Capacity Affected (kW)]]),"")</f>
        <v/>
      </c>
      <c r="AM150" s="33"/>
      <c r="AN150" s="33"/>
      <c r="AO150" s="33">
        <v>4657</v>
      </c>
      <c r="AP150" s="33"/>
    </row>
    <row r="151" spans="1:42">
      <c r="A151" s="30">
        <v>150</v>
      </c>
      <c r="B151" s="31"/>
      <c r="C151" s="32">
        <f>YEAR(PA[[#This Row],[Date]])+IF(MONTH(PA[[#This Row],[Date]])&gt;=4,1,0)</f>
        <v>1900</v>
      </c>
      <c r="D151" s="32">
        <f>YEAR(PA[[#This Row],[Date]])</f>
        <v>1900</v>
      </c>
      <c r="E151" s="33" t="s">
        <v>157</v>
      </c>
      <c r="F151" s="33" t="s">
        <v>157</v>
      </c>
      <c r="G151" s="194">
        <f>PA[[#This Row],[Date]]-DAY(PA[[#This Row],[Date]])+1</f>
        <v>1</v>
      </c>
      <c r="H151" s="32">
        <f>DAY(EOMONTH(PA[[#This Row],[Month Year]],0))</f>
        <v>31</v>
      </c>
      <c r="I151" s="121"/>
      <c r="J151" s="121"/>
      <c r="K151" s="35">
        <f>IFERROR((PA[[#This Row],[Sunset Time (POA&lt;20 W/m2)]]-PA[[#This Row],[Sunrise Time (POA&gt;20 W/m2)]])*24,"")</f>
        <v>0</v>
      </c>
      <c r="L151" s="33"/>
      <c r="M151" s="33"/>
      <c r="N151" s="33"/>
      <c r="O151" s="36"/>
      <c r="P151" s="36"/>
      <c r="Q151" s="33"/>
      <c r="R151" s="32">
        <f>IF((PA[[#This Row],[String Type(If String BD)]]&amp;PA[[#This Row],[Equipment (If any BD other than PV  array and inv)]])="",1,0)</f>
        <v>1</v>
      </c>
      <c r="S151" s="32">
        <f>IF(PA[[#This Row],[String Type(If String BD)]]="",1,0)</f>
        <v>1</v>
      </c>
      <c r="T1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1" s="35" t="str">
        <f>IFERROR(_xlfn.XLOOKUP(PA[[#This Row],[Affected Equipment ]],'Basic Data'!N:N,'Basic Data'!Q:Q),"")</f>
        <v/>
      </c>
      <c r="V151" s="39" t="str">
        <f>IFERROR(_xlfn.XLOOKUP(PA[[#This Row],[Affected Equipment ]],'Basic Data'!N:N,'Basic Data'!R:R),"")</f>
        <v/>
      </c>
      <c r="W151" s="36" t="s">
        <v>281</v>
      </c>
      <c r="X151" s="40"/>
      <c r="Y151" s="40" t="s">
        <v>308</v>
      </c>
      <c r="Z151" s="46">
        <v>0.62638888888888888</v>
      </c>
      <c r="AA151" s="46">
        <v>0.62638888888888888</v>
      </c>
      <c r="AB151" s="46">
        <v>0.62638888888888888</v>
      </c>
      <c r="AC151" s="46">
        <v>0.64236111111111116</v>
      </c>
      <c r="AD151" s="44">
        <f>IF(PA[[#This Row],[Acknowledgement Time ]]="NA","",(PA[[#This Row],[Acknowledgement Time ]]-PA[[#This Row],[Fault Time]])*24)</f>
        <v>0</v>
      </c>
      <c r="AE151" s="44">
        <f>IF(PA[[#This Row],[Work Start time on Fault]]="NA","",(PA[[#This Row],[Work Start time on Fault]]-PA[[#This Row],[Fault Time]])*24)</f>
        <v>0</v>
      </c>
      <c r="AF151" s="45">
        <f>IF(PA[[#This Row],[Status]]="Open","",(PA[[#This Row],[Work Completion time on fault]]-PA[[#This Row],[Fault Time]])*24)</f>
        <v>0.38333333333333464</v>
      </c>
      <c r="AG151" s="44">
        <f>IFERROR((PA[[#This Row],[Work Completion time on fault]]-PA[[#This Row],[Fault Time]])*24,"")</f>
        <v>0.38333333333333464</v>
      </c>
      <c r="AH151" s="36" t="s">
        <v>309</v>
      </c>
      <c r="AI151" s="33" t="s">
        <v>235</v>
      </c>
      <c r="AJ151" s="35" t="str">
        <f>IFERROR(PA[[#This Row],[Breakdown Time]]*PA[[#This Row],[Plant Equivalent Weightage]],"")</f>
        <v/>
      </c>
      <c r="AK151" s="36">
        <v>7.0935888000000002E-2</v>
      </c>
      <c r="AL151" s="51" t="str">
        <f>IFERROR((_xlfn.XLOOKUP($G151,'Modelling New'!D:D,'Modelling New'!$O:$O)*PA[[#This Row],[Lost PoA(kWh/m2)]]*PA[[#This Row],[DC Capacity Affected (kW)]]),"")</f>
        <v/>
      </c>
      <c r="AM151" s="33"/>
      <c r="AN151" s="33"/>
      <c r="AO151" s="33">
        <v>4657</v>
      </c>
      <c r="AP151" s="33"/>
    </row>
    <row r="152" spans="1:42">
      <c r="A152" s="30">
        <v>151</v>
      </c>
      <c r="B152" s="31"/>
      <c r="C152" s="32">
        <f>YEAR(PA[[#This Row],[Date]])+IF(MONTH(PA[[#This Row],[Date]])&gt;=4,1,0)</f>
        <v>1900</v>
      </c>
      <c r="D152" s="32">
        <f>YEAR(PA[[#This Row],[Date]])</f>
        <v>1900</v>
      </c>
      <c r="E152" s="33" t="s">
        <v>157</v>
      </c>
      <c r="F152" s="33" t="s">
        <v>157</v>
      </c>
      <c r="G152" s="194">
        <f>PA[[#This Row],[Date]]-DAY(PA[[#This Row],[Date]])+1</f>
        <v>1</v>
      </c>
      <c r="H152" s="32">
        <f>DAY(EOMONTH(PA[[#This Row],[Month Year]],0))</f>
        <v>31</v>
      </c>
      <c r="I152" s="121"/>
      <c r="J152" s="121"/>
      <c r="K152" s="35">
        <f>IFERROR((PA[[#This Row],[Sunset Time (POA&lt;20 W/m2)]]-PA[[#This Row],[Sunrise Time (POA&gt;20 W/m2)]])*24,"")</f>
        <v>0</v>
      </c>
      <c r="L152" s="33"/>
      <c r="M152" s="33"/>
      <c r="N152" s="33"/>
      <c r="O152" s="36"/>
      <c r="P152" s="36"/>
      <c r="Q152" s="33"/>
      <c r="R152" s="32">
        <f>IF((PA[[#This Row],[String Type(If String BD)]]&amp;PA[[#This Row],[Equipment (If any BD other than PV  array and inv)]])="",1,0)</f>
        <v>1</v>
      </c>
      <c r="S152" s="32">
        <f>IF(PA[[#This Row],[String Type(If String BD)]]="",1,0)</f>
        <v>1</v>
      </c>
      <c r="T1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2" s="35" t="str">
        <f>IFERROR(_xlfn.XLOOKUP(PA[[#This Row],[Affected Equipment ]],'Basic Data'!N:N,'Basic Data'!Q:Q),"")</f>
        <v/>
      </c>
      <c r="V152" s="39" t="str">
        <f>IFERROR(_xlfn.XLOOKUP(PA[[#This Row],[Affected Equipment ]],'Basic Data'!N:N,'Basic Data'!R:R),"")</f>
        <v/>
      </c>
      <c r="W152" s="36" t="s">
        <v>281</v>
      </c>
      <c r="X152" s="40"/>
      <c r="Y152" s="40" t="s">
        <v>308</v>
      </c>
      <c r="Z152" s="46">
        <v>0.62638888888888888</v>
      </c>
      <c r="AA152" s="46">
        <v>0.62638888888888888</v>
      </c>
      <c r="AB152" s="46">
        <v>0.62638888888888888</v>
      </c>
      <c r="AC152" s="46">
        <v>0.64097222222222228</v>
      </c>
      <c r="AD152" s="44">
        <f>IF(PA[[#This Row],[Acknowledgement Time ]]="NA","",(PA[[#This Row],[Acknowledgement Time ]]-PA[[#This Row],[Fault Time]])*24)</f>
        <v>0</v>
      </c>
      <c r="AE152" s="44">
        <f>IF(PA[[#This Row],[Work Start time on Fault]]="NA","",(PA[[#This Row],[Work Start time on Fault]]-PA[[#This Row],[Fault Time]])*24)</f>
        <v>0</v>
      </c>
      <c r="AF152" s="45">
        <f>IF(PA[[#This Row],[Status]]="Open","",(PA[[#This Row],[Work Completion time on fault]]-PA[[#This Row],[Fault Time]])*24)</f>
        <v>0.35000000000000142</v>
      </c>
      <c r="AG152" s="44">
        <f>IFERROR((PA[[#This Row],[Work Completion time on fault]]-PA[[#This Row],[Fault Time]])*24,"")</f>
        <v>0.35000000000000142</v>
      </c>
      <c r="AH152" s="36" t="s">
        <v>309</v>
      </c>
      <c r="AI152" s="33" t="s">
        <v>235</v>
      </c>
      <c r="AJ152" s="35" t="str">
        <f>IFERROR(PA[[#This Row],[Breakdown Time]]*PA[[#This Row],[Plant Equivalent Weightage]],"")</f>
        <v/>
      </c>
      <c r="AK152" s="36">
        <v>6.5984580000000001E-2</v>
      </c>
      <c r="AL152" s="51" t="str">
        <f>IFERROR((_xlfn.XLOOKUP($G152,'Modelling New'!D:D,'Modelling New'!$O:$O)*PA[[#This Row],[Lost PoA(kWh/m2)]]*PA[[#This Row],[DC Capacity Affected (kW)]]),"")</f>
        <v/>
      </c>
      <c r="AM152" s="33"/>
      <c r="AN152" s="33"/>
      <c r="AO152" s="33">
        <v>4657</v>
      </c>
      <c r="AP152" s="33"/>
    </row>
    <row r="153" spans="1:42">
      <c r="A153" s="30">
        <v>152</v>
      </c>
      <c r="B153" s="31"/>
      <c r="C153" s="32">
        <f>YEAR(PA[[#This Row],[Date]])+IF(MONTH(PA[[#This Row],[Date]])&gt;=4,1,0)</f>
        <v>1900</v>
      </c>
      <c r="D153" s="32">
        <f>YEAR(PA[[#This Row],[Date]])</f>
        <v>1900</v>
      </c>
      <c r="E153" s="33" t="s">
        <v>157</v>
      </c>
      <c r="F153" s="33" t="s">
        <v>157</v>
      </c>
      <c r="G153" s="194">
        <f>PA[[#This Row],[Date]]-DAY(PA[[#This Row],[Date]])+1</f>
        <v>1</v>
      </c>
      <c r="H153" s="32">
        <f>DAY(EOMONTH(PA[[#This Row],[Month Year]],0))</f>
        <v>31</v>
      </c>
      <c r="I153" s="121"/>
      <c r="J153" s="121"/>
      <c r="K153" s="35">
        <f>IFERROR((PA[[#This Row],[Sunset Time (POA&lt;20 W/m2)]]-PA[[#This Row],[Sunrise Time (POA&gt;20 W/m2)]])*24,"")</f>
        <v>0</v>
      </c>
      <c r="L153" s="33"/>
      <c r="M153" s="33"/>
      <c r="N153" s="33"/>
      <c r="O153" s="36"/>
      <c r="P153" s="36"/>
      <c r="Q153" s="33"/>
      <c r="R153" s="32">
        <f>IF((PA[[#This Row],[String Type(If String BD)]]&amp;PA[[#This Row],[Equipment (If any BD other than PV  array and inv)]])="",1,0)</f>
        <v>1</v>
      </c>
      <c r="S153" s="32">
        <f>IF(PA[[#This Row],[String Type(If String BD)]]="",1,0)</f>
        <v>1</v>
      </c>
      <c r="T1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3" s="35" t="str">
        <f>IFERROR(_xlfn.XLOOKUP(PA[[#This Row],[Affected Equipment ]],'Basic Data'!N:N,'Basic Data'!Q:Q),"")</f>
        <v/>
      </c>
      <c r="V153" s="39" t="str">
        <f>IFERROR(_xlfn.XLOOKUP(PA[[#This Row],[Affected Equipment ]],'Basic Data'!N:N,'Basic Data'!R:R),"")</f>
        <v/>
      </c>
      <c r="W153" s="36" t="s">
        <v>281</v>
      </c>
      <c r="X153" s="40"/>
      <c r="Y153" s="40" t="s">
        <v>308</v>
      </c>
      <c r="Z153" s="46">
        <v>0.62638888888888888</v>
      </c>
      <c r="AA153" s="46">
        <v>0.62638888888888888</v>
      </c>
      <c r="AB153" s="46">
        <v>0.62638888888888888</v>
      </c>
      <c r="AC153" s="46">
        <v>0.6430555555555556</v>
      </c>
      <c r="AD153" s="44">
        <f>IF(PA[[#This Row],[Acknowledgement Time ]]="NA","",(PA[[#This Row],[Acknowledgement Time ]]-PA[[#This Row],[Fault Time]])*24)</f>
        <v>0</v>
      </c>
      <c r="AE153" s="44">
        <f>IF(PA[[#This Row],[Work Start time on Fault]]="NA","",(PA[[#This Row],[Work Start time on Fault]]-PA[[#This Row],[Fault Time]])*24)</f>
        <v>0</v>
      </c>
      <c r="AF153" s="45">
        <f>IF(PA[[#This Row],[Status]]="Open","",(PA[[#This Row],[Work Completion time on fault]]-PA[[#This Row],[Fault Time]])*24)</f>
        <v>0.40000000000000124</v>
      </c>
      <c r="AG153" s="44">
        <f>IFERROR((PA[[#This Row],[Work Completion time on fault]]-PA[[#This Row],[Fault Time]])*24,"")</f>
        <v>0.40000000000000124</v>
      </c>
      <c r="AH153" s="36" t="s">
        <v>309</v>
      </c>
      <c r="AI153" s="33" t="s">
        <v>235</v>
      </c>
      <c r="AJ153" s="35" t="str">
        <f>IFERROR(PA[[#This Row],[Breakdown Time]]*PA[[#This Row],[Plant Equivalent Weightage]],"")</f>
        <v/>
      </c>
      <c r="AK153" s="36">
        <v>7.3908917000000005E-2</v>
      </c>
      <c r="AL153" s="51" t="str">
        <f>IFERROR((_xlfn.XLOOKUP($G153,'Modelling New'!D:D,'Modelling New'!$O:$O)*PA[[#This Row],[Lost PoA(kWh/m2)]]*PA[[#This Row],[DC Capacity Affected (kW)]]),"")</f>
        <v/>
      </c>
      <c r="AM153" s="33"/>
      <c r="AN153" s="33"/>
      <c r="AO153" s="33">
        <v>4657</v>
      </c>
      <c r="AP153" s="33"/>
    </row>
    <row r="154" spans="1:42">
      <c r="A154" s="30">
        <v>153</v>
      </c>
      <c r="B154" s="31"/>
      <c r="C154" s="32">
        <f>YEAR(PA[[#This Row],[Date]])+IF(MONTH(PA[[#This Row],[Date]])&gt;=4,1,0)</f>
        <v>1900</v>
      </c>
      <c r="D154" s="32">
        <f>YEAR(PA[[#This Row],[Date]])</f>
        <v>1900</v>
      </c>
      <c r="E154" s="33" t="s">
        <v>157</v>
      </c>
      <c r="F154" s="33" t="s">
        <v>157</v>
      </c>
      <c r="G154" s="194">
        <f>PA[[#This Row],[Date]]-DAY(PA[[#This Row],[Date]])+1</f>
        <v>1</v>
      </c>
      <c r="H154" s="32">
        <f>DAY(EOMONTH(PA[[#This Row],[Month Year]],0))</f>
        <v>31</v>
      </c>
      <c r="I154" s="121"/>
      <c r="J154" s="121"/>
      <c r="K154" s="35">
        <f>IFERROR((PA[[#This Row],[Sunset Time (POA&lt;20 W/m2)]]-PA[[#This Row],[Sunrise Time (POA&gt;20 W/m2)]])*24,"")</f>
        <v>0</v>
      </c>
      <c r="L154" s="33"/>
      <c r="M154" s="33"/>
      <c r="N154" s="33"/>
      <c r="O154" s="36"/>
      <c r="P154" s="36"/>
      <c r="Q154" s="33"/>
      <c r="R154" s="32">
        <f>IF((PA[[#This Row],[String Type(If String BD)]]&amp;PA[[#This Row],[Equipment (If any BD other than PV  array and inv)]])="",1,0)</f>
        <v>1</v>
      </c>
      <c r="S154" s="32">
        <f>IF(PA[[#This Row],[String Type(If String BD)]]="",1,0)</f>
        <v>1</v>
      </c>
      <c r="T1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4" s="35" t="str">
        <f>IFERROR(_xlfn.XLOOKUP(PA[[#This Row],[Affected Equipment ]],'Basic Data'!N:N,'Basic Data'!Q:Q),"")</f>
        <v/>
      </c>
      <c r="V154" s="39" t="str">
        <f>IFERROR(_xlfn.XLOOKUP(PA[[#This Row],[Affected Equipment ]],'Basic Data'!N:N,'Basic Data'!R:R),"")</f>
        <v/>
      </c>
      <c r="W154" s="36" t="s">
        <v>281</v>
      </c>
      <c r="X154" s="40"/>
      <c r="Y154" s="40" t="s">
        <v>308</v>
      </c>
      <c r="Z154" s="46">
        <v>0.58402777777777781</v>
      </c>
      <c r="AA154" s="46">
        <v>0.58402777777777781</v>
      </c>
      <c r="AB154" s="46">
        <v>0.58402777777777781</v>
      </c>
      <c r="AC154" s="46">
        <v>0.60624999999999996</v>
      </c>
      <c r="AD154" s="44">
        <f>IF(PA[[#This Row],[Acknowledgement Time ]]="NA","",(PA[[#This Row],[Acknowledgement Time ]]-PA[[#This Row],[Fault Time]])*24)</f>
        <v>0</v>
      </c>
      <c r="AE154" s="44">
        <f>IF(PA[[#This Row],[Work Start time on Fault]]="NA","",(PA[[#This Row],[Work Start time on Fault]]-PA[[#This Row],[Fault Time]])*24)</f>
        <v>0</v>
      </c>
      <c r="AF154" s="45">
        <f>IF(PA[[#This Row],[Status]]="Open","",(PA[[#This Row],[Work Completion time on fault]]-PA[[#This Row],[Fault Time]])*24)</f>
        <v>0.53333333333333144</v>
      </c>
      <c r="AG154" s="44">
        <f>IFERROR((PA[[#This Row],[Work Completion time on fault]]-PA[[#This Row],[Fault Time]])*24,"")</f>
        <v>0.53333333333333144</v>
      </c>
      <c r="AH154" s="36" t="s">
        <v>309</v>
      </c>
      <c r="AI154" s="33" t="s">
        <v>235</v>
      </c>
      <c r="AJ154" s="35" t="str">
        <f>IFERROR(PA[[#This Row],[Breakdown Time]]*PA[[#This Row],[Plant Equivalent Weightage]],"")</f>
        <v/>
      </c>
      <c r="AK154" s="36">
        <v>0.138228345</v>
      </c>
      <c r="AL154" s="51" t="str">
        <f>IFERROR((_xlfn.XLOOKUP($G154,'Modelling New'!D:D,'Modelling New'!$O:$O)*PA[[#This Row],[Lost PoA(kWh/m2)]]*PA[[#This Row],[DC Capacity Affected (kW)]]),"")</f>
        <v/>
      </c>
      <c r="AM154" s="33"/>
      <c r="AN154" s="33"/>
      <c r="AO154" s="33">
        <v>4674</v>
      </c>
      <c r="AP154" s="33"/>
    </row>
    <row r="155" spans="1:42">
      <c r="A155" s="30">
        <v>154</v>
      </c>
      <c r="B155" s="31"/>
      <c r="C155" s="32">
        <f>YEAR(PA[[#This Row],[Date]])+IF(MONTH(PA[[#This Row],[Date]])&gt;=4,1,0)</f>
        <v>1900</v>
      </c>
      <c r="D155" s="32">
        <f>YEAR(PA[[#This Row],[Date]])</f>
        <v>1900</v>
      </c>
      <c r="E155" s="33" t="s">
        <v>157</v>
      </c>
      <c r="F155" s="33" t="s">
        <v>157</v>
      </c>
      <c r="G155" s="194">
        <f>PA[[#This Row],[Date]]-DAY(PA[[#This Row],[Date]])+1</f>
        <v>1</v>
      </c>
      <c r="H155" s="32">
        <f>DAY(EOMONTH(PA[[#This Row],[Month Year]],0))</f>
        <v>31</v>
      </c>
      <c r="I155" s="121"/>
      <c r="J155" s="121"/>
      <c r="K155" s="35">
        <f>IFERROR((PA[[#This Row],[Sunset Time (POA&lt;20 W/m2)]]-PA[[#This Row],[Sunrise Time (POA&gt;20 W/m2)]])*24,"")</f>
        <v>0</v>
      </c>
      <c r="L155" s="33"/>
      <c r="M155" s="33"/>
      <c r="N155" s="33"/>
      <c r="O155" s="36"/>
      <c r="P155" s="36"/>
      <c r="Q155" s="33"/>
      <c r="R155" s="32">
        <f>IF((PA[[#This Row],[String Type(If String BD)]]&amp;PA[[#This Row],[Equipment (If any BD other than PV  array and inv)]])="",1,0)</f>
        <v>1</v>
      </c>
      <c r="S155" s="32">
        <f>IF(PA[[#This Row],[String Type(If String BD)]]="",1,0)</f>
        <v>1</v>
      </c>
      <c r="T1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5" s="35" t="str">
        <f>IFERROR(_xlfn.XLOOKUP(PA[[#This Row],[Affected Equipment ]],'Basic Data'!N:N,'Basic Data'!Q:Q),"")</f>
        <v/>
      </c>
      <c r="V155" s="39" t="str">
        <f>IFERROR(_xlfn.XLOOKUP(PA[[#This Row],[Affected Equipment ]],'Basic Data'!N:N,'Basic Data'!R:R),"")</f>
        <v/>
      </c>
      <c r="W155" s="36" t="s">
        <v>281</v>
      </c>
      <c r="X155" s="40"/>
      <c r="Y155" s="40" t="s">
        <v>308</v>
      </c>
      <c r="Z155" s="46">
        <v>0.58402777777777781</v>
      </c>
      <c r="AA155" s="46">
        <v>0.58402777777777781</v>
      </c>
      <c r="AB155" s="46">
        <v>0.58402777777777781</v>
      </c>
      <c r="AC155" s="46">
        <v>0.60624999999999996</v>
      </c>
      <c r="AD155" s="44">
        <f>IF(PA[[#This Row],[Acknowledgement Time ]]="NA","",(PA[[#This Row],[Acknowledgement Time ]]-PA[[#This Row],[Fault Time]])*24)</f>
        <v>0</v>
      </c>
      <c r="AE155" s="44">
        <f>IF(PA[[#This Row],[Work Start time on Fault]]="NA","",(PA[[#This Row],[Work Start time on Fault]]-PA[[#This Row],[Fault Time]])*24)</f>
        <v>0</v>
      </c>
      <c r="AF155" s="45">
        <f>IF(PA[[#This Row],[Status]]="Open","",(PA[[#This Row],[Work Completion time on fault]]-PA[[#This Row],[Fault Time]])*24)</f>
        <v>0.53333333333333144</v>
      </c>
      <c r="AG155" s="44">
        <f>IFERROR((PA[[#This Row],[Work Completion time on fault]]-PA[[#This Row],[Fault Time]])*24,"")</f>
        <v>0.53333333333333144</v>
      </c>
      <c r="AH155" s="36" t="s">
        <v>309</v>
      </c>
      <c r="AI155" s="33" t="s">
        <v>235</v>
      </c>
      <c r="AJ155" s="35" t="str">
        <f>IFERROR(PA[[#This Row],[Breakdown Time]]*PA[[#This Row],[Plant Equivalent Weightage]],"")</f>
        <v/>
      </c>
      <c r="AK155" s="36">
        <v>0.138228345</v>
      </c>
      <c r="AL155" s="51" t="str">
        <f>IFERROR((_xlfn.XLOOKUP($G155,'Modelling New'!D:D,'Modelling New'!$O:$O)*PA[[#This Row],[Lost PoA(kWh/m2)]]*PA[[#This Row],[DC Capacity Affected (kW)]]),"")</f>
        <v/>
      </c>
      <c r="AM155" s="33"/>
      <c r="AN155" s="33"/>
      <c r="AO155" s="33">
        <v>4674</v>
      </c>
      <c r="AP155" s="33"/>
    </row>
    <row r="156" spans="1:42">
      <c r="A156" s="30">
        <v>155</v>
      </c>
      <c r="B156" s="31"/>
      <c r="C156" s="32">
        <f>YEAR(PA[[#This Row],[Date]])+IF(MONTH(PA[[#This Row],[Date]])&gt;=4,1,0)</f>
        <v>1900</v>
      </c>
      <c r="D156" s="32">
        <f>YEAR(PA[[#This Row],[Date]])</f>
        <v>1900</v>
      </c>
      <c r="E156" s="33" t="s">
        <v>157</v>
      </c>
      <c r="F156" s="33" t="s">
        <v>157</v>
      </c>
      <c r="G156" s="194">
        <f>PA[[#This Row],[Date]]-DAY(PA[[#This Row],[Date]])+1</f>
        <v>1</v>
      </c>
      <c r="H156" s="32">
        <f>DAY(EOMONTH(PA[[#This Row],[Month Year]],0))</f>
        <v>31</v>
      </c>
      <c r="I156" s="121"/>
      <c r="J156" s="121"/>
      <c r="K156" s="35">
        <f>IFERROR((PA[[#This Row],[Sunset Time (POA&lt;20 W/m2)]]-PA[[#This Row],[Sunrise Time (POA&gt;20 W/m2)]])*24,"")</f>
        <v>0</v>
      </c>
      <c r="L156" s="33"/>
      <c r="M156" s="33"/>
      <c r="N156" s="33"/>
      <c r="O156" s="36"/>
      <c r="P156" s="36"/>
      <c r="Q156" s="33"/>
      <c r="R156" s="32">
        <f>IF((PA[[#This Row],[String Type(If String BD)]]&amp;PA[[#This Row],[Equipment (If any BD other than PV  array and inv)]])="",1,0)</f>
        <v>1</v>
      </c>
      <c r="S156" s="32">
        <f>IF(PA[[#This Row],[String Type(If String BD)]]="",1,0)</f>
        <v>1</v>
      </c>
      <c r="T1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6" s="35" t="str">
        <f>IFERROR(_xlfn.XLOOKUP(PA[[#This Row],[Affected Equipment ]],'Basic Data'!N:N,'Basic Data'!Q:Q),"")</f>
        <v/>
      </c>
      <c r="V156" s="39" t="str">
        <f>IFERROR(_xlfn.XLOOKUP(PA[[#This Row],[Affected Equipment ]],'Basic Data'!N:N,'Basic Data'!R:R),"")</f>
        <v/>
      </c>
      <c r="W156" s="36" t="s">
        <v>281</v>
      </c>
      <c r="X156" s="40"/>
      <c r="Y156" s="40" t="s">
        <v>308</v>
      </c>
      <c r="Z156" s="46">
        <v>0.58402777777777781</v>
      </c>
      <c r="AA156" s="46">
        <v>0.58402777777777781</v>
      </c>
      <c r="AB156" s="46">
        <v>0.58402777777777781</v>
      </c>
      <c r="AC156" s="46">
        <v>0.66736111111111107</v>
      </c>
      <c r="AD156" s="44">
        <f>IF(PA[[#This Row],[Acknowledgement Time ]]="NA","",(PA[[#This Row],[Acknowledgement Time ]]-PA[[#This Row],[Fault Time]])*24)</f>
        <v>0</v>
      </c>
      <c r="AE156" s="44">
        <f>IF(PA[[#This Row],[Work Start time on Fault]]="NA","",(PA[[#This Row],[Work Start time on Fault]]-PA[[#This Row],[Fault Time]])*24)</f>
        <v>0</v>
      </c>
      <c r="AF156" s="45">
        <f>IF(PA[[#This Row],[Status]]="Open","",(PA[[#This Row],[Work Completion time on fault]]-PA[[#This Row],[Fault Time]])*24)</f>
        <v>1.9999999999999982</v>
      </c>
      <c r="AG156" s="44">
        <f>IFERROR((PA[[#This Row],[Work Completion time on fault]]-PA[[#This Row],[Fault Time]])*24,"")</f>
        <v>1.9999999999999982</v>
      </c>
      <c r="AH156" s="36" t="s">
        <v>309</v>
      </c>
      <c r="AI156" s="33" t="s">
        <v>235</v>
      </c>
      <c r="AJ156" s="35" t="str">
        <f>IFERROR(PA[[#This Row],[Breakdown Time]]*PA[[#This Row],[Plant Equivalent Weightage]],"")</f>
        <v/>
      </c>
      <c r="AK156" s="36">
        <v>0.22273204499999999</v>
      </c>
      <c r="AL156" s="51" t="str">
        <f>IFERROR((_xlfn.XLOOKUP($G156,'Modelling New'!D:D,'Modelling New'!$O:$O)*PA[[#This Row],[Lost PoA(kWh/m2)]]*PA[[#This Row],[DC Capacity Affected (kW)]]),"")</f>
        <v/>
      </c>
      <c r="AM156" s="33"/>
      <c r="AN156" s="33"/>
      <c r="AO156" s="33">
        <v>4674</v>
      </c>
      <c r="AP156" s="33"/>
    </row>
    <row r="157" spans="1:42">
      <c r="A157" s="30">
        <v>156</v>
      </c>
      <c r="B157" s="31"/>
      <c r="C157" s="32">
        <f>YEAR(PA[[#This Row],[Date]])+IF(MONTH(PA[[#This Row],[Date]])&gt;=4,1,0)</f>
        <v>1900</v>
      </c>
      <c r="D157" s="32">
        <f>YEAR(PA[[#This Row],[Date]])</f>
        <v>1900</v>
      </c>
      <c r="E157" s="33" t="s">
        <v>157</v>
      </c>
      <c r="F157" s="33" t="s">
        <v>157</v>
      </c>
      <c r="G157" s="194">
        <f>PA[[#This Row],[Date]]-DAY(PA[[#This Row],[Date]])+1</f>
        <v>1</v>
      </c>
      <c r="H157" s="32">
        <f>DAY(EOMONTH(PA[[#This Row],[Month Year]],0))</f>
        <v>31</v>
      </c>
      <c r="I157" s="121"/>
      <c r="J157" s="121"/>
      <c r="K157" s="35">
        <f>IFERROR((PA[[#This Row],[Sunset Time (POA&lt;20 W/m2)]]-PA[[#This Row],[Sunrise Time (POA&gt;20 W/m2)]])*24,"")</f>
        <v>0</v>
      </c>
      <c r="L157" s="33"/>
      <c r="M157" s="33"/>
      <c r="N157" s="33"/>
      <c r="O157" s="36"/>
      <c r="P157" s="36"/>
      <c r="Q157" s="33"/>
      <c r="R157" s="32">
        <f>IF((PA[[#This Row],[String Type(If String BD)]]&amp;PA[[#This Row],[Equipment (If any BD other than PV  array and inv)]])="",1,0)</f>
        <v>1</v>
      </c>
      <c r="S157" s="32">
        <f>IF(PA[[#This Row],[String Type(If String BD)]]="",1,0)</f>
        <v>1</v>
      </c>
      <c r="T1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7" s="35" t="str">
        <f>IFERROR(_xlfn.XLOOKUP(PA[[#This Row],[Affected Equipment ]],'Basic Data'!N:N,'Basic Data'!Q:Q),"")</f>
        <v/>
      </c>
      <c r="V157" s="39" t="str">
        <f>IFERROR(_xlfn.XLOOKUP(PA[[#This Row],[Affected Equipment ]],'Basic Data'!N:N,'Basic Data'!R:R),"")</f>
        <v/>
      </c>
      <c r="W157" s="36" t="s">
        <v>281</v>
      </c>
      <c r="X157" s="40"/>
      <c r="Y157" s="40" t="s">
        <v>308</v>
      </c>
      <c r="Z157" s="46">
        <v>0.58402777777777781</v>
      </c>
      <c r="AA157" s="46">
        <v>0.58402777777777781</v>
      </c>
      <c r="AB157" s="46">
        <v>0.58402777777777781</v>
      </c>
      <c r="AC157" s="46">
        <v>0.66736111111111107</v>
      </c>
      <c r="AD157" s="44">
        <f>IF(PA[[#This Row],[Acknowledgement Time ]]="NA","",(PA[[#This Row],[Acknowledgement Time ]]-PA[[#This Row],[Fault Time]])*24)</f>
        <v>0</v>
      </c>
      <c r="AE157" s="44">
        <f>IF(PA[[#This Row],[Work Start time on Fault]]="NA","",(PA[[#This Row],[Work Start time on Fault]]-PA[[#This Row],[Fault Time]])*24)</f>
        <v>0</v>
      </c>
      <c r="AF157" s="45">
        <f>IF(PA[[#This Row],[Status]]="Open","",(PA[[#This Row],[Work Completion time on fault]]-PA[[#This Row],[Fault Time]])*24)</f>
        <v>1.9999999999999982</v>
      </c>
      <c r="AG157" s="44">
        <f>IFERROR((PA[[#This Row],[Work Completion time on fault]]-PA[[#This Row],[Fault Time]])*24,"")</f>
        <v>1.9999999999999982</v>
      </c>
      <c r="AH157" s="36" t="s">
        <v>309</v>
      </c>
      <c r="AI157" s="33" t="s">
        <v>235</v>
      </c>
      <c r="AJ157" s="35" t="str">
        <f>IFERROR(PA[[#This Row],[Breakdown Time]]*PA[[#This Row],[Plant Equivalent Weightage]],"")</f>
        <v/>
      </c>
      <c r="AK157" s="36">
        <v>0.22273204499999999</v>
      </c>
      <c r="AL157" s="51" t="str">
        <f>IFERROR((_xlfn.XLOOKUP($G157,'Modelling New'!D:D,'Modelling New'!$O:$O)*PA[[#This Row],[Lost PoA(kWh/m2)]]*PA[[#This Row],[DC Capacity Affected (kW)]]),"")</f>
        <v/>
      </c>
      <c r="AM157" s="33"/>
      <c r="AN157" s="33"/>
      <c r="AO157" s="33">
        <v>4674</v>
      </c>
      <c r="AP157" s="33"/>
    </row>
    <row r="158" spans="1:42">
      <c r="A158" s="30">
        <v>157</v>
      </c>
      <c r="B158" s="31"/>
      <c r="C158" s="32">
        <f>YEAR(PA[[#This Row],[Date]])+IF(MONTH(PA[[#This Row],[Date]])&gt;=4,1,0)</f>
        <v>1900</v>
      </c>
      <c r="D158" s="32">
        <f>YEAR(PA[[#This Row],[Date]])</f>
        <v>1900</v>
      </c>
      <c r="E158" s="33" t="s">
        <v>157</v>
      </c>
      <c r="F158" s="33" t="s">
        <v>157</v>
      </c>
      <c r="G158" s="194">
        <f>PA[[#This Row],[Date]]-DAY(PA[[#This Row],[Date]])+1</f>
        <v>1</v>
      </c>
      <c r="H158" s="32">
        <f>DAY(EOMONTH(PA[[#This Row],[Month Year]],0))</f>
        <v>31</v>
      </c>
      <c r="I158" s="121"/>
      <c r="J158" s="121"/>
      <c r="K158" s="35">
        <f>IFERROR((PA[[#This Row],[Sunset Time (POA&lt;20 W/m2)]]-PA[[#This Row],[Sunrise Time (POA&gt;20 W/m2)]])*24,"")</f>
        <v>0</v>
      </c>
      <c r="L158" s="33"/>
      <c r="M158" s="33"/>
      <c r="N158" s="33"/>
      <c r="O158" s="36"/>
      <c r="P158" s="36"/>
      <c r="Q158" s="33"/>
      <c r="R158" s="32">
        <f>IF((PA[[#This Row],[String Type(If String BD)]]&amp;PA[[#This Row],[Equipment (If any BD other than PV  array and inv)]])="",1,0)</f>
        <v>1</v>
      </c>
      <c r="S158" s="32">
        <f>IF(PA[[#This Row],[String Type(If String BD)]]="",1,0)</f>
        <v>1</v>
      </c>
      <c r="T1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8" s="35" t="str">
        <f>IFERROR(_xlfn.XLOOKUP(PA[[#This Row],[Affected Equipment ]],'Basic Data'!N:N,'Basic Data'!Q:Q),"")</f>
        <v/>
      </c>
      <c r="V158" s="39" t="str">
        <f>IFERROR(_xlfn.XLOOKUP(PA[[#This Row],[Affected Equipment ]],'Basic Data'!N:N,'Basic Data'!R:R),"")</f>
        <v/>
      </c>
      <c r="W158" s="36" t="s">
        <v>281</v>
      </c>
      <c r="X158" s="40"/>
      <c r="Y158" s="40" t="s">
        <v>308</v>
      </c>
      <c r="Z158" s="46">
        <v>0.58402777777777781</v>
      </c>
      <c r="AA158" s="46">
        <v>0.58402777777777781</v>
      </c>
      <c r="AB158" s="46">
        <v>0.58402777777777781</v>
      </c>
      <c r="AC158" s="46">
        <v>0.60277777777777775</v>
      </c>
      <c r="AD158" s="44">
        <f>IF(PA[[#This Row],[Acknowledgement Time ]]="NA","",(PA[[#This Row],[Acknowledgement Time ]]-PA[[#This Row],[Fault Time]])*24)</f>
        <v>0</v>
      </c>
      <c r="AE158" s="44">
        <f>IF(PA[[#This Row],[Work Start time on Fault]]="NA","",(PA[[#This Row],[Work Start time on Fault]]-PA[[#This Row],[Fault Time]])*24)</f>
        <v>0</v>
      </c>
      <c r="AF158" s="45">
        <f>IF(PA[[#This Row],[Status]]="Open","",(PA[[#This Row],[Work Completion time on fault]]-PA[[#This Row],[Fault Time]])*24)</f>
        <v>0.4499999999999984</v>
      </c>
      <c r="AG158" s="44">
        <f>IFERROR((PA[[#This Row],[Work Completion time on fault]]-PA[[#This Row],[Fault Time]])*24,"")</f>
        <v>0.4499999999999984</v>
      </c>
      <c r="AH158" s="36" t="s">
        <v>309</v>
      </c>
      <c r="AI158" s="33" t="s">
        <v>235</v>
      </c>
      <c r="AJ158" s="35" t="str">
        <f>IFERROR(PA[[#This Row],[Breakdown Time]]*PA[[#This Row],[Plant Equivalent Weightage]],"")</f>
        <v/>
      </c>
      <c r="AK158" s="36">
        <v>0.129250742</v>
      </c>
      <c r="AL158" s="51" t="str">
        <f>IFERROR((_xlfn.XLOOKUP($G158,'Modelling New'!D:D,'Modelling New'!$O:$O)*PA[[#This Row],[Lost PoA(kWh/m2)]]*PA[[#This Row],[DC Capacity Affected (kW)]]),"")</f>
        <v/>
      </c>
      <c r="AM158" s="33"/>
      <c r="AN158" s="33"/>
      <c r="AO158" s="33">
        <v>4674</v>
      </c>
      <c r="AP158" s="33"/>
    </row>
    <row r="159" spans="1:42">
      <c r="A159" s="30">
        <v>158</v>
      </c>
      <c r="B159" s="31"/>
      <c r="C159" s="32">
        <f>YEAR(PA[[#This Row],[Date]])+IF(MONTH(PA[[#This Row],[Date]])&gt;=4,1,0)</f>
        <v>1900</v>
      </c>
      <c r="D159" s="32">
        <f>YEAR(PA[[#This Row],[Date]])</f>
        <v>1900</v>
      </c>
      <c r="E159" s="33" t="s">
        <v>157</v>
      </c>
      <c r="F159" s="33" t="s">
        <v>157</v>
      </c>
      <c r="G159" s="194">
        <f>PA[[#This Row],[Date]]-DAY(PA[[#This Row],[Date]])+1</f>
        <v>1</v>
      </c>
      <c r="H159" s="32">
        <f>DAY(EOMONTH(PA[[#This Row],[Month Year]],0))</f>
        <v>31</v>
      </c>
      <c r="I159" s="121"/>
      <c r="J159" s="121"/>
      <c r="K159" s="35">
        <f>IFERROR((PA[[#This Row],[Sunset Time (POA&lt;20 W/m2)]]-PA[[#This Row],[Sunrise Time (POA&gt;20 W/m2)]])*24,"")</f>
        <v>0</v>
      </c>
      <c r="L159" s="33"/>
      <c r="M159" s="33"/>
      <c r="N159" s="33"/>
      <c r="O159" s="36"/>
      <c r="P159" s="36"/>
      <c r="Q159" s="33"/>
      <c r="R159" s="32">
        <f>IF((PA[[#This Row],[String Type(If String BD)]]&amp;PA[[#This Row],[Equipment (If any BD other than PV  array and inv)]])="",1,0)</f>
        <v>1</v>
      </c>
      <c r="S159" s="32">
        <f>IF(PA[[#This Row],[String Type(If String BD)]]="",1,0)</f>
        <v>1</v>
      </c>
      <c r="T1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59" s="35" t="str">
        <f>IFERROR(_xlfn.XLOOKUP(PA[[#This Row],[Affected Equipment ]],'Basic Data'!N:N,'Basic Data'!Q:Q),"")</f>
        <v/>
      </c>
      <c r="V159" s="39" t="str">
        <f>IFERROR(_xlfn.XLOOKUP(PA[[#This Row],[Affected Equipment ]],'Basic Data'!N:N,'Basic Data'!R:R),"")</f>
        <v/>
      </c>
      <c r="W159" s="36" t="s">
        <v>281</v>
      </c>
      <c r="X159" s="40"/>
      <c r="Y159" s="40" t="s">
        <v>308</v>
      </c>
      <c r="Z159" s="46">
        <v>0.58402777777777781</v>
      </c>
      <c r="AA159" s="46">
        <v>0.58402777777777781</v>
      </c>
      <c r="AB159" s="46">
        <v>0.58402777777777781</v>
      </c>
      <c r="AC159" s="46">
        <v>0.60277777777777775</v>
      </c>
      <c r="AD159" s="44">
        <f>IF(PA[[#This Row],[Acknowledgement Time ]]="NA","",(PA[[#This Row],[Acknowledgement Time ]]-PA[[#This Row],[Fault Time]])*24)</f>
        <v>0</v>
      </c>
      <c r="AE159" s="44">
        <f>IF(PA[[#This Row],[Work Start time on Fault]]="NA","",(PA[[#This Row],[Work Start time on Fault]]-PA[[#This Row],[Fault Time]])*24)</f>
        <v>0</v>
      </c>
      <c r="AF159" s="45">
        <f>IF(PA[[#This Row],[Status]]="Open","",(PA[[#This Row],[Work Completion time on fault]]-PA[[#This Row],[Fault Time]])*24)</f>
        <v>0.4499999999999984</v>
      </c>
      <c r="AG159" s="44">
        <f>IFERROR((PA[[#This Row],[Work Completion time on fault]]-PA[[#This Row],[Fault Time]])*24,"")</f>
        <v>0.4499999999999984</v>
      </c>
      <c r="AH159" s="36" t="s">
        <v>309</v>
      </c>
      <c r="AI159" s="33" t="s">
        <v>235</v>
      </c>
      <c r="AJ159" s="35" t="str">
        <f>IFERROR(PA[[#This Row],[Breakdown Time]]*PA[[#This Row],[Plant Equivalent Weightage]],"")</f>
        <v/>
      </c>
      <c r="AK159" s="36">
        <v>0.129250742</v>
      </c>
      <c r="AL159" s="51" t="str">
        <f>IFERROR((_xlfn.XLOOKUP($G159,'Modelling New'!D:D,'Modelling New'!$O:$O)*PA[[#This Row],[Lost PoA(kWh/m2)]]*PA[[#This Row],[DC Capacity Affected (kW)]]),"")</f>
        <v/>
      </c>
      <c r="AM159" s="33"/>
      <c r="AN159" s="33"/>
      <c r="AO159" s="33">
        <v>4674</v>
      </c>
      <c r="AP159" s="33"/>
    </row>
    <row r="160" spans="1:42">
      <c r="A160" s="30">
        <v>159</v>
      </c>
      <c r="B160" s="31"/>
      <c r="C160" s="32">
        <f>YEAR(PA[[#This Row],[Date]])+IF(MONTH(PA[[#This Row],[Date]])&gt;=4,1,0)</f>
        <v>1900</v>
      </c>
      <c r="D160" s="32">
        <f>YEAR(PA[[#This Row],[Date]])</f>
        <v>1900</v>
      </c>
      <c r="E160" s="33" t="s">
        <v>157</v>
      </c>
      <c r="F160" s="33" t="s">
        <v>157</v>
      </c>
      <c r="G160" s="194">
        <f>PA[[#This Row],[Date]]-DAY(PA[[#This Row],[Date]])+1</f>
        <v>1</v>
      </c>
      <c r="H160" s="32">
        <f>DAY(EOMONTH(PA[[#This Row],[Month Year]],0))</f>
        <v>31</v>
      </c>
      <c r="I160" s="121"/>
      <c r="J160" s="121"/>
      <c r="K160" s="35">
        <f>IFERROR((PA[[#This Row],[Sunset Time (POA&lt;20 W/m2)]]-PA[[#This Row],[Sunrise Time (POA&gt;20 W/m2)]])*24,"")</f>
        <v>0</v>
      </c>
      <c r="L160" s="33"/>
      <c r="M160" s="33"/>
      <c r="N160" s="33"/>
      <c r="O160" s="36"/>
      <c r="P160" s="36"/>
      <c r="Q160" s="33"/>
      <c r="R160" s="32">
        <f>IF((PA[[#This Row],[String Type(If String BD)]]&amp;PA[[#This Row],[Equipment (If any BD other than PV  array and inv)]])="",1,0)</f>
        <v>1</v>
      </c>
      <c r="S160" s="32">
        <f>IF(PA[[#This Row],[String Type(If String BD)]]="",1,0)</f>
        <v>1</v>
      </c>
      <c r="T1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0" s="35" t="str">
        <f>IFERROR(_xlfn.XLOOKUP(PA[[#This Row],[Affected Equipment ]],'Basic Data'!N:N,'Basic Data'!Q:Q),"")</f>
        <v/>
      </c>
      <c r="V160" s="39" t="str">
        <f>IFERROR(_xlfn.XLOOKUP(PA[[#This Row],[Affected Equipment ]],'Basic Data'!N:N,'Basic Data'!R:R),"")</f>
        <v/>
      </c>
      <c r="W160" s="36" t="s">
        <v>281</v>
      </c>
      <c r="X160" s="40"/>
      <c r="Y160" s="40" t="s">
        <v>308</v>
      </c>
      <c r="Z160" s="46">
        <v>0.58402777777777781</v>
      </c>
      <c r="AA160" s="46">
        <v>0.58402777777777781</v>
      </c>
      <c r="AB160" s="46">
        <v>0.58402777777777781</v>
      </c>
      <c r="AC160" s="46">
        <v>0.60486111111111107</v>
      </c>
      <c r="AD160" s="44">
        <f>IF(PA[[#This Row],[Acknowledgement Time ]]="NA","",(PA[[#This Row],[Acknowledgement Time ]]-PA[[#This Row],[Fault Time]])*24)</f>
        <v>0</v>
      </c>
      <c r="AE160" s="44">
        <f>IF(PA[[#This Row],[Work Start time on Fault]]="NA","",(PA[[#This Row],[Work Start time on Fault]]-PA[[#This Row],[Fault Time]])*24)</f>
        <v>0</v>
      </c>
      <c r="AF160" s="45">
        <f>IF(PA[[#This Row],[Status]]="Open","",(PA[[#This Row],[Work Completion time on fault]]-PA[[#This Row],[Fault Time]])*24)</f>
        <v>0.49999999999999822</v>
      </c>
      <c r="AG160" s="44">
        <f>IFERROR((PA[[#This Row],[Work Completion time on fault]]-PA[[#This Row],[Fault Time]])*24,"")</f>
        <v>0.49999999999999822</v>
      </c>
      <c r="AH160" s="36" t="s">
        <v>309</v>
      </c>
      <c r="AI160" s="33" t="s">
        <v>235</v>
      </c>
      <c r="AJ160" s="35" t="str">
        <f>IFERROR(PA[[#This Row],[Breakdown Time]]*PA[[#This Row],[Plant Equivalent Weightage]],"")</f>
        <v/>
      </c>
      <c r="AK160" s="36">
        <v>0.13480704800000001</v>
      </c>
      <c r="AL160" s="51" t="str">
        <f>IFERROR((_xlfn.XLOOKUP($G160,'Modelling New'!D:D,'Modelling New'!$O:$O)*PA[[#This Row],[Lost PoA(kWh/m2)]]*PA[[#This Row],[DC Capacity Affected (kW)]]),"")</f>
        <v/>
      </c>
      <c r="AM160" s="33"/>
      <c r="AN160" s="33"/>
      <c r="AO160" s="33">
        <v>4674</v>
      </c>
      <c r="AP160" s="33"/>
    </row>
    <row r="161" spans="1:42">
      <c r="A161" s="30">
        <v>160</v>
      </c>
      <c r="B161" s="31"/>
      <c r="C161" s="32">
        <f>YEAR(PA[[#This Row],[Date]])+IF(MONTH(PA[[#This Row],[Date]])&gt;=4,1,0)</f>
        <v>1900</v>
      </c>
      <c r="D161" s="32">
        <f>YEAR(PA[[#This Row],[Date]])</f>
        <v>1900</v>
      </c>
      <c r="E161" s="33" t="s">
        <v>157</v>
      </c>
      <c r="F161" s="33" t="s">
        <v>157</v>
      </c>
      <c r="G161" s="194">
        <f>PA[[#This Row],[Date]]-DAY(PA[[#This Row],[Date]])+1</f>
        <v>1</v>
      </c>
      <c r="H161" s="32">
        <f>DAY(EOMONTH(PA[[#This Row],[Month Year]],0))</f>
        <v>31</v>
      </c>
      <c r="I161" s="121"/>
      <c r="J161" s="121"/>
      <c r="K161" s="35">
        <f>IFERROR((PA[[#This Row],[Sunset Time (POA&lt;20 W/m2)]]-PA[[#This Row],[Sunrise Time (POA&gt;20 W/m2)]])*24,"")</f>
        <v>0</v>
      </c>
      <c r="L161" s="33"/>
      <c r="M161" s="33"/>
      <c r="N161" s="33"/>
      <c r="O161" s="36"/>
      <c r="P161" s="36"/>
      <c r="Q161" s="33"/>
      <c r="R161" s="32">
        <f>IF((PA[[#This Row],[String Type(If String BD)]]&amp;PA[[#This Row],[Equipment (If any BD other than PV  array and inv)]])="",1,0)</f>
        <v>1</v>
      </c>
      <c r="S161" s="32">
        <f>IF(PA[[#This Row],[String Type(If String BD)]]="",1,0)</f>
        <v>1</v>
      </c>
      <c r="T1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1" s="35" t="str">
        <f>IFERROR(_xlfn.XLOOKUP(PA[[#This Row],[Affected Equipment ]],'Basic Data'!N:N,'Basic Data'!Q:Q),"")</f>
        <v/>
      </c>
      <c r="V161" s="39" t="str">
        <f>IFERROR(_xlfn.XLOOKUP(PA[[#This Row],[Affected Equipment ]],'Basic Data'!N:N,'Basic Data'!R:R),"")</f>
        <v/>
      </c>
      <c r="W161" s="36" t="s">
        <v>232</v>
      </c>
      <c r="X161" s="40"/>
      <c r="Y161" s="303" t="s">
        <v>592</v>
      </c>
      <c r="Z161" s="46">
        <v>0.64166666666666672</v>
      </c>
      <c r="AA161" s="46">
        <v>0.64166666666666672</v>
      </c>
      <c r="AB161" s="46">
        <v>0.64166666666666672</v>
      </c>
      <c r="AC161" s="42">
        <v>0.66319444444444442</v>
      </c>
      <c r="AD161" s="44">
        <f>IF(PA[[#This Row],[Acknowledgement Time ]]="NA","",(PA[[#This Row],[Acknowledgement Time ]]-PA[[#This Row],[Fault Time]])*24)</f>
        <v>0</v>
      </c>
      <c r="AE161" s="44">
        <f>IF(PA[[#This Row],[Work Start time on Fault]]="NA","",(PA[[#This Row],[Work Start time on Fault]]-PA[[#This Row],[Fault Time]])*24)</f>
        <v>0</v>
      </c>
      <c r="AF161" s="45">
        <f>IF(PA[[#This Row],[Status]]="Open","",(PA[[#This Row],[Work Completion time on fault]]-PA[[#This Row],[Fault Time]])*24)</f>
        <v>0.51666666666666483</v>
      </c>
      <c r="AG161" s="44">
        <f>IFERROR((PA[[#This Row],[Work Completion time on fault]]-PA[[#This Row],[Fault Time]])*24,"")</f>
        <v>0.51666666666666483</v>
      </c>
      <c r="AH161" s="36" t="s">
        <v>593</v>
      </c>
      <c r="AI161" s="33" t="s">
        <v>235</v>
      </c>
      <c r="AJ161" s="35" t="str">
        <f>IFERROR(PA[[#This Row],[Breakdown Time]]*PA[[#This Row],[Plant Equivalent Weightage]],"")</f>
        <v/>
      </c>
      <c r="AK161" s="36">
        <v>1.8622637000000001E-2</v>
      </c>
      <c r="AL161" s="51" t="str">
        <f>IFERROR((_xlfn.XLOOKUP($G161,'Modelling New'!D:D,'Modelling New'!$O:$O)*PA[[#This Row],[Lost PoA(kWh/m2)]]*PA[[#This Row],[DC Capacity Affected (kW)]]),"")</f>
        <v/>
      </c>
      <c r="AM161" s="33"/>
      <c r="AN161" s="33"/>
      <c r="AO161" s="33">
        <v>4674</v>
      </c>
      <c r="AP161" s="33"/>
    </row>
    <row r="162" spans="1:42">
      <c r="A162" s="30">
        <f t="shared" ref="A162:A212" si="0">A161+1</f>
        <v>161</v>
      </c>
      <c r="B162" s="31"/>
      <c r="C162" s="32">
        <f>YEAR(PA[[#This Row],[Date]])+IF(MONTH(PA[[#This Row],[Date]])&gt;=4,1,0)</f>
        <v>1900</v>
      </c>
      <c r="D162" s="32">
        <f>YEAR(PA[[#This Row],[Date]])</f>
        <v>1900</v>
      </c>
      <c r="E162" s="33" t="s">
        <v>157</v>
      </c>
      <c r="F162" s="33" t="s">
        <v>157</v>
      </c>
      <c r="G162" s="194">
        <f>PA[[#This Row],[Date]]-DAY(PA[[#This Row],[Date]])+1</f>
        <v>1</v>
      </c>
      <c r="H162" s="32">
        <f>DAY(EOMONTH(PA[[#This Row],[Month Year]],0))</f>
        <v>31</v>
      </c>
      <c r="I162" s="121"/>
      <c r="J162" s="121"/>
      <c r="K162" s="35">
        <f>IFERROR((PA[[#This Row],[Sunset Time (POA&lt;20 W/m2)]]-PA[[#This Row],[Sunrise Time (POA&gt;20 W/m2)]])*24,"")</f>
        <v>0</v>
      </c>
      <c r="L162" s="33"/>
      <c r="M162" s="33"/>
      <c r="N162" s="33"/>
      <c r="O162" s="36"/>
      <c r="P162" s="36"/>
      <c r="Q162" s="33"/>
      <c r="R162" s="32">
        <f>IF((PA[[#This Row],[String Type(If String BD)]]&amp;PA[[#This Row],[Equipment (If any BD other than PV  array and inv)]])="",1,0)</f>
        <v>1</v>
      </c>
      <c r="S162" s="32">
        <f>IF(PA[[#This Row],[String Type(If String BD)]]="",1,0)</f>
        <v>1</v>
      </c>
      <c r="T1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2" s="35" t="str">
        <f>IFERROR(_xlfn.XLOOKUP(PA[[#This Row],[Affected Equipment ]],'Basic Data'!N:N,'Basic Data'!Q:Q),"")</f>
        <v/>
      </c>
      <c r="V162" s="39" t="str">
        <f>IFERROR(_xlfn.XLOOKUP(PA[[#This Row],[Affected Equipment ]],'Basic Data'!N:N,'Basic Data'!R:R),"")</f>
        <v/>
      </c>
      <c r="W162" s="36" t="s">
        <v>285</v>
      </c>
      <c r="X162" s="40"/>
      <c r="Y162" s="40" t="s">
        <v>286</v>
      </c>
      <c r="Z162" s="46">
        <v>0.25763888888888886</v>
      </c>
      <c r="AA162" s="46">
        <v>0.25763888888888886</v>
      </c>
      <c r="AB162" s="46">
        <v>0.25763888888888886</v>
      </c>
      <c r="AC162" s="42">
        <v>0.66666666666666663</v>
      </c>
      <c r="AD162" s="44">
        <f>IF(PA[[#This Row],[Acknowledgement Time ]]="NA","",(PA[[#This Row],[Acknowledgement Time ]]-PA[[#This Row],[Fault Time]])*24)</f>
        <v>0</v>
      </c>
      <c r="AE162" s="44">
        <f>IF(PA[[#This Row],[Work Start time on Fault]]="NA","",(PA[[#This Row],[Work Start time on Fault]]-PA[[#This Row],[Fault Time]])*24)</f>
        <v>0</v>
      </c>
      <c r="AF162" s="45">
        <f>IF(PA[[#This Row],[Status]]="Open","",(PA[[#This Row],[Work Completion time on fault]]-PA[[#This Row],[Fault Time]])*24)</f>
        <v>9.8166666666666664</v>
      </c>
      <c r="AG162" s="44">
        <f>IFERROR((PA[[#This Row],[Work Completion time on fault]]-PA[[#This Row],[Fault Time]])*24,"")</f>
        <v>9.8166666666666664</v>
      </c>
      <c r="AH162" s="36" t="s">
        <v>287</v>
      </c>
      <c r="AI162" s="33" t="s">
        <v>235</v>
      </c>
      <c r="AJ162" s="35" t="str">
        <f>IFERROR(PA[[#This Row],[Breakdown Time]]*PA[[#This Row],[Plant Equivalent Weightage]],"")</f>
        <v/>
      </c>
      <c r="AK162" s="36">
        <v>3.644533</v>
      </c>
      <c r="AL162" s="51" t="str">
        <f>IFERROR((_xlfn.XLOOKUP($G162,'Modelling New'!D:D,'Modelling New'!$O:$O)*PA[[#This Row],[Lost PoA(kWh/m2)]]*PA[[#This Row],[DC Capacity Affected (kW)]]),"")</f>
        <v/>
      </c>
      <c r="AM162" s="33"/>
      <c r="AN162" s="33"/>
      <c r="AO162" s="33">
        <v>4703</v>
      </c>
      <c r="AP162" s="33" t="s">
        <v>594</v>
      </c>
    </row>
    <row r="163" spans="1:42">
      <c r="A163" s="30">
        <f t="shared" si="0"/>
        <v>162</v>
      </c>
      <c r="B163" s="31"/>
      <c r="C163" s="32">
        <f>YEAR(PA[[#This Row],[Date]])+IF(MONTH(PA[[#This Row],[Date]])&gt;=4,1,0)</f>
        <v>1900</v>
      </c>
      <c r="D163" s="32">
        <f>YEAR(PA[[#This Row],[Date]])</f>
        <v>1900</v>
      </c>
      <c r="E163" s="33" t="s">
        <v>157</v>
      </c>
      <c r="F163" s="33" t="s">
        <v>157</v>
      </c>
      <c r="G163" s="194">
        <f>PA[[#This Row],[Date]]-DAY(PA[[#This Row],[Date]])+1</f>
        <v>1</v>
      </c>
      <c r="H163" s="32">
        <f>DAY(EOMONTH(PA[[#This Row],[Month Year]],0))</f>
        <v>31</v>
      </c>
      <c r="I163" s="121"/>
      <c r="J163" s="121"/>
      <c r="K163" s="35">
        <f>IFERROR((PA[[#This Row],[Sunset Time (POA&lt;20 W/m2)]]-PA[[#This Row],[Sunrise Time (POA&gt;20 W/m2)]])*24,"")</f>
        <v>0</v>
      </c>
      <c r="L163" s="33"/>
      <c r="M163" s="33"/>
      <c r="N163" s="33"/>
      <c r="O163" s="36"/>
      <c r="P163" s="36"/>
      <c r="Q163" s="33"/>
      <c r="R163" s="32">
        <f>IF((PA[[#This Row],[String Type(If String BD)]]&amp;PA[[#This Row],[Equipment (If any BD other than PV  array and inv)]])="",1,0)</f>
        <v>1</v>
      </c>
      <c r="S163" s="32">
        <f>IF(PA[[#This Row],[String Type(If String BD)]]="",1,0)</f>
        <v>1</v>
      </c>
      <c r="T1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3" s="35" t="str">
        <f>IFERROR(_xlfn.XLOOKUP(PA[[#This Row],[Affected Equipment ]],'Basic Data'!N:N,'Basic Data'!Q:Q),"")</f>
        <v/>
      </c>
      <c r="V163" s="39" t="str">
        <f>IFERROR(_xlfn.XLOOKUP(PA[[#This Row],[Affected Equipment ]],'Basic Data'!N:N,'Basic Data'!R:R),"")</f>
        <v/>
      </c>
      <c r="W163" s="36" t="s">
        <v>281</v>
      </c>
      <c r="X163" s="40"/>
      <c r="Y163" s="40" t="s">
        <v>308</v>
      </c>
      <c r="Z163" s="42">
        <v>0.58333333333333337</v>
      </c>
      <c r="AA163" s="42">
        <v>0.58333333333333337</v>
      </c>
      <c r="AB163" s="42">
        <v>0.58333333333333337</v>
      </c>
      <c r="AC163" s="42">
        <v>0.61111111111111116</v>
      </c>
      <c r="AD163" s="44">
        <f>IF(PA[[#This Row],[Acknowledgement Time ]]="NA","",(PA[[#This Row],[Acknowledgement Time ]]-PA[[#This Row],[Fault Time]])*24)</f>
        <v>0</v>
      </c>
      <c r="AE163" s="44">
        <f>IF(PA[[#This Row],[Work Start time on Fault]]="NA","",(PA[[#This Row],[Work Start time on Fault]]-PA[[#This Row],[Fault Time]])*24)</f>
        <v>0</v>
      </c>
      <c r="AF163" s="45">
        <f>IF(PA[[#This Row],[Status]]="Open","",(PA[[#This Row],[Work Completion time on fault]]-PA[[#This Row],[Fault Time]])*24)</f>
        <v>0.66666666666666696</v>
      </c>
      <c r="AG163" s="44">
        <f>IFERROR((PA[[#This Row],[Work Completion time on fault]]-PA[[#This Row],[Fault Time]])*24,"")</f>
        <v>0.66666666666666696</v>
      </c>
      <c r="AH163" s="36" t="s">
        <v>309</v>
      </c>
      <c r="AI163" s="33" t="s">
        <v>235</v>
      </c>
      <c r="AJ163" s="35" t="str">
        <f>IFERROR(PA[[#This Row],[Breakdown Time]]*PA[[#This Row],[Plant Equivalent Weightage]],"")</f>
        <v/>
      </c>
      <c r="AK163" s="36">
        <v>0.25965670000000002</v>
      </c>
      <c r="AL163" s="51" t="str">
        <f>IFERROR((_xlfn.XLOOKUP($G163,'Modelling New'!D:D,'Modelling New'!$O:$O)*PA[[#This Row],[Lost PoA(kWh/m2)]]*PA[[#This Row],[DC Capacity Affected (kW)]]),"")</f>
        <v/>
      </c>
      <c r="AM163" s="33"/>
      <c r="AN163" s="33"/>
      <c r="AO163" s="33">
        <v>4774</v>
      </c>
      <c r="AP163" s="33" t="s">
        <v>595</v>
      </c>
    </row>
    <row r="164" spans="1:42">
      <c r="A164" s="30">
        <f t="shared" si="0"/>
        <v>163</v>
      </c>
      <c r="B164" s="31"/>
      <c r="C164" s="32">
        <f>YEAR(PA[[#This Row],[Date]])+IF(MONTH(PA[[#This Row],[Date]])&gt;=4,1,0)</f>
        <v>1900</v>
      </c>
      <c r="D164" s="32">
        <f>YEAR(PA[[#This Row],[Date]])</f>
        <v>1900</v>
      </c>
      <c r="E164" s="33" t="s">
        <v>157</v>
      </c>
      <c r="F164" s="33" t="s">
        <v>157</v>
      </c>
      <c r="G164" s="194">
        <f>PA[[#This Row],[Date]]-DAY(PA[[#This Row],[Date]])+1</f>
        <v>1</v>
      </c>
      <c r="H164" s="32">
        <f>DAY(EOMONTH(PA[[#This Row],[Month Year]],0))</f>
        <v>31</v>
      </c>
      <c r="I164" s="121"/>
      <c r="J164" s="121"/>
      <c r="K164" s="35">
        <f>IFERROR((PA[[#This Row],[Sunset Time (POA&lt;20 W/m2)]]-PA[[#This Row],[Sunrise Time (POA&gt;20 W/m2)]])*24,"")</f>
        <v>0</v>
      </c>
      <c r="L164" s="33"/>
      <c r="M164" s="33"/>
      <c r="N164" s="33"/>
      <c r="O164" s="36"/>
      <c r="P164" s="36"/>
      <c r="Q164" s="33"/>
      <c r="R164" s="32">
        <f>IF((PA[[#This Row],[String Type(If String BD)]]&amp;PA[[#This Row],[Equipment (If any BD other than PV  array and inv)]])="",1,0)</f>
        <v>1</v>
      </c>
      <c r="S164" s="32">
        <f>IF(PA[[#This Row],[String Type(If String BD)]]="",1,0)</f>
        <v>1</v>
      </c>
      <c r="T1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4" s="35" t="str">
        <f>IFERROR(_xlfn.XLOOKUP(PA[[#This Row],[Affected Equipment ]],'Basic Data'!N:N,'Basic Data'!Q:Q),"")</f>
        <v/>
      </c>
      <c r="V164" s="39" t="str">
        <f>IFERROR(_xlfn.XLOOKUP(PA[[#This Row],[Affected Equipment ]],'Basic Data'!N:N,'Basic Data'!R:R),"")</f>
        <v/>
      </c>
      <c r="W164" s="36" t="s">
        <v>281</v>
      </c>
      <c r="X164" s="40"/>
      <c r="Y164" s="40" t="s">
        <v>308</v>
      </c>
      <c r="Z164" s="42">
        <v>0.58333333333333337</v>
      </c>
      <c r="AA164" s="42">
        <v>0.58333333333333337</v>
      </c>
      <c r="AB164" s="42">
        <v>0.58333333333333337</v>
      </c>
      <c r="AC164" s="42">
        <v>0.61111111111111116</v>
      </c>
      <c r="AD164" s="44">
        <f>IF(PA[[#This Row],[Acknowledgement Time ]]="NA","",(PA[[#This Row],[Acknowledgement Time ]]-PA[[#This Row],[Fault Time]])*24)</f>
        <v>0</v>
      </c>
      <c r="AE164" s="44">
        <f>IF(PA[[#This Row],[Work Start time on Fault]]="NA","",(PA[[#This Row],[Work Start time on Fault]]-PA[[#This Row],[Fault Time]])*24)</f>
        <v>0</v>
      </c>
      <c r="AF164" s="45">
        <f>IF(PA[[#This Row],[Status]]="Open","",(PA[[#This Row],[Work Completion time on fault]]-PA[[#This Row],[Fault Time]])*24)</f>
        <v>0.66666666666666696</v>
      </c>
      <c r="AG164" s="44">
        <f>IFERROR((PA[[#This Row],[Work Completion time on fault]]-PA[[#This Row],[Fault Time]])*24,"")</f>
        <v>0.66666666666666696</v>
      </c>
      <c r="AH164" s="36" t="s">
        <v>309</v>
      </c>
      <c r="AI164" s="33" t="s">
        <v>235</v>
      </c>
      <c r="AJ164" s="35" t="str">
        <f>IFERROR(PA[[#This Row],[Breakdown Time]]*PA[[#This Row],[Plant Equivalent Weightage]],"")</f>
        <v/>
      </c>
      <c r="AK164" s="36">
        <v>0.25965670000000002</v>
      </c>
      <c r="AL164" s="51" t="str">
        <f>IFERROR((_xlfn.XLOOKUP($G164,'Modelling New'!D:D,'Modelling New'!$O:$O)*PA[[#This Row],[Lost PoA(kWh/m2)]]*PA[[#This Row],[DC Capacity Affected (kW)]]),"")</f>
        <v/>
      </c>
      <c r="AM164" s="33"/>
      <c r="AN164" s="33"/>
      <c r="AO164" s="33">
        <v>4774</v>
      </c>
      <c r="AP164" s="33" t="s">
        <v>596</v>
      </c>
    </row>
    <row r="165" spans="1:42">
      <c r="A165" s="30">
        <f t="shared" si="0"/>
        <v>164</v>
      </c>
      <c r="B165" s="31"/>
      <c r="C165" s="32">
        <f>YEAR(PA[[#This Row],[Date]])+IF(MONTH(PA[[#This Row],[Date]])&gt;=4,1,0)</f>
        <v>1900</v>
      </c>
      <c r="D165" s="32">
        <f>YEAR(PA[[#This Row],[Date]])</f>
        <v>1900</v>
      </c>
      <c r="E165" s="33" t="s">
        <v>157</v>
      </c>
      <c r="F165" s="33" t="s">
        <v>157</v>
      </c>
      <c r="G165" s="194">
        <f>PA[[#This Row],[Date]]-DAY(PA[[#This Row],[Date]])+1</f>
        <v>1</v>
      </c>
      <c r="H165" s="202">
        <f>DAY(EOMONTH(PA[[#This Row],[Month Year]],0))</f>
        <v>31</v>
      </c>
      <c r="I165" s="121"/>
      <c r="J165" s="121"/>
      <c r="K165" s="35">
        <f>IFERROR((PA[[#This Row],[Sunset Time (POA&lt;20 W/m2)]]-PA[[#This Row],[Sunrise Time (POA&gt;20 W/m2)]])*24,"")</f>
        <v>0</v>
      </c>
      <c r="L165" s="33"/>
      <c r="M165" s="33"/>
      <c r="N165" s="37"/>
      <c r="O165" s="38"/>
      <c r="P165" s="38"/>
      <c r="Q165" s="33"/>
      <c r="R165" s="202">
        <f>IF((PA[[#This Row],[String Type(If String BD)]]&amp;PA[[#This Row],[Equipment (If any BD other than PV  array and inv)]])="",1,0)</f>
        <v>1</v>
      </c>
      <c r="S165" s="202">
        <f>IF(PA[[#This Row],[String Type(If String BD)]]="",1,0)</f>
        <v>1</v>
      </c>
      <c r="T1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5" s="204" t="str">
        <f>IFERROR(_xlfn.XLOOKUP(PA[[#This Row],[Affected Equipment ]],'Basic Data'!N:N,'Basic Data'!Q:Q),"")</f>
        <v/>
      </c>
      <c r="V165" s="208" t="str">
        <f>IFERROR(_xlfn.XLOOKUP(PA[[#This Row],[Affected Equipment ]],'Basic Data'!N:N,'Basic Data'!R:R),"")</f>
        <v/>
      </c>
      <c r="W165" s="36" t="s">
        <v>281</v>
      </c>
      <c r="X165" s="41"/>
      <c r="Y165" s="40" t="s">
        <v>308</v>
      </c>
      <c r="Z165" s="42">
        <v>0.58333333333333337</v>
      </c>
      <c r="AA165" s="42">
        <v>0.58333333333333337</v>
      </c>
      <c r="AB165" s="42">
        <v>0.58333333333333337</v>
      </c>
      <c r="AC165" s="42">
        <v>0.60555555555555551</v>
      </c>
      <c r="AD165" s="205">
        <f>IF(PA[[#This Row],[Acknowledgement Time ]]="NA","",(PA[[#This Row],[Acknowledgement Time ]]-PA[[#This Row],[Fault Time]])*24)</f>
        <v>0</v>
      </c>
      <c r="AE165" s="205">
        <f>IF(PA[[#This Row],[Work Start time on Fault]]="NA","",(PA[[#This Row],[Work Start time on Fault]]-PA[[#This Row],[Fault Time]])*24)</f>
        <v>0</v>
      </c>
      <c r="AF165" s="206">
        <f>IF(PA[[#This Row],[Status]]="Open","",(PA[[#This Row],[Work Completion time on fault]]-PA[[#This Row],[Fault Time]])*24)</f>
        <v>0.53333333333333144</v>
      </c>
      <c r="AG165" s="205">
        <f>IFERROR((PA[[#This Row],[Work Completion time on fault]]-PA[[#This Row],[Fault Time]])*24,"")</f>
        <v>0.53333333333333144</v>
      </c>
      <c r="AH165" s="36" t="s">
        <v>309</v>
      </c>
      <c r="AI165" s="33" t="s">
        <v>235</v>
      </c>
      <c r="AJ165" s="204" t="str">
        <f>IFERROR(PA[[#This Row],[Breakdown Time]]*PA[[#This Row],[Plant Equivalent Weightage]],"")</f>
        <v/>
      </c>
      <c r="AK165" s="38">
        <v>0.245667</v>
      </c>
      <c r="AL165" s="51" t="str">
        <f>IFERROR((_xlfn.XLOOKUP($G165,'Modelling New'!D:D,'Modelling New'!$O:$O)*PA[[#This Row],[Lost PoA(kWh/m2)]]*PA[[#This Row],[DC Capacity Affected (kW)]]),"")</f>
        <v/>
      </c>
      <c r="AM165" s="33"/>
      <c r="AN165" s="33"/>
      <c r="AO165" s="33">
        <v>4774</v>
      </c>
      <c r="AP165" s="33" t="s">
        <v>597</v>
      </c>
    </row>
    <row r="166" spans="1:42">
      <c r="A166" s="30">
        <f t="shared" si="0"/>
        <v>165</v>
      </c>
      <c r="B166" s="31"/>
      <c r="C166" s="32">
        <f>YEAR(PA[[#This Row],[Date]])+IF(MONTH(PA[[#This Row],[Date]])&gt;=4,1,0)</f>
        <v>1900</v>
      </c>
      <c r="D166" s="32">
        <f>YEAR(PA[[#This Row],[Date]])</f>
        <v>1900</v>
      </c>
      <c r="E166" s="33" t="s">
        <v>157</v>
      </c>
      <c r="F166" s="33" t="s">
        <v>157</v>
      </c>
      <c r="G166" s="194">
        <f>PA[[#This Row],[Date]]-DAY(PA[[#This Row],[Date]])+1</f>
        <v>1</v>
      </c>
      <c r="H166" s="202">
        <f>DAY(EOMONTH(PA[[#This Row],[Month Year]],0))</f>
        <v>31</v>
      </c>
      <c r="I166" s="121"/>
      <c r="J166" s="121"/>
      <c r="K166" s="35">
        <f>IFERROR((PA[[#This Row],[Sunset Time (POA&lt;20 W/m2)]]-PA[[#This Row],[Sunrise Time (POA&gt;20 W/m2)]])*24,"")</f>
        <v>0</v>
      </c>
      <c r="L166" s="33"/>
      <c r="M166" s="33"/>
      <c r="N166" s="37"/>
      <c r="O166" s="38"/>
      <c r="P166" s="38"/>
      <c r="Q166" s="33"/>
      <c r="R166" s="202">
        <f>IF((PA[[#This Row],[String Type(If String BD)]]&amp;PA[[#This Row],[Equipment (If any BD other than PV  array and inv)]])="",1,0)</f>
        <v>1</v>
      </c>
      <c r="S166" s="202">
        <f>IF(PA[[#This Row],[String Type(If String BD)]]="",1,0)</f>
        <v>1</v>
      </c>
      <c r="T1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6" s="204" t="str">
        <f>IFERROR(_xlfn.XLOOKUP(PA[[#This Row],[Affected Equipment ]],'Basic Data'!N:N,'Basic Data'!Q:Q),"")</f>
        <v/>
      </c>
      <c r="V166" s="208" t="str">
        <f>IFERROR(_xlfn.XLOOKUP(PA[[#This Row],[Affected Equipment ]],'Basic Data'!N:N,'Basic Data'!R:R),"")</f>
        <v/>
      </c>
      <c r="W166" s="36" t="s">
        <v>281</v>
      </c>
      <c r="X166" s="41"/>
      <c r="Y166" s="40" t="s">
        <v>308</v>
      </c>
      <c r="Z166" s="42">
        <v>0.58333333333333337</v>
      </c>
      <c r="AA166" s="42">
        <v>0.58333333333333337</v>
      </c>
      <c r="AB166" s="42">
        <v>0.58333333333333337</v>
      </c>
      <c r="AC166" s="42">
        <v>0.63958333333333328</v>
      </c>
      <c r="AD166" s="205">
        <f>IF(PA[[#This Row],[Acknowledgement Time ]]="NA","",(PA[[#This Row],[Acknowledgement Time ]]-PA[[#This Row],[Fault Time]])*24)</f>
        <v>0</v>
      </c>
      <c r="AE166" s="205">
        <f>IF(PA[[#This Row],[Work Start time on Fault]]="NA","",(PA[[#This Row],[Work Start time on Fault]]-PA[[#This Row],[Fault Time]])*24)</f>
        <v>0</v>
      </c>
      <c r="AF166" s="206">
        <f>IF(PA[[#This Row],[Status]]="Open","",(PA[[#This Row],[Work Completion time on fault]]-PA[[#This Row],[Fault Time]])*24)</f>
        <v>1.3499999999999979</v>
      </c>
      <c r="AG166" s="205">
        <f>IFERROR((PA[[#This Row],[Work Completion time on fault]]-PA[[#This Row],[Fault Time]])*24,"")</f>
        <v>1.3499999999999979</v>
      </c>
      <c r="AH166" s="36" t="s">
        <v>309</v>
      </c>
      <c r="AI166" s="33" t="s">
        <v>235</v>
      </c>
      <c r="AJ166" s="204" t="str">
        <f>IFERROR(PA[[#This Row],[Breakdown Time]]*PA[[#This Row],[Plant Equivalent Weightage]],"")</f>
        <v/>
      </c>
      <c r="AK166" s="38">
        <v>0.245172</v>
      </c>
      <c r="AL166" s="51" t="str">
        <f>IFERROR((_xlfn.XLOOKUP($G166,'Modelling New'!D:D,'Modelling New'!$O:$O)*PA[[#This Row],[Lost PoA(kWh/m2)]]*PA[[#This Row],[DC Capacity Affected (kW)]]),"")</f>
        <v/>
      </c>
      <c r="AM166" s="33"/>
      <c r="AN166" s="33"/>
      <c r="AO166" s="33">
        <v>4774</v>
      </c>
      <c r="AP166" s="33" t="s">
        <v>598</v>
      </c>
    </row>
    <row r="167" spans="1:42">
      <c r="A167" s="30">
        <f t="shared" si="0"/>
        <v>166</v>
      </c>
      <c r="B167" s="31"/>
      <c r="C167" s="32">
        <f>YEAR(PA[[#This Row],[Date]])+IF(MONTH(PA[[#This Row],[Date]])&gt;=4,1,0)</f>
        <v>1900</v>
      </c>
      <c r="D167" s="32">
        <f>YEAR(PA[[#This Row],[Date]])</f>
        <v>1900</v>
      </c>
      <c r="E167" s="33" t="s">
        <v>157</v>
      </c>
      <c r="F167" s="33" t="s">
        <v>157</v>
      </c>
      <c r="G167" s="194">
        <f>PA[[#This Row],[Date]]-DAY(PA[[#This Row],[Date]])+1</f>
        <v>1</v>
      </c>
      <c r="H167" s="32">
        <f>DAY(EOMONTH(PA[[#This Row],[Month Year]],0))</f>
        <v>31</v>
      </c>
      <c r="I167" s="121"/>
      <c r="J167" s="121"/>
      <c r="K167" s="35">
        <f>IFERROR((PA[[#This Row],[Sunset Time (POA&lt;20 W/m2)]]-PA[[#This Row],[Sunrise Time (POA&gt;20 W/m2)]])*24,"")</f>
        <v>0</v>
      </c>
      <c r="L167" s="33"/>
      <c r="M167" s="33"/>
      <c r="N167" s="33"/>
      <c r="O167" s="36"/>
      <c r="P167" s="36"/>
      <c r="Q167" s="33"/>
      <c r="R167" s="32">
        <f>IF((PA[[#This Row],[String Type(If String BD)]]&amp;PA[[#This Row],[Equipment (If any BD other than PV  array and inv)]])="",1,0)</f>
        <v>1</v>
      </c>
      <c r="S167" s="32">
        <f>IF(PA[[#This Row],[String Type(If String BD)]]="",1,0)</f>
        <v>1</v>
      </c>
      <c r="T1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7" s="35" t="str">
        <f>IFERROR(_xlfn.XLOOKUP(PA[[#This Row],[Affected Equipment ]],'Basic Data'!N:N,'Basic Data'!Q:Q),"")</f>
        <v/>
      </c>
      <c r="V167" s="207" t="str">
        <f>IFERROR(_xlfn.XLOOKUP(PA[[#This Row],[Affected Equipment ]],'Basic Data'!N:N,'Basic Data'!R:R),"")</f>
        <v/>
      </c>
      <c r="W167" s="36" t="s">
        <v>281</v>
      </c>
      <c r="X167" s="40"/>
      <c r="Y167" s="40" t="s">
        <v>308</v>
      </c>
      <c r="Z167" s="42">
        <v>0.58333333333333337</v>
      </c>
      <c r="AA167" s="42">
        <v>0.58333333333333337</v>
      </c>
      <c r="AB167" s="42">
        <v>0.58333333333333337</v>
      </c>
      <c r="AC167" s="46">
        <v>0.63402777777777775</v>
      </c>
      <c r="AD167" s="44">
        <f>IF(PA[[#This Row],[Acknowledgement Time ]]="NA","",(PA[[#This Row],[Acknowledgement Time ]]-PA[[#This Row],[Fault Time]])*24)</f>
        <v>0</v>
      </c>
      <c r="AE167" s="44">
        <f>IF(PA[[#This Row],[Work Start time on Fault]]="NA","",(PA[[#This Row],[Work Start time on Fault]]-PA[[#This Row],[Fault Time]])*24)</f>
        <v>0</v>
      </c>
      <c r="AF167" s="45">
        <f>IF(PA[[#This Row],[Status]]="Open","",(PA[[#This Row],[Work Completion time on fault]]-PA[[#This Row],[Fault Time]])*24)</f>
        <v>1.216666666666665</v>
      </c>
      <c r="AG167" s="44">
        <f>IFERROR((PA[[#This Row],[Work Completion time on fault]]-PA[[#This Row],[Fault Time]])*24,"")</f>
        <v>1.216666666666665</v>
      </c>
      <c r="AH167" s="36" t="s">
        <v>309</v>
      </c>
      <c r="AI167" s="33" t="s">
        <v>235</v>
      </c>
      <c r="AJ167" s="35" t="str">
        <f>IFERROR(PA[[#This Row],[Breakdown Time]]*PA[[#This Row],[Plant Equivalent Weightage]],"")</f>
        <v/>
      </c>
      <c r="AK167" s="36">
        <v>0.304867</v>
      </c>
      <c r="AL167" s="51" t="str">
        <f>IFERROR((_xlfn.XLOOKUP($G167,'Modelling New'!D:D,'Modelling New'!$O:$O)*PA[[#This Row],[Lost PoA(kWh/m2)]]*PA[[#This Row],[DC Capacity Affected (kW)]]),"")</f>
        <v/>
      </c>
      <c r="AM167" s="33"/>
      <c r="AN167" s="33"/>
      <c r="AO167" s="33">
        <v>4774</v>
      </c>
      <c r="AP167" s="33" t="s">
        <v>599</v>
      </c>
    </row>
    <row r="168" spans="1:42">
      <c r="A168" s="30">
        <f t="shared" si="0"/>
        <v>167</v>
      </c>
      <c r="B168" s="31"/>
      <c r="C168" s="32">
        <f>YEAR(PA[[#This Row],[Date]])+IF(MONTH(PA[[#This Row],[Date]])&gt;=4,1,0)</f>
        <v>1900</v>
      </c>
      <c r="D168" s="32">
        <f>YEAR(PA[[#This Row],[Date]])</f>
        <v>1900</v>
      </c>
      <c r="E168" s="33" t="s">
        <v>157</v>
      </c>
      <c r="F168" s="33" t="s">
        <v>157</v>
      </c>
      <c r="G168" s="194">
        <f>PA[[#This Row],[Date]]-DAY(PA[[#This Row],[Date]])+1</f>
        <v>1</v>
      </c>
      <c r="H168" s="32">
        <f>DAY(EOMONTH(PA[[#This Row],[Month Year]],0))</f>
        <v>31</v>
      </c>
      <c r="I168" s="121"/>
      <c r="J168" s="121"/>
      <c r="K168" s="35">
        <f>IFERROR((PA[[#This Row],[Sunset Time (POA&lt;20 W/m2)]]-PA[[#This Row],[Sunrise Time (POA&gt;20 W/m2)]])*24,"")</f>
        <v>0</v>
      </c>
      <c r="L168" s="33"/>
      <c r="M168" s="33"/>
      <c r="N168" s="33"/>
      <c r="O168" s="36"/>
      <c r="P168" s="36"/>
      <c r="Q168" s="33"/>
      <c r="R168" s="32">
        <f>IF((PA[[#This Row],[String Type(If String BD)]]&amp;PA[[#This Row],[Equipment (If any BD other than PV  array and inv)]])="",1,0)</f>
        <v>1</v>
      </c>
      <c r="S168" s="32">
        <f>IF(PA[[#This Row],[String Type(If String BD)]]="",1,0)</f>
        <v>1</v>
      </c>
      <c r="T1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8" s="35" t="str">
        <f>IFERROR(_xlfn.XLOOKUP(PA[[#This Row],[Affected Equipment ]],'Basic Data'!N:N,'Basic Data'!Q:Q),"")</f>
        <v/>
      </c>
      <c r="V168" s="207" t="str">
        <f>IFERROR(_xlfn.XLOOKUP(PA[[#This Row],[Affected Equipment ]],'Basic Data'!N:N,'Basic Data'!R:R),"")</f>
        <v/>
      </c>
      <c r="W168" s="36" t="s">
        <v>281</v>
      </c>
      <c r="X168" s="40"/>
      <c r="Y168" s="40" t="s">
        <v>308</v>
      </c>
      <c r="Z168" s="42">
        <v>0.58333333333333337</v>
      </c>
      <c r="AA168" s="42">
        <v>0.58333333333333337</v>
      </c>
      <c r="AB168" s="42">
        <v>0.58333333333333337</v>
      </c>
      <c r="AC168" s="46">
        <v>0.60972222222222228</v>
      </c>
      <c r="AD168" s="44">
        <f>IF(PA[[#This Row],[Acknowledgement Time ]]="NA","",(PA[[#This Row],[Acknowledgement Time ]]-PA[[#This Row],[Fault Time]])*24)</f>
        <v>0</v>
      </c>
      <c r="AE168" s="44">
        <f>IF(PA[[#This Row],[Work Start time on Fault]]="NA","",(PA[[#This Row],[Work Start time on Fault]]-PA[[#This Row],[Fault Time]])*24)</f>
        <v>0</v>
      </c>
      <c r="AF168" s="45">
        <f>IF(PA[[#This Row],[Status]]="Open","",(PA[[#This Row],[Work Completion time on fault]]-PA[[#This Row],[Fault Time]])*24)</f>
        <v>0.63333333333333375</v>
      </c>
      <c r="AG168" s="44">
        <f>IFERROR((PA[[#This Row],[Work Completion time on fault]]-PA[[#This Row],[Fault Time]])*24,"")</f>
        <v>0.63333333333333375</v>
      </c>
      <c r="AH168" s="36" t="s">
        <v>309</v>
      </c>
      <c r="AI168" s="33" t="s">
        <v>235</v>
      </c>
      <c r="AJ168" s="35" t="str">
        <f>IFERROR(PA[[#This Row],[Breakdown Time]]*PA[[#This Row],[Plant Equivalent Weightage]],"")</f>
        <v/>
      </c>
      <c r="AK168" s="36">
        <v>0.32970699999999997</v>
      </c>
      <c r="AL168" s="51" t="str">
        <f>IFERROR((_xlfn.XLOOKUP($G168,'Modelling New'!D:D,'Modelling New'!$O:$O)*PA[[#This Row],[Lost PoA(kWh/m2)]]*PA[[#This Row],[DC Capacity Affected (kW)]]),"")</f>
        <v/>
      </c>
      <c r="AM168" s="33"/>
      <c r="AN168" s="33"/>
      <c r="AO168" s="33">
        <v>4774</v>
      </c>
      <c r="AP168" s="33" t="s">
        <v>600</v>
      </c>
    </row>
    <row r="169" spans="1:42">
      <c r="A169" s="30">
        <f t="shared" si="0"/>
        <v>168</v>
      </c>
      <c r="B169" s="31"/>
      <c r="C169" s="32">
        <f>YEAR(PA[[#This Row],[Date]])+IF(MONTH(PA[[#This Row],[Date]])&gt;=4,1,0)</f>
        <v>1900</v>
      </c>
      <c r="D169" s="32">
        <f>YEAR(PA[[#This Row],[Date]])</f>
        <v>1900</v>
      </c>
      <c r="E169" s="33" t="s">
        <v>157</v>
      </c>
      <c r="F169" s="33" t="s">
        <v>157</v>
      </c>
      <c r="G169" s="194">
        <f>PA[[#This Row],[Date]]-DAY(PA[[#This Row],[Date]])+1</f>
        <v>1</v>
      </c>
      <c r="H169" s="32">
        <f>DAY(EOMONTH(PA[[#This Row],[Month Year]],0))</f>
        <v>31</v>
      </c>
      <c r="I169" s="121"/>
      <c r="J169" s="121"/>
      <c r="K169" s="35">
        <f>IFERROR((PA[[#This Row],[Sunset Time (POA&lt;20 W/m2)]]-PA[[#This Row],[Sunrise Time (POA&gt;20 W/m2)]])*24,"")</f>
        <v>0</v>
      </c>
      <c r="L169" s="33"/>
      <c r="M169" s="33"/>
      <c r="N169" s="33"/>
      <c r="O169" s="36"/>
      <c r="P169" s="36"/>
      <c r="Q169" s="33"/>
      <c r="R169" s="32">
        <f>IF((PA[[#This Row],[String Type(If String BD)]]&amp;PA[[#This Row],[Equipment (If any BD other than PV  array and inv)]])="",1,0)</f>
        <v>1</v>
      </c>
      <c r="S169" s="32">
        <f>IF(PA[[#This Row],[String Type(If String BD)]]="",1,0)</f>
        <v>1</v>
      </c>
      <c r="T1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69" s="35" t="str">
        <f>IFERROR(_xlfn.XLOOKUP(PA[[#This Row],[Affected Equipment ]],'Basic Data'!N:N,'Basic Data'!Q:Q),"")</f>
        <v/>
      </c>
      <c r="V169" s="207" t="str">
        <f>IFERROR(_xlfn.XLOOKUP(PA[[#This Row],[Affected Equipment ]],'Basic Data'!N:N,'Basic Data'!R:R),"")</f>
        <v/>
      </c>
      <c r="W169" s="36" t="s">
        <v>281</v>
      </c>
      <c r="X169" s="40"/>
      <c r="Y169" s="40" t="s">
        <v>308</v>
      </c>
      <c r="Z169" s="42">
        <v>0.58333333333333337</v>
      </c>
      <c r="AA169" s="42">
        <v>0.58333333333333337</v>
      </c>
      <c r="AB169" s="42">
        <v>0.58333333333333337</v>
      </c>
      <c r="AC169" s="46">
        <v>0.62708333333333333</v>
      </c>
      <c r="AD169" s="44">
        <f>IF(PA[[#This Row],[Acknowledgement Time ]]="NA","",(PA[[#This Row],[Acknowledgement Time ]]-PA[[#This Row],[Fault Time]])*24)</f>
        <v>0</v>
      </c>
      <c r="AE169" s="44">
        <f>IF(PA[[#This Row],[Work Start time on Fault]]="NA","",(PA[[#This Row],[Work Start time on Fault]]-PA[[#This Row],[Fault Time]])*24)</f>
        <v>0</v>
      </c>
      <c r="AF169" s="45">
        <f>IF(PA[[#This Row],[Status]]="Open","",(PA[[#This Row],[Work Completion time on fault]]-PA[[#This Row],[Fault Time]])*24)</f>
        <v>1.0499999999999989</v>
      </c>
      <c r="AG169" s="44">
        <f>IFERROR((PA[[#This Row],[Work Completion time on fault]]-PA[[#This Row],[Fault Time]])*24,"")</f>
        <v>1.0499999999999989</v>
      </c>
      <c r="AH169" s="36" t="s">
        <v>309</v>
      </c>
      <c r="AI169" s="33" t="s">
        <v>235</v>
      </c>
      <c r="AJ169" s="35" t="str">
        <f>IFERROR(PA[[#This Row],[Breakdown Time]]*PA[[#This Row],[Plant Equivalent Weightage]],"")</f>
        <v/>
      </c>
      <c r="AK169" s="36">
        <v>0.32569900000000002</v>
      </c>
      <c r="AL169" s="51" t="str">
        <f>IFERROR((_xlfn.XLOOKUP($G169,'Modelling New'!D:D,'Modelling New'!$O:$O)*PA[[#This Row],[Lost PoA(kWh/m2)]]*PA[[#This Row],[DC Capacity Affected (kW)]]),"")</f>
        <v/>
      </c>
      <c r="AM169" s="33"/>
      <c r="AN169" s="33"/>
      <c r="AO169" s="33">
        <v>4774</v>
      </c>
      <c r="AP169" s="33" t="s">
        <v>601</v>
      </c>
    </row>
    <row r="170" spans="1:42">
      <c r="A170" s="30">
        <f t="shared" si="0"/>
        <v>169</v>
      </c>
      <c r="B170" s="31"/>
      <c r="C170" s="32">
        <f>YEAR(PA[[#This Row],[Date]])+IF(MONTH(PA[[#This Row],[Date]])&gt;=4,1,0)</f>
        <v>1900</v>
      </c>
      <c r="D170" s="32">
        <f>YEAR(PA[[#This Row],[Date]])</f>
        <v>1900</v>
      </c>
      <c r="E170" s="33" t="s">
        <v>157</v>
      </c>
      <c r="F170" s="33" t="s">
        <v>157</v>
      </c>
      <c r="G170" s="194">
        <f>PA[[#This Row],[Date]]-DAY(PA[[#This Row],[Date]])+1</f>
        <v>1</v>
      </c>
      <c r="H170" s="32">
        <f>DAY(EOMONTH(PA[[#This Row],[Month Year]],0))</f>
        <v>31</v>
      </c>
      <c r="I170" s="121"/>
      <c r="J170" s="121"/>
      <c r="K170" s="35">
        <f>IFERROR((PA[[#This Row],[Sunset Time (POA&lt;20 W/m2)]]-PA[[#This Row],[Sunrise Time (POA&gt;20 W/m2)]])*24,"")</f>
        <v>0</v>
      </c>
      <c r="L170" s="33"/>
      <c r="M170" s="33"/>
      <c r="N170" s="33"/>
      <c r="O170" s="36"/>
      <c r="P170" s="36"/>
      <c r="Q170" s="33"/>
      <c r="R170" s="32">
        <f>IF((PA[[#This Row],[String Type(If String BD)]]&amp;PA[[#This Row],[Equipment (If any BD other than PV  array and inv)]])="",1,0)</f>
        <v>1</v>
      </c>
      <c r="S170" s="32">
        <f>IF(PA[[#This Row],[String Type(If String BD)]]="",1,0)</f>
        <v>1</v>
      </c>
      <c r="T1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0" s="35" t="str">
        <f>IFERROR(_xlfn.XLOOKUP(PA[[#This Row],[Affected Equipment ]],'Basic Data'!N:N,'Basic Data'!Q:Q),"")</f>
        <v/>
      </c>
      <c r="V170" s="207" t="str">
        <f>IFERROR(_xlfn.XLOOKUP(PA[[#This Row],[Affected Equipment ]],'Basic Data'!N:N,'Basic Data'!R:R),"")</f>
        <v/>
      </c>
      <c r="W170" s="36" t="s">
        <v>285</v>
      </c>
      <c r="X170" s="40"/>
      <c r="Y170" s="40" t="s">
        <v>294</v>
      </c>
      <c r="Z170" s="46">
        <v>0.26805555555555555</v>
      </c>
      <c r="AA170" s="46">
        <v>0.26805555555555555</v>
      </c>
      <c r="AB170" s="46">
        <v>0.26805555555555555</v>
      </c>
      <c r="AC170" s="46">
        <v>0.67361111111111116</v>
      </c>
      <c r="AD170" s="44">
        <f>IF(PA[[#This Row],[Acknowledgement Time ]]="NA","",(PA[[#This Row],[Acknowledgement Time ]]-PA[[#This Row],[Fault Time]])*24)</f>
        <v>0</v>
      </c>
      <c r="AE170" s="44">
        <f>IF(PA[[#This Row],[Work Start time on Fault]]="NA","",(PA[[#This Row],[Work Start time on Fault]]-PA[[#This Row],[Fault Time]])*24)</f>
        <v>0</v>
      </c>
      <c r="AF170" s="45">
        <f>IF(PA[[#This Row],[Status]]="Open","",(PA[[#This Row],[Work Completion time on fault]]-PA[[#This Row],[Fault Time]])*24)</f>
        <v>9.7333333333333343</v>
      </c>
      <c r="AG170" s="44">
        <f>IFERROR((PA[[#This Row],[Work Completion time on fault]]-PA[[#This Row],[Fault Time]])*24,"")</f>
        <v>9.7333333333333343</v>
      </c>
      <c r="AH170" s="282" t="s">
        <v>295</v>
      </c>
      <c r="AI170" s="33" t="s">
        <v>235</v>
      </c>
      <c r="AJ170" s="35" t="str">
        <f>IFERROR(PA[[#This Row],[Breakdown Time]]*PA[[#This Row],[Plant Equivalent Weightage]],"")</f>
        <v/>
      </c>
      <c r="AK170" s="36">
        <v>1.6</v>
      </c>
      <c r="AL170" s="51" t="str">
        <f>IFERROR((_xlfn.XLOOKUP($G170,'Modelling New'!D:D,'Modelling New'!$O:$O)*PA[[#This Row],[Lost PoA(kWh/m2)]]*PA[[#This Row],[DC Capacity Affected (kW)]]),"")</f>
        <v/>
      </c>
      <c r="AM170" s="33"/>
      <c r="AN170" s="33"/>
      <c r="AO170" s="33">
        <v>4829</v>
      </c>
      <c r="AP170" s="33" t="s">
        <v>602</v>
      </c>
    </row>
    <row r="171" spans="1:42">
      <c r="A171" s="30">
        <f t="shared" si="0"/>
        <v>170</v>
      </c>
      <c r="B171" s="31"/>
      <c r="C171" s="32">
        <f>YEAR(PA[[#This Row],[Date]])+IF(MONTH(PA[[#This Row],[Date]])&gt;=4,1,0)</f>
        <v>1900</v>
      </c>
      <c r="D171" s="32">
        <f>YEAR(PA[[#This Row],[Date]])</f>
        <v>1900</v>
      </c>
      <c r="E171" s="33" t="s">
        <v>157</v>
      </c>
      <c r="F171" s="33" t="s">
        <v>157</v>
      </c>
      <c r="G171" s="194">
        <f>PA[[#This Row],[Date]]-DAY(PA[[#This Row],[Date]])+1</f>
        <v>1</v>
      </c>
      <c r="H171" s="32">
        <f>DAY(EOMONTH(PA[[#This Row],[Month Year]],0))</f>
        <v>31</v>
      </c>
      <c r="I171" s="121"/>
      <c r="J171" s="121"/>
      <c r="K171" s="35">
        <f>IFERROR((PA[[#This Row],[Sunset Time (POA&lt;20 W/m2)]]-PA[[#This Row],[Sunrise Time (POA&gt;20 W/m2)]])*24,"")</f>
        <v>0</v>
      </c>
      <c r="L171" s="33"/>
      <c r="M171" s="33"/>
      <c r="N171" s="33"/>
      <c r="O171" s="36"/>
      <c r="P171" s="36"/>
      <c r="Q171" s="33"/>
      <c r="R171" s="32">
        <f>IF((PA[[#This Row],[String Type(If String BD)]]&amp;PA[[#This Row],[Equipment (If any BD other than PV  array and inv)]])="",1,0)</f>
        <v>1</v>
      </c>
      <c r="S171" s="32">
        <f>IF(PA[[#This Row],[String Type(If String BD)]]="",1,0)</f>
        <v>1</v>
      </c>
      <c r="T1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1" s="35" t="str">
        <f>IFERROR(_xlfn.XLOOKUP(PA[[#This Row],[Affected Equipment ]],'Basic Data'!N:N,'Basic Data'!Q:Q),"")</f>
        <v/>
      </c>
      <c r="V171" s="207" t="str">
        <f>IFERROR(_xlfn.XLOOKUP(PA[[#This Row],[Affected Equipment ]],'Basic Data'!N:N,'Basic Data'!R:R),"")</f>
        <v/>
      </c>
      <c r="W171" s="36" t="s">
        <v>281</v>
      </c>
      <c r="X171" s="40"/>
      <c r="Y171" s="40" t="s">
        <v>308</v>
      </c>
      <c r="Z171" s="46">
        <v>0.60624999999999996</v>
      </c>
      <c r="AA171" s="46">
        <v>0.60624999999999996</v>
      </c>
      <c r="AB171" s="46">
        <v>0.60624999999999996</v>
      </c>
      <c r="AC171" s="46">
        <v>0.63541666666666663</v>
      </c>
      <c r="AD171" s="44">
        <f>IF(PA[[#This Row],[Acknowledgement Time ]]="NA","",(PA[[#This Row],[Acknowledgement Time ]]-PA[[#This Row],[Fault Time]])*24)</f>
        <v>0</v>
      </c>
      <c r="AE171" s="44">
        <f>IF(PA[[#This Row],[Work Start time on Fault]]="NA","",(PA[[#This Row],[Work Start time on Fault]]-PA[[#This Row],[Fault Time]])*24)</f>
        <v>0</v>
      </c>
      <c r="AF171" s="45">
        <f>IF(PA[[#This Row],[Status]]="Open","",(PA[[#This Row],[Work Completion time on fault]]-PA[[#This Row],[Fault Time]])*24)</f>
        <v>0.70000000000000018</v>
      </c>
      <c r="AG171" s="44">
        <f>IFERROR((PA[[#This Row],[Work Completion time on fault]]-PA[[#This Row],[Fault Time]])*24,"")</f>
        <v>0.70000000000000018</v>
      </c>
      <c r="AH171" s="36" t="s">
        <v>309</v>
      </c>
      <c r="AI171" s="33" t="s">
        <v>235</v>
      </c>
      <c r="AJ171" s="35" t="str">
        <f>IFERROR(PA[[#This Row],[Breakdown Time]]*PA[[#This Row],[Plant Equivalent Weightage]],"")</f>
        <v/>
      </c>
      <c r="AK171" s="36">
        <v>0.18508670499999999</v>
      </c>
      <c r="AL171" s="51" t="str">
        <f>IFERROR((_xlfn.XLOOKUP($G171,'Modelling New'!D:D,'Modelling New'!$O:$O)*PA[[#This Row],[Lost PoA(kWh/m2)]]*PA[[#This Row],[DC Capacity Affected (kW)]]),"")</f>
        <v/>
      </c>
      <c r="AM171" s="33"/>
      <c r="AN171" s="33"/>
      <c r="AO171" s="33">
        <v>4876</v>
      </c>
      <c r="AP171" s="33" t="s">
        <v>603</v>
      </c>
    </row>
    <row r="172" spans="1:42">
      <c r="A172" s="30">
        <f t="shared" si="0"/>
        <v>171</v>
      </c>
      <c r="B172" s="31"/>
      <c r="C172" s="32">
        <f>YEAR(PA[[#This Row],[Date]])+IF(MONTH(PA[[#This Row],[Date]])&gt;=4,1,0)</f>
        <v>1900</v>
      </c>
      <c r="D172" s="32">
        <f>YEAR(PA[[#This Row],[Date]])</f>
        <v>1900</v>
      </c>
      <c r="E172" s="33" t="s">
        <v>157</v>
      </c>
      <c r="F172" s="33" t="s">
        <v>157</v>
      </c>
      <c r="G172" s="194">
        <f>PA[[#This Row],[Date]]-DAY(PA[[#This Row],[Date]])+1</f>
        <v>1</v>
      </c>
      <c r="H172" s="202">
        <f>DAY(EOMONTH(PA[[#This Row],[Month Year]],0))</f>
        <v>31</v>
      </c>
      <c r="I172" s="121"/>
      <c r="J172" s="121"/>
      <c r="K172" s="35">
        <f>IFERROR((PA[[#This Row],[Sunset Time (POA&lt;20 W/m2)]]-PA[[#This Row],[Sunrise Time (POA&gt;20 W/m2)]])*24,"")</f>
        <v>0</v>
      </c>
      <c r="L172" s="33"/>
      <c r="M172" s="33"/>
      <c r="N172" s="33"/>
      <c r="O172" s="36"/>
      <c r="P172" s="36"/>
      <c r="Q172" s="37"/>
      <c r="R172" s="202">
        <f>IF((PA[[#This Row],[String Type(If String BD)]]&amp;PA[[#This Row],[Equipment (If any BD other than PV  array and inv)]])="",1,0)</f>
        <v>1</v>
      </c>
      <c r="S172" s="202">
        <f>IF(PA[[#This Row],[String Type(If String BD)]]="",1,0)</f>
        <v>1</v>
      </c>
      <c r="T17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2" s="204" t="str">
        <f>IFERROR(_xlfn.XLOOKUP(PA[[#This Row],[Affected Equipment ]],'Basic Data'!N:N,'Basic Data'!Q:Q),"")</f>
        <v/>
      </c>
      <c r="V172" s="208" t="str">
        <f>IFERROR(_xlfn.XLOOKUP(PA[[#This Row],[Affected Equipment ]],'Basic Data'!N:N,'Basic Data'!R:R),"")</f>
        <v/>
      </c>
      <c r="W172" s="36" t="s">
        <v>281</v>
      </c>
      <c r="X172" s="41"/>
      <c r="Y172" s="40" t="s">
        <v>308</v>
      </c>
      <c r="Z172" s="46">
        <v>0.60624999999999996</v>
      </c>
      <c r="AA172" s="46">
        <v>0.60624999999999996</v>
      </c>
      <c r="AB172" s="46">
        <v>0.60624999999999996</v>
      </c>
      <c r="AC172" s="46">
        <v>0.63472222222222219</v>
      </c>
      <c r="AD172" s="205">
        <f>IF(PA[[#This Row],[Acknowledgement Time ]]="NA","",(PA[[#This Row],[Acknowledgement Time ]]-PA[[#This Row],[Fault Time]])*24)</f>
        <v>0</v>
      </c>
      <c r="AE172" s="205">
        <f>IF(PA[[#This Row],[Work Start time on Fault]]="NA","",(PA[[#This Row],[Work Start time on Fault]]-PA[[#This Row],[Fault Time]])*24)</f>
        <v>0</v>
      </c>
      <c r="AF172" s="206">
        <f>IF(PA[[#This Row],[Status]]="Open","",(PA[[#This Row],[Work Completion time on fault]]-PA[[#This Row],[Fault Time]])*24)</f>
        <v>0.68333333333333357</v>
      </c>
      <c r="AG172" s="205">
        <f>IFERROR((PA[[#This Row],[Work Completion time on fault]]-PA[[#This Row],[Fault Time]])*24,"")</f>
        <v>0.68333333333333357</v>
      </c>
      <c r="AH172" s="36" t="s">
        <v>309</v>
      </c>
      <c r="AI172" s="33" t="s">
        <v>235</v>
      </c>
      <c r="AJ172" s="204" t="str">
        <f>IFERROR(PA[[#This Row],[Breakdown Time]]*PA[[#This Row],[Plant Equivalent Weightage]],"")</f>
        <v/>
      </c>
      <c r="AK172" s="38">
        <v>0.180891197</v>
      </c>
      <c r="AL172" s="51" t="str">
        <f>IFERROR((_xlfn.XLOOKUP($G172,'Modelling New'!D:D,'Modelling New'!$O:$O)*PA[[#This Row],[Lost PoA(kWh/m2)]]*PA[[#This Row],[DC Capacity Affected (kW)]]),"")</f>
        <v/>
      </c>
      <c r="AM172" s="33"/>
      <c r="AN172" s="33"/>
      <c r="AO172" s="33">
        <v>4876</v>
      </c>
      <c r="AP172" s="33" t="s">
        <v>603</v>
      </c>
    </row>
    <row r="173" spans="1:42">
      <c r="A173" s="30">
        <f t="shared" si="0"/>
        <v>172</v>
      </c>
      <c r="B173" s="31"/>
      <c r="C173" s="32">
        <f>YEAR(PA[[#This Row],[Date]])+IF(MONTH(PA[[#This Row],[Date]])&gt;=4,1,0)</f>
        <v>1900</v>
      </c>
      <c r="D173" s="32">
        <f>YEAR(PA[[#This Row],[Date]])</f>
        <v>1900</v>
      </c>
      <c r="E173" s="33" t="s">
        <v>157</v>
      </c>
      <c r="F173" s="33" t="s">
        <v>157</v>
      </c>
      <c r="G173" s="194">
        <f>PA[[#This Row],[Date]]-DAY(PA[[#This Row],[Date]])+1</f>
        <v>1</v>
      </c>
      <c r="H173" s="202">
        <f>DAY(EOMONTH(PA[[#This Row],[Month Year]],0))</f>
        <v>31</v>
      </c>
      <c r="I173" s="121"/>
      <c r="J173" s="121"/>
      <c r="K173" s="35">
        <f>IFERROR((PA[[#This Row],[Sunset Time (POA&lt;20 W/m2)]]-PA[[#This Row],[Sunrise Time (POA&gt;20 W/m2)]])*24,"")</f>
        <v>0</v>
      </c>
      <c r="L173" s="37"/>
      <c r="M173" s="33"/>
      <c r="N173" s="33"/>
      <c r="O173" s="38"/>
      <c r="P173" s="38"/>
      <c r="Q173" s="37"/>
      <c r="R173" s="202">
        <f>IF((PA[[#This Row],[String Type(If String BD)]]&amp;PA[[#This Row],[Equipment (If any BD other than PV  array and inv)]])="",1,0)</f>
        <v>1</v>
      </c>
      <c r="S173" s="202">
        <f>IF(PA[[#This Row],[String Type(If String BD)]]="",1,0)</f>
        <v>1</v>
      </c>
      <c r="T17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3" s="204" t="str">
        <f>IFERROR(_xlfn.XLOOKUP(PA[[#This Row],[Affected Equipment ]],'Basic Data'!N:N,'Basic Data'!Q:Q),"")</f>
        <v/>
      </c>
      <c r="V173" s="208" t="str">
        <f>IFERROR(_xlfn.XLOOKUP(PA[[#This Row],[Affected Equipment ]],'Basic Data'!N:N,'Basic Data'!R:R),"")</f>
        <v/>
      </c>
      <c r="W173" s="36" t="s">
        <v>281</v>
      </c>
      <c r="X173" s="41"/>
      <c r="Y173" s="40" t="s">
        <v>308</v>
      </c>
      <c r="Z173" s="46">
        <v>0.60624999999999996</v>
      </c>
      <c r="AA173" s="46">
        <v>0.60624999999999996</v>
      </c>
      <c r="AB173" s="46">
        <v>0.60624999999999996</v>
      </c>
      <c r="AC173" s="47">
        <v>0.63263888888888886</v>
      </c>
      <c r="AD173" s="205">
        <f>IF(PA[[#This Row],[Acknowledgement Time ]]="NA","",(PA[[#This Row],[Acknowledgement Time ]]-PA[[#This Row],[Fault Time]])*24)</f>
        <v>0</v>
      </c>
      <c r="AE173" s="205">
        <f>IF(PA[[#This Row],[Work Start time on Fault]]="NA","",(PA[[#This Row],[Work Start time on Fault]]-PA[[#This Row],[Fault Time]])*24)</f>
        <v>0</v>
      </c>
      <c r="AF173" s="206">
        <f>IF(PA[[#This Row],[Status]]="Open","",(PA[[#This Row],[Work Completion time on fault]]-PA[[#This Row],[Fault Time]])*24)</f>
        <v>0.63333333333333375</v>
      </c>
      <c r="AG173" s="205">
        <f>IFERROR((PA[[#This Row],[Work Completion time on fault]]-PA[[#This Row],[Fault Time]])*24,"")</f>
        <v>0.63333333333333375</v>
      </c>
      <c r="AH173" s="36" t="s">
        <v>309</v>
      </c>
      <c r="AI173" s="33" t="s">
        <v>235</v>
      </c>
      <c r="AJ173" s="204" t="str">
        <f>IFERROR(PA[[#This Row],[Breakdown Time]]*PA[[#This Row],[Plant Equivalent Weightage]],"")</f>
        <v/>
      </c>
      <c r="AK173" s="38">
        <v>0.16826694</v>
      </c>
      <c r="AL173" s="51" t="str">
        <f>IFERROR((_xlfn.XLOOKUP($G173,'Modelling New'!D:D,'Modelling New'!$O:$O)*PA[[#This Row],[Lost PoA(kWh/m2)]]*PA[[#This Row],[DC Capacity Affected (kW)]]),"")</f>
        <v/>
      </c>
      <c r="AM173" s="33"/>
      <c r="AN173" s="33"/>
      <c r="AO173" s="33">
        <v>4876</v>
      </c>
      <c r="AP173" s="33" t="s">
        <v>603</v>
      </c>
    </row>
    <row r="174" spans="1:42">
      <c r="A174" s="30">
        <f t="shared" si="0"/>
        <v>173</v>
      </c>
      <c r="B174" s="31"/>
      <c r="C174" s="32">
        <f>YEAR(PA[[#This Row],[Date]])+IF(MONTH(PA[[#This Row],[Date]])&gt;=4,1,0)</f>
        <v>1900</v>
      </c>
      <c r="D174" s="32">
        <f>YEAR(PA[[#This Row],[Date]])</f>
        <v>1900</v>
      </c>
      <c r="E174" s="33" t="s">
        <v>157</v>
      </c>
      <c r="F174" s="33" t="s">
        <v>157</v>
      </c>
      <c r="G174" s="194">
        <f>PA[[#This Row],[Date]]-DAY(PA[[#This Row],[Date]])+1</f>
        <v>1</v>
      </c>
      <c r="H174" s="202">
        <f>DAY(EOMONTH(PA[[#This Row],[Month Year]],0))</f>
        <v>31</v>
      </c>
      <c r="I174" s="121"/>
      <c r="J174" s="121"/>
      <c r="K174" s="35">
        <f>IFERROR((PA[[#This Row],[Sunset Time (POA&lt;20 W/m2)]]-PA[[#This Row],[Sunrise Time (POA&gt;20 W/m2)]])*24,"")</f>
        <v>0</v>
      </c>
      <c r="L174" s="37"/>
      <c r="M174" s="33"/>
      <c r="N174" s="33"/>
      <c r="O174" s="36"/>
      <c r="P174" s="38"/>
      <c r="Q174" s="37"/>
      <c r="R174" s="202">
        <f>IF((PA[[#This Row],[String Type(If String BD)]]&amp;PA[[#This Row],[Equipment (If any BD other than PV  array and inv)]])="",1,0)</f>
        <v>1</v>
      </c>
      <c r="S174" s="202">
        <f>IF(PA[[#This Row],[String Type(If String BD)]]="",1,0)</f>
        <v>1</v>
      </c>
      <c r="T17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4" s="204" t="str">
        <f>IFERROR(_xlfn.XLOOKUP(PA[[#This Row],[Affected Equipment ]],'Basic Data'!N:N,'Basic Data'!Q:Q),"")</f>
        <v/>
      </c>
      <c r="V174" s="208" t="str">
        <f>IFERROR(_xlfn.XLOOKUP(PA[[#This Row],[Affected Equipment ]],'Basic Data'!N:N,'Basic Data'!R:R),"")</f>
        <v/>
      </c>
      <c r="W174" s="36" t="s">
        <v>281</v>
      </c>
      <c r="X174" s="41"/>
      <c r="Y174" s="40" t="s">
        <v>308</v>
      </c>
      <c r="Z174" s="46">
        <v>0.60624999999999996</v>
      </c>
      <c r="AA174" s="46">
        <v>0.60624999999999996</v>
      </c>
      <c r="AB174" s="46">
        <v>0.60624999999999996</v>
      </c>
      <c r="AC174" s="47">
        <v>0.6333333333333333</v>
      </c>
      <c r="AD174" s="205">
        <f>IF(PA[[#This Row],[Acknowledgement Time ]]="NA","",(PA[[#This Row],[Acknowledgement Time ]]-PA[[#This Row],[Fault Time]])*24)</f>
        <v>0</v>
      </c>
      <c r="AE174" s="205">
        <f>IF(PA[[#This Row],[Work Start time on Fault]]="NA","",(PA[[#This Row],[Work Start time on Fault]]-PA[[#This Row],[Fault Time]])*24)</f>
        <v>0</v>
      </c>
      <c r="AF174" s="206">
        <f>IF(PA[[#This Row],[Status]]="Open","",(PA[[#This Row],[Work Completion time on fault]]-PA[[#This Row],[Fault Time]])*24)</f>
        <v>0.65000000000000036</v>
      </c>
      <c r="AG174" s="205">
        <f>IFERROR((PA[[#This Row],[Work Completion time on fault]]-PA[[#This Row],[Fault Time]])*24,"")</f>
        <v>0.65000000000000036</v>
      </c>
      <c r="AH174" s="36" t="s">
        <v>309</v>
      </c>
      <c r="AI174" s="33" t="s">
        <v>235</v>
      </c>
      <c r="AJ174" s="204" t="str">
        <f>IFERROR(PA[[#This Row],[Breakdown Time]]*PA[[#This Row],[Plant Equivalent Weightage]],"")</f>
        <v/>
      </c>
      <c r="AK174" s="38">
        <v>0.172472763</v>
      </c>
      <c r="AL174" s="51" t="str">
        <f>IFERROR((_xlfn.XLOOKUP($G174,'Modelling New'!D:D,'Modelling New'!$O:$O)*PA[[#This Row],[Lost PoA(kWh/m2)]]*PA[[#This Row],[DC Capacity Affected (kW)]]),"")</f>
        <v/>
      </c>
      <c r="AM174" s="37"/>
      <c r="AN174" s="37"/>
      <c r="AO174" s="33">
        <v>4876</v>
      </c>
      <c r="AP174" s="33" t="s">
        <v>603</v>
      </c>
    </row>
    <row r="175" spans="1:42">
      <c r="A175" s="30">
        <f t="shared" si="0"/>
        <v>174</v>
      </c>
      <c r="B175" s="31"/>
      <c r="C175" s="32">
        <f>YEAR(PA[[#This Row],[Date]])+IF(MONTH(PA[[#This Row],[Date]])&gt;=4,1,0)</f>
        <v>1900</v>
      </c>
      <c r="D175" s="32">
        <f>YEAR(PA[[#This Row],[Date]])</f>
        <v>1900</v>
      </c>
      <c r="E175" s="33" t="s">
        <v>157</v>
      </c>
      <c r="F175" s="33" t="s">
        <v>157</v>
      </c>
      <c r="G175" s="194">
        <f>PA[[#This Row],[Date]]-DAY(PA[[#This Row],[Date]])+1</f>
        <v>1</v>
      </c>
      <c r="H175" s="32">
        <f>DAY(EOMONTH(PA[[#This Row],[Month Year]],0))</f>
        <v>31</v>
      </c>
      <c r="I175" s="121"/>
      <c r="J175" s="121"/>
      <c r="K175" s="35">
        <f>IFERROR((PA[[#This Row],[Sunset Time (POA&lt;20 W/m2)]]-PA[[#This Row],[Sunrise Time (POA&gt;20 W/m2)]])*24,"")</f>
        <v>0</v>
      </c>
      <c r="L175" s="37"/>
      <c r="M175" s="33"/>
      <c r="N175" s="33"/>
      <c r="O175" s="36"/>
      <c r="P175" s="36"/>
      <c r="Q175" s="33"/>
      <c r="R175" s="32">
        <f>IF((PA[[#This Row],[String Type(If String BD)]]&amp;PA[[#This Row],[Equipment (If any BD other than PV  array and inv)]])="",1,0)</f>
        <v>1</v>
      </c>
      <c r="S175" s="32">
        <f>IF(PA[[#This Row],[String Type(If String BD)]]="",1,0)</f>
        <v>1</v>
      </c>
      <c r="T1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5" s="35" t="str">
        <f>IFERROR(_xlfn.XLOOKUP(PA[[#This Row],[Affected Equipment ]],'Basic Data'!N:N,'Basic Data'!Q:Q),"")</f>
        <v/>
      </c>
      <c r="V175" s="207" t="str">
        <f>IFERROR(_xlfn.XLOOKUP(PA[[#This Row],[Affected Equipment ]],'Basic Data'!N:N,'Basic Data'!R:R),"")</f>
        <v/>
      </c>
      <c r="W175" s="36" t="s">
        <v>281</v>
      </c>
      <c r="X175" s="40"/>
      <c r="Y175" s="40" t="s">
        <v>308</v>
      </c>
      <c r="Z175" s="46">
        <v>0.60624999999999996</v>
      </c>
      <c r="AA175" s="46">
        <v>0.60624999999999996</v>
      </c>
      <c r="AB175" s="46">
        <v>0.60624999999999996</v>
      </c>
      <c r="AC175" s="46">
        <v>0.63263888888888886</v>
      </c>
      <c r="AD175" s="44">
        <f>IF(PA[[#This Row],[Acknowledgement Time ]]="NA","",(PA[[#This Row],[Acknowledgement Time ]]-PA[[#This Row],[Fault Time]])*24)</f>
        <v>0</v>
      </c>
      <c r="AE175" s="44">
        <f>IF(PA[[#This Row],[Work Start time on Fault]]="NA","",(PA[[#This Row],[Work Start time on Fault]]-PA[[#This Row],[Fault Time]])*24)</f>
        <v>0</v>
      </c>
      <c r="AF175" s="45">
        <f>IF(PA[[#This Row],[Status]]="Open","",(PA[[#This Row],[Work Completion time on fault]]-PA[[#This Row],[Fault Time]])*24)</f>
        <v>0.63333333333333375</v>
      </c>
      <c r="AG175" s="44">
        <f>IFERROR((PA[[#This Row],[Work Completion time on fault]]-PA[[#This Row],[Fault Time]])*24,"")</f>
        <v>0.63333333333333375</v>
      </c>
      <c r="AH175" s="36" t="s">
        <v>309</v>
      </c>
      <c r="AI175" s="33" t="s">
        <v>235</v>
      </c>
      <c r="AJ175" s="35" t="str">
        <f>IFERROR(PA[[#This Row],[Breakdown Time]]*PA[[#This Row],[Plant Equivalent Weightage]],"")</f>
        <v/>
      </c>
      <c r="AK175" s="36">
        <v>0.16826694</v>
      </c>
      <c r="AL175" s="51" t="str">
        <f>IFERROR((_xlfn.XLOOKUP($G175,'Modelling New'!D:D,'Modelling New'!$O:$O)*PA[[#This Row],[Lost PoA(kWh/m2)]]*PA[[#This Row],[DC Capacity Affected (kW)]]),"")</f>
        <v/>
      </c>
      <c r="AM175" s="33"/>
      <c r="AN175" s="33"/>
      <c r="AO175" s="33">
        <v>4876</v>
      </c>
      <c r="AP175" s="33" t="s">
        <v>603</v>
      </c>
    </row>
    <row r="176" spans="1:42">
      <c r="A176" s="30">
        <f t="shared" si="0"/>
        <v>175</v>
      </c>
      <c r="B176" s="31"/>
      <c r="C176" s="32">
        <f>YEAR(PA[[#This Row],[Date]])+IF(MONTH(PA[[#This Row],[Date]])&gt;=4,1,0)</f>
        <v>1900</v>
      </c>
      <c r="D176" s="32">
        <f>YEAR(PA[[#This Row],[Date]])</f>
        <v>1900</v>
      </c>
      <c r="E176" s="33" t="s">
        <v>157</v>
      </c>
      <c r="F176" s="33" t="s">
        <v>157</v>
      </c>
      <c r="G176" s="194">
        <f>PA[[#This Row],[Date]]-DAY(PA[[#This Row],[Date]])+1</f>
        <v>1</v>
      </c>
      <c r="H176" s="202">
        <f>DAY(EOMONTH(PA[[#This Row],[Month Year]],0))</f>
        <v>31</v>
      </c>
      <c r="I176" s="121"/>
      <c r="J176" s="121"/>
      <c r="K176" s="35">
        <f>IFERROR((PA[[#This Row],[Sunset Time (POA&lt;20 W/m2)]]-PA[[#This Row],[Sunrise Time (POA&gt;20 W/m2)]])*24,"")</f>
        <v>0</v>
      </c>
      <c r="L176" s="37"/>
      <c r="M176" s="33"/>
      <c r="N176" s="33"/>
      <c r="O176" s="36"/>
      <c r="P176" s="36"/>
      <c r="Q176" s="37"/>
      <c r="R176" s="202">
        <f>IF((PA[[#This Row],[String Type(If String BD)]]&amp;PA[[#This Row],[Equipment (If any BD other than PV  array and inv)]])="",1,0)</f>
        <v>1</v>
      </c>
      <c r="S176" s="202">
        <f>IF(PA[[#This Row],[String Type(If String BD)]]="",1,0)</f>
        <v>1</v>
      </c>
      <c r="T17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6" s="204" t="str">
        <f>IFERROR(_xlfn.XLOOKUP(PA[[#This Row],[Affected Equipment ]],'Basic Data'!N:N,'Basic Data'!Q:Q),"")</f>
        <v/>
      </c>
      <c r="V176" s="208" t="str">
        <f>IFERROR(_xlfn.XLOOKUP(PA[[#This Row],[Affected Equipment ]],'Basic Data'!N:N,'Basic Data'!R:R),"")</f>
        <v/>
      </c>
      <c r="W176" s="36" t="s">
        <v>281</v>
      </c>
      <c r="X176" s="41"/>
      <c r="Y176" s="40" t="s">
        <v>308</v>
      </c>
      <c r="Z176" s="46">
        <v>0.60624999999999996</v>
      </c>
      <c r="AA176" s="46">
        <v>0.60624999999999996</v>
      </c>
      <c r="AB176" s="46">
        <v>0.60624999999999996</v>
      </c>
      <c r="AC176" s="47">
        <v>0.63194444444444442</v>
      </c>
      <c r="AD176" s="205">
        <f>IF(PA[[#This Row],[Acknowledgement Time ]]="NA","",(PA[[#This Row],[Acknowledgement Time ]]-PA[[#This Row],[Fault Time]])*24)</f>
        <v>0</v>
      </c>
      <c r="AE176" s="205">
        <f>IF(PA[[#This Row],[Work Start time on Fault]]="NA","",(PA[[#This Row],[Work Start time on Fault]]-PA[[#This Row],[Fault Time]])*24)</f>
        <v>0</v>
      </c>
      <c r="AF176" s="206">
        <f>IF(PA[[#This Row],[Status]]="Open","",(PA[[#This Row],[Work Completion time on fault]]-PA[[#This Row],[Fault Time]])*24)</f>
        <v>0.61666666666666714</v>
      </c>
      <c r="AG176" s="205">
        <f>IFERROR((PA[[#This Row],[Work Completion time on fault]]-PA[[#This Row],[Fault Time]])*24,"")</f>
        <v>0.61666666666666714</v>
      </c>
      <c r="AH176" s="36" t="s">
        <v>309</v>
      </c>
      <c r="AI176" s="33" t="s">
        <v>235</v>
      </c>
      <c r="AJ176" s="204" t="str">
        <f>IFERROR(PA[[#This Row],[Breakdown Time]]*PA[[#This Row],[Plant Equivalent Weightage]],"")</f>
        <v/>
      </c>
      <c r="AK176" s="38">
        <v>0.16406226500000001</v>
      </c>
      <c r="AL176" s="51" t="str">
        <f>IFERROR((_xlfn.XLOOKUP($G176,'Modelling New'!D:D,'Modelling New'!$O:$O)*PA[[#This Row],[Lost PoA(kWh/m2)]]*PA[[#This Row],[DC Capacity Affected (kW)]]),"")</f>
        <v/>
      </c>
      <c r="AM176" s="33"/>
      <c r="AN176" s="33"/>
      <c r="AO176" s="33">
        <v>4876</v>
      </c>
      <c r="AP176" s="33" t="s">
        <v>603</v>
      </c>
    </row>
    <row r="177" spans="1:42">
      <c r="A177" s="30">
        <f t="shared" si="0"/>
        <v>176</v>
      </c>
      <c r="B177" s="31"/>
      <c r="C177" s="32">
        <f>YEAR(PA[[#This Row],[Date]])+IF(MONTH(PA[[#This Row],[Date]])&gt;=4,1,0)</f>
        <v>1900</v>
      </c>
      <c r="D177" s="32">
        <f>YEAR(PA[[#This Row],[Date]])</f>
        <v>1900</v>
      </c>
      <c r="E177" s="33" t="s">
        <v>157</v>
      </c>
      <c r="F177" s="33" t="s">
        <v>157</v>
      </c>
      <c r="G177" s="194">
        <f>PA[[#This Row],[Date]]-DAY(PA[[#This Row],[Date]])+1</f>
        <v>1</v>
      </c>
      <c r="H177" s="202">
        <f>DAY(EOMONTH(PA[[#This Row],[Month Year]],0))</f>
        <v>31</v>
      </c>
      <c r="I177" s="121"/>
      <c r="J177" s="121"/>
      <c r="K177" s="35">
        <f>IFERROR((PA[[#This Row],[Sunset Time (POA&lt;20 W/m2)]]-PA[[#This Row],[Sunrise Time (POA&gt;20 W/m2)]])*24,"")</f>
        <v>0</v>
      </c>
      <c r="L177" s="37"/>
      <c r="M177" s="33"/>
      <c r="N177" s="33"/>
      <c r="O177" s="36"/>
      <c r="P177" s="36"/>
      <c r="Q177" s="37"/>
      <c r="R177" s="202">
        <f>IF((PA[[#This Row],[String Type(If String BD)]]&amp;PA[[#This Row],[Equipment (If any BD other than PV  array and inv)]])="",1,0)</f>
        <v>1</v>
      </c>
      <c r="S177" s="202">
        <f>IF(PA[[#This Row],[String Type(If String BD)]]="",1,0)</f>
        <v>1</v>
      </c>
      <c r="T17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7" s="204" t="str">
        <f>IFERROR(_xlfn.XLOOKUP(PA[[#This Row],[Affected Equipment ]],'Basic Data'!N:N,'Basic Data'!Q:Q),"")</f>
        <v/>
      </c>
      <c r="V177" s="208" t="str">
        <f>IFERROR(_xlfn.XLOOKUP(PA[[#This Row],[Affected Equipment ]],'Basic Data'!N:N,'Basic Data'!R:R),"")</f>
        <v/>
      </c>
      <c r="W177" s="36" t="s">
        <v>281</v>
      </c>
      <c r="X177" s="41"/>
      <c r="Y177" s="40" t="s">
        <v>308</v>
      </c>
      <c r="Z177" s="46">
        <v>0.60624999999999996</v>
      </c>
      <c r="AA177" s="46">
        <v>0.60624999999999996</v>
      </c>
      <c r="AB177" s="46">
        <v>0.60624999999999996</v>
      </c>
      <c r="AC177" s="47">
        <v>0.63194444444444442</v>
      </c>
      <c r="AD177" s="205">
        <f>IF(PA[[#This Row],[Acknowledgement Time ]]="NA","",(PA[[#This Row],[Acknowledgement Time ]]-PA[[#This Row],[Fault Time]])*24)</f>
        <v>0</v>
      </c>
      <c r="AE177" s="205">
        <f>IF(PA[[#This Row],[Work Start time on Fault]]="NA","",(PA[[#This Row],[Work Start time on Fault]]-PA[[#This Row],[Fault Time]])*24)</f>
        <v>0</v>
      </c>
      <c r="AF177" s="206">
        <f>IF(PA[[#This Row],[Status]]="Open","",(PA[[#This Row],[Work Completion time on fault]]-PA[[#This Row],[Fault Time]])*24)</f>
        <v>0.61666666666666714</v>
      </c>
      <c r="AG177" s="205">
        <f>IFERROR((PA[[#This Row],[Work Completion time on fault]]-PA[[#This Row],[Fault Time]])*24,"")</f>
        <v>0.61666666666666714</v>
      </c>
      <c r="AH177" s="36" t="s">
        <v>309</v>
      </c>
      <c r="AI177" s="33" t="s">
        <v>235</v>
      </c>
      <c r="AJ177" s="204" t="str">
        <f>IFERROR(PA[[#This Row],[Breakdown Time]]*PA[[#This Row],[Plant Equivalent Weightage]],"")</f>
        <v/>
      </c>
      <c r="AK177" s="38">
        <v>0.16406226500000001</v>
      </c>
      <c r="AL177" s="51" t="str">
        <f>IFERROR((_xlfn.XLOOKUP($G177,'Modelling New'!D:D,'Modelling New'!$O:$O)*PA[[#This Row],[Lost PoA(kWh/m2)]]*PA[[#This Row],[DC Capacity Affected (kW)]]),"")</f>
        <v/>
      </c>
      <c r="AM177" s="33"/>
      <c r="AN177" s="33"/>
      <c r="AO177" s="33">
        <v>4876</v>
      </c>
      <c r="AP177" s="33" t="s">
        <v>603</v>
      </c>
    </row>
    <row r="178" spans="1:42">
      <c r="A178" s="30">
        <f t="shared" si="0"/>
        <v>177</v>
      </c>
      <c r="B178" s="165"/>
      <c r="C178" s="32">
        <f>YEAR(PA[[#This Row],[Date]])+IF(MONTH(PA[[#This Row],[Date]])&gt;=4,1,0)</f>
        <v>1900</v>
      </c>
      <c r="D178" s="32">
        <f>YEAR(PA[[#This Row],[Date]])</f>
        <v>1900</v>
      </c>
      <c r="E178" s="33" t="s">
        <v>157</v>
      </c>
      <c r="F178" s="33" t="s">
        <v>157</v>
      </c>
      <c r="G178" s="194">
        <f>PA[[#This Row],[Date]]-DAY(PA[[#This Row],[Date]])+1</f>
        <v>1</v>
      </c>
      <c r="H178" s="32">
        <f>DAY(EOMONTH(PA[[#This Row],[Month Year]],0))</f>
        <v>31</v>
      </c>
      <c r="I178" s="203"/>
      <c r="J178" s="203"/>
      <c r="K178" s="35">
        <f>IFERROR((PA[[#This Row],[Sunset Time (POA&lt;20 W/m2)]]-PA[[#This Row],[Sunrise Time (POA&gt;20 W/m2)]])*24,"")</f>
        <v>0</v>
      </c>
      <c r="L178" s="37"/>
      <c r="M178" s="33"/>
      <c r="N178" s="33"/>
      <c r="O178" s="36"/>
      <c r="P178" s="36"/>
      <c r="Q178" s="33"/>
      <c r="R178" s="32">
        <f>IF((PA[[#This Row],[String Type(If String BD)]]&amp;PA[[#This Row],[Equipment (If any BD other than PV  array and inv)]])="",1,0)</f>
        <v>1</v>
      </c>
      <c r="S178" s="32">
        <f>IF(PA[[#This Row],[String Type(If String BD)]]="",1,0)</f>
        <v>1</v>
      </c>
      <c r="T1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8" s="35" t="str">
        <f>IFERROR(_xlfn.XLOOKUP(PA[[#This Row],[Affected Equipment ]],'Basic Data'!N:N,'Basic Data'!Q:Q),"")</f>
        <v/>
      </c>
      <c r="V178" s="207" t="str">
        <f>IFERROR(_xlfn.XLOOKUP(PA[[#This Row],[Affected Equipment ]],'Basic Data'!N:N,'Basic Data'!R:R),"")</f>
        <v/>
      </c>
      <c r="W178" s="36"/>
      <c r="X178" s="40"/>
      <c r="Y178" s="286"/>
      <c r="Z178" s="47"/>
      <c r="AA178" s="47"/>
      <c r="AB178" s="47"/>
      <c r="AC178" s="46"/>
      <c r="AD178" s="44">
        <f>IF(PA[[#This Row],[Acknowledgement Time ]]="NA","",(PA[[#This Row],[Acknowledgement Time ]]-PA[[#This Row],[Fault Time]])*24)</f>
        <v>0</v>
      </c>
      <c r="AE178" s="44">
        <f>IF(PA[[#This Row],[Work Start time on Fault]]="NA","",(PA[[#This Row],[Work Start time on Fault]]-PA[[#This Row],[Fault Time]])*24)</f>
        <v>0</v>
      </c>
      <c r="AF178" s="45">
        <f>IF(PA[[#This Row],[Status]]="Open","",(PA[[#This Row],[Work Completion time on fault]]-PA[[#This Row],[Fault Time]])*24)</f>
        <v>0</v>
      </c>
      <c r="AG178" s="44">
        <f>IFERROR((PA[[#This Row],[Work Completion time on fault]]-PA[[#This Row],[Fault Time]])*24,"")</f>
        <v>0</v>
      </c>
      <c r="AH178" s="282"/>
      <c r="AI178" s="33"/>
      <c r="AJ178" s="35" t="str">
        <f>IFERROR(PA[[#This Row],[Breakdown Time]]*PA[[#This Row],[Plant Equivalent Weightage]],"")</f>
        <v/>
      </c>
      <c r="AK178" s="36"/>
      <c r="AL178" s="51" t="str">
        <f>IFERROR((_xlfn.XLOOKUP($G178,'Modelling New'!D:D,'Modelling New'!$O:$O)*PA[[#This Row],[Lost PoA(kWh/m2)]]*PA[[#This Row],[DC Capacity Affected (kW)]]),"")</f>
        <v/>
      </c>
      <c r="AM178" s="33"/>
      <c r="AN178" s="33"/>
      <c r="AO178" s="33"/>
      <c r="AP178" s="33"/>
    </row>
    <row r="179" spans="1:42">
      <c r="A179" s="30">
        <f t="shared" si="0"/>
        <v>178</v>
      </c>
      <c r="B179" s="165"/>
      <c r="C179" s="32">
        <f>YEAR(PA[[#This Row],[Date]])+IF(MONTH(PA[[#This Row],[Date]])&gt;=4,1,0)</f>
        <v>1900</v>
      </c>
      <c r="D179" s="32">
        <f>YEAR(PA[[#This Row],[Date]])</f>
        <v>1900</v>
      </c>
      <c r="E179" s="33" t="s">
        <v>157</v>
      </c>
      <c r="F179" s="33" t="s">
        <v>157</v>
      </c>
      <c r="G179" s="194">
        <f>PA[[#This Row],[Date]]-DAY(PA[[#This Row],[Date]])+1</f>
        <v>1</v>
      </c>
      <c r="H179" s="32">
        <f>DAY(EOMONTH(PA[[#This Row],[Month Year]],0))</f>
        <v>31</v>
      </c>
      <c r="I179" s="203"/>
      <c r="J179" s="203"/>
      <c r="K179" s="35">
        <f>IFERROR((PA[[#This Row],[Sunset Time (POA&lt;20 W/m2)]]-PA[[#This Row],[Sunrise Time (POA&gt;20 W/m2)]])*24,"")</f>
        <v>0</v>
      </c>
      <c r="L179" s="37"/>
      <c r="M179" s="33"/>
      <c r="N179" s="33"/>
      <c r="O179" s="36"/>
      <c r="P179" s="36"/>
      <c r="Q179" s="33"/>
      <c r="R179" s="32">
        <f>IF((PA[[#This Row],[String Type(If String BD)]]&amp;PA[[#This Row],[Equipment (If any BD other than PV  array and inv)]])="",1,0)</f>
        <v>1</v>
      </c>
      <c r="S179" s="32">
        <f>IF(PA[[#This Row],[String Type(If String BD)]]="",1,0)</f>
        <v>1</v>
      </c>
      <c r="T1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79" s="35" t="str">
        <f>IFERROR(_xlfn.XLOOKUP(PA[[#This Row],[Affected Equipment ]],'Basic Data'!N:N,'Basic Data'!Q:Q),"")</f>
        <v/>
      </c>
      <c r="V179" s="207" t="str">
        <f>IFERROR(_xlfn.XLOOKUP(PA[[#This Row],[Affected Equipment ]],'Basic Data'!N:N,'Basic Data'!R:R),"")</f>
        <v/>
      </c>
      <c r="W179" s="36"/>
      <c r="X179" s="40"/>
      <c r="Y179" s="286"/>
      <c r="Z179" s="47"/>
      <c r="AA179" s="47"/>
      <c r="AB179" s="47"/>
      <c r="AC179" s="46"/>
      <c r="AD179" s="44">
        <f>IF(PA[[#This Row],[Acknowledgement Time ]]="NA","",(PA[[#This Row],[Acknowledgement Time ]]-PA[[#This Row],[Fault Time]])*24)</f>
        <v>0</v>
      </c>
      <c r="AE179" s="44">
        <f>IF(PA[[#This Row],[Work Start time on Fault]]="NA","",(PA[[#This Row],[Work Start time on Fault]]-PA[[#This Row],[Fault Time]])*24)</f>
        <v>0</v>
      </c>
      <c r="AF179" s="45">
        <f>IF(PA[[#This Row],[Status]]="Open","",(PA[[#This Row],[Work Completion time on fault]]-PA[[#This Row],[Fault Time]])*24)</f>
        <v>0</v>
      </c>
      <c r="AG179" s="44">
        <f>IFERROR((PA[[#This Row],[Work Completion time on fault]]-PA[[#This Row],[Fault Time]])*24,"")</f>
        <v>0</v>
      </c>
      <c r="AH179" s="282"/>
      <c r="AI179" s="33"/>
      <c r="AJ179" s="35" t="str">
        <f>IFERROR(PA[[#This Row],[Breakdown Time]]*PA[[#This Row],[Plant Equivalent Weightage]],"")</f>
        <v/>
      </c>
      <c r="AK179" s="36"/>
      <c r="AL179" s="51" t="str">
        <f>IFERROR((_xlfn.XLOOKUP($G179,'Modelling New'!D:D,'Modelling New'!$O:$O)*PA[[#This Row],[Lost PoA(kWh/m2)]]*PA[[#This Row],[DC Capacity Affected (kW)]]),"")</f>
        <v/>
      </c>
      <c r="AM179" s="33"/>
      <c r="AN179" s="33"/>
      <c r="AO179" s="33"/>
      <c r="AP179" s="33"/>
    </row>
    <row r="180" spans="1:42">
      <c r="A180" s="30">
        <f t="shared" si="0"/>
        <v>179</v>
      </c>
      <c r="B180" s="165"/>
      <c r="C180" s="32">
        <f>YEAR(PA[[#This Row],[Date]])+IF(MONTH(PA[[#This Row],[Date]])&gt;=4,1,0)</f>
        <v>1900</v>
      </c>
      <c r="D180" s="32">
        <f>YEAR(PA[[#This Row],[Date]])</f>
        <v>1900</v>
      </c>
      <c r="E180" s="33" t="s">
        <v>157</v>
      </c>
      <c r="F180" s="33" t="s">
        <v>157</v>
      </c>
      <c r="G180" s="194">
        <f>PA[[#This Row],[Date]]-DAY(PA[[#This Row],[Date]])+1</f>
        <v>1</v>
      </c>
      <c r="H180" s="202">
        <f>DAY(EOMONTH(PA[[#This Row],[Month Year]],0))</f>
        <v>31</v>
      </c>
      <c r="I180" s="203"/>
      <c r="J180" s="203"/>
      <c r="K180" s="35">
        <f>IFERROR((PA[[#This Row],[Sunset Time (POA&lt;20 W/m2)]]-PA[[#This Row],[Sunrise Time (POA&gt;20 W/m2)]])*24,"")</f>
        <v>0</v>
      </c>
      <c r="L180" s="37"/>
      <c r="M180" s="33"/>
      <c r="N180" s="33"/>
      <c r="O180" s="36"/>
      <c r="P180" s="36"/>
      <c r="Q180" s="37"/>
      <c r="R180" s="202">
        <f>IF((PA[[#This Row],[String Type(If String BD)]]&amp;PA[[#This Row],[Equipment (If any BD other than PV  array and inv)]])="",1,0)</f>
        <v>1</v>
      </c>
      <c r="S180" s="202">
        <f>IF(PA[[#This Row],[String Type(If String BD)]]="",1,0)</f>
        <v>1</v>
      </c>
      <c r="T18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0" s="204" t="str">
        <f>IFERROR(_xlfn.XLOOKUP(PA[[#This Row],[Affected Equipment ]],'Basic Data'!N:N,'Basic Data'!Q:Q),"")</f>
        <v/>
      </c>
      <c r="V180" s="208" t="str">
        <f>IFERROR(_xlfn.XLOOKUP(PA[[#This Row],[Affected Equipment ]],'Basic Data'!N:N,'Basic Data'!R:R),"")</f>
        <v/>
      </c>
      <c r="W180" s="38"/>
      <c r="X180" s="41"/>
      <c r="Y180" s="286"/>
      <c r="Z180" s="47"/>
      <c r="AA180" s="47"/>
      <c r="AB180" s="47"/>
      <c r="AC180" s="47"/>
      <c r="AD180" s="205">
        <f>IF(PA[[#This Row],[Acknowledgement Time ]]="NA","",(PA[[#This Row],[Acknowledgement Time ]]-PA[[#This Row],[Fault Time]])*24)</f>
        <v>0</v>
      </c>
      <c r="AE180" s="205">
        <f>IF(PA[[#This Row],[Work Start time on Fault]]="NA","",(PA[[#This Row],[Work Start time on Fault]]-PA[[#This Row],[Fault Time]])*24)</f>
        <v>0</v>
      </c>
      <c r="AF180" s="206">
        <f>IF(PA[[#This Row],[Status]]="Open","",(PA[[#This Row],[Work Completion time on fault]]-PA[[#This Row],[Fault Time]])*24)</f>
        <v>0</v>
      </c>
      <c r="AG180" s="205">
        <f>IFERROR((PA[[#This Row],[Work Completion time on fault]]-PA[[#This Row],[Fault Time]])*24,"")</f>
        <v>0</v>
      </c>
      <c r="AH180" s="282"/>
      <c r="AI180" s="33"/>
      <c r="AJ180" s="204" t="str">
        <f>IFERROR(PA[[#This Row],[Breakdown Time]]*PA[[#This Row],[Plant Equivalent Weightage]],"")</f>
        <v/>
      </c>
      <c r="AK180" s="38"/>
      <c r="AL180" s="51" t="str">
        <f>IFERROR((_xlfn.XLOOKUP($G180,'Modelling New'!D:D,'Modelling New'!$O:$O)*PA[[#This Row],[Lost PoA(kWh/m2)]]*PA[[#This Row],[DC Capacity Affected (kW)]]),"")</f>
        <v/>
      </c>
      <c r="AM180" s="33"/>
      <c r="AN180" s="33"/>
      <c r="AO180" s="33"/>
      <c r="AP180" s="33"/>
    </row>
    <row r="181" spans="1:42">
      <c r="A181" s="30">
        <f t="shared" si="0"/>
        <v>180</v>
      </c>
      <c r="B181" s="165"/>
      <c r="C181" s="32">
        <f>YEAR(PA[[#This Row],[Date]])+IF(MONTH(PA[[#This Row],[Date]])&gt;=4,1,0)</f>
        <v>1900</v>
      </c>
      <c r="D181" s="32">
        <f>YEAR(PA[[#This Row],[Date]])</f>
        <v>1900</v>
      </c>
      <c r="E181" s="33" t="s">
        <v>157</v>
      </c>
      <c r="F181" s="33" t="s">
        <v>157</v>
      </c>
      <c r="G181" s="194">
        <f>PA[[#This Row],[Date]]-DAY(PA[[#This Row],[Date]])+1</f>
        <v>1</v>
      </c>
      <c r="H181" s="32">
        <f>DAY(EOMONTH(PA[[#This Row],[Month Year]],0))</f>
        <v>31</v>
      </c>
      <c r="I181" s="203"/>
      <c r="J181" s="203"/>
      <c r="K181" s="35">
        <f>IFERROR((PA[[#This Row],[Sunset Time (POA&lt;20 W/m2)]]-PA[[#This Row],[Sunrise Time (POA&gt;20 W/m2)]])*24,"")</f>
        <v>0</v>
      </c>
      <c r="L181" s="37"/>
      <c r="M181" s="33"/>
      <c r="N181" s="33"/>
      <c r="O181" s="36"/>
      <c r="P181" s="36"/>
      <c r="Q181" s="33"/>
      <c r="R181" s="32">
        <f>IF((PA[[#This Row],[String Type(If String BD)]]&amp;PA[[#This Row],[Equipment (If any BD other than PV  array and inv)]])="",1,0)</f>
        <v>1</v>
      </c>
      <c r="S181" s="32">
        <f>IF(PA[[#This Row],[String Type(If String BD)]]="",1,0)</f>
        <v>1</v>
      </c>
      <c r="T1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1" s="35" t="str">
        <f>IFERROR(_xlfn.XLOOKUP(PA[[#This Row],[Affected Equipment ]],'Basic Data'!N:N,'Basic Data'!Q:Q),"")</f>
        <v/>
      </c>
      <c r="V181" s="207" t="str">
        <f>IFERROR(_xlfn.XLOOKUP(PA[[#This Row],[Affected Equipment ]],'Basic Data'!N:N,'Basic Data'!R:R),"")</f>
        <v/>
      </c>
      <c r="W181" s="36"/>
      <c r="X181" s="40"/>
      <c r="Y181" s="40"/>
      <c r="Z181" s="47"/>
      <c r="AA181" s="47"/>
      <c r="AB181" s="47"/>
      <c r="AC181" s="46"/>
      <c r="AD181" s="44">
        <f>IF(PA[[#This Row],[Acknowledgement Time ]]="NA","",(PA[[#This Row],[Acknowledgement Time ]]-PA[[#This Row],[Fault Time]])*24)</f>
        <v>0</v>
      </c>
      <c r="AE181" s="44">
        <f>IF(PA[[#This Row],[Work Start time on Fault]]="NA","",(PA[[#This Row],[Work Start time on Fault]]-PA[[#This Row],[Fault Time]])*24)</f>
        <v>0</v>
      </c>
      <c r="AF181" s="45">
        <f>IF(PA[[#This Row],[Status]]="Open","",(PA[[#This Row],[Work Completion time on fault]]-PA[[#This Row],[Fault Time]])*24)</f>
        <v>0</v>
      </c>
      <c r="AG181" s="44">
        <f>IFERROR((PA[[#This Row],[Work Completion time on fault]]-PA[[#This Row],[Fault Time]])*24,"")</f>
        <v>0</v>
      </c>
      <c r="AH181" s="282"/>
      <c r="AI181" s="33"/>
      <c r="AJ181" s="35" t="str">
        <f>IFERROR(PA[[#This Row],[Breakdown Time]]*PA[[#This Row],[Plant Equivalent Weightage]],"")</f>
        <v/>
      </c>
      <c r="AK181" s="36"/>
      <c r="AL181" s="51" t="str">
        <f>IFERROR((_xlfn.XLOOKUP($G181,'Modelling New'!D:D,'Modelling New'!$O:$O)*PA[[#This Row],[Lost PoA(kWh/m2)]]*PA[[#This Row],[DC Capacity Affected (kW)]]),"")</f>
        <v/>
      </c>
      <c r="AM181" s="33"/>
      <c r="AN181" s="33"/>
      <c r="AO181" s="33"/>
      <c r="AP181" s="33"/>
    </row>
    <row r="182" spans="1:42">
      <c r="A182" s="30">
        <f t="shared" si="0"/>
        <v>181</v>
      </c>
      <c r="B182" s="165"/>
      <c r="C182" s="32">
        <f>YEAR(PA[[#This Row],[Date]])+IF(MONTH(PA[[#This Row],[Date]])&gt;=4,1,0)</f>
        <v>1900</v>
      </c>
      <c r="D182" s="32">
        <f>YEAR(PA[[#This Row],[Date]])</f>
        <v>1900</v>
      </c>
      <c r="E182" s="33" t="s">
        <v>157</v>
      </c>
      <c r="F182" s="33" t="s">
        <v>157</v>
      </c>
      <c r="G182" s="194">
        <f>PA[[#This Row],[Date]]-DAY(PA[[#This Row],[Date]])+1</f>
        <v>1</v>
      </c>
      <c r="H182" s="32">
        <f>DAY(EOMONTH(PA[[#This Row],[Month Year]],0))</f>
        <v>31</v>
      </c>
      <c r="I182" s="34"/>
      <c r="J182" s="34"/>
      <c r="K182" s="35">
        <f>IFERROR((PA[[#This Row],[Sunset Time (POA&lt;20 W/m2)]]-PA[[#This Row],[Sunrise Time (POA&gt;20 W/m2)]])*24,"")</f>
        <v>0</v>
      </c>
      <c r="L182" s="33"/>
      <c r="M182" s="33"/>
      <c r="N182" s="33"/>
      <c r="O182" s="36"/>
      <c r="P182" s="36"/>
      <c r="Q182" s="33"/>
      <c r="R182" s="32">
        <f>IF((PA[[#This Row],[String Type(If String BD)]]&amp;PA[[#This Row],[Equipment (If any BD other than PV  array and inv)]])="",1,0)</f>
        <v>1</v>
      </c>
      <c r="S182" s="32">
        <f>IF(PA[[#This Row],[String Type(If String BD)]]="",1,0)</f>
        <v>1</v>
      </c>
      <c r="T1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2" s="35" t="str">
        <f>IFERROR(_xlfn.XLOOKUP(PA[[#This Row],[Affected Equipment ]],'Basic Data'!N:N,'Basic Data'!Q:Q),"")</f>
        <v/>
      </c>
      <c r="V182" s="207" t="str">
        <f>IFERROR(_xlfn.XLOOKUP(PA[[#This Row],[Affected Equipment ]],'Basic Data'!N:N,'Basic Data'!R:R),"")</f>
        <v/>
      </c>
      <c r="W182" s="36"/>
      <c r="X182" s="40"/>
      <c r="Y182" s="286"/>
      <c r="Z182" s="46"/>
      <c r="AA182" s="46"/>
      <c r="AB182" s="46"/>
      <c r="AC182" s="46"/>
      <c r="AD182" s="44">
        <f>IF(PA[[#This Row],[Acknowledgement Time ]]="NA","",(PA[[#This Row],[Acknowledgement Time ]]-PA[[#This Row],[Fault Time]])*24)</f>
        <v>0</v>
      </c>
      <c r="AE182" s="44">
        <f>IF(PA[[#This Row],[Work Start time on Fault]]="NA","",(PA[[#This Row],[Work Start time on Fault]]-PA[[#This Row],[Fault Time]])*24)</f>
        <v>0</v>
      </c>
      <c r="AF182" s="45">
        <f>IF(PA[[#This Row],[Status]]="Open","",(PA[[#This Row],[Work Completion time on fault]]-PA[[#This Row],[Fault Time]])*24)</f>
        <v>0</v>
      </c>
      <c r="AG182" s="44">
        <f>IFERROR((PA[[#This Row],[Work Completion time on fault]]-PA[[#This Row],[Fault Time]])*24,"")</f>
        <v>0</v>
      </c>
      <c r="AH182" s="282"/>
      <c r="AI182" s="33"/>
      <c r="AJ182" s="35" t="str">
        <f>IFERROR(PA[[#This Row],[Breakdown Time]]*PA[[#This Row],[Plant Equivalent Weightage]],"")</f>
        <v/>
      </c>
      <c r="AK182" s="36"/>
      <c r="AL182" s="51" t="str">
        <f>IFERROR((_xlfn.XLOOKUP($G182,'Modelling New'!D:D,'Modelling New'!$O:$O)*PA[[#This Row],[Lost PoA(kWh/m2)]]*PA[[#This Row],[DC Capacity Affected (kW)]]),"")</f>
        <v/>
      </c>
      <c r="AM182" s="33"/>
      <c r="AN182" s="33"/>
      <c r="AO182" s="33"/>
      <c r="AP182" s="33"/>
    </row>
    <row r="183" spans="1:42">
      <c r="A183" s="30">
        <f t="shared" si="0"/>
        <v>182</v>
      </c>
      <c r="B183" s="165"/>
      <c r="C183" s="32">
        <f>YEAR(PA[[#This Row],[Date]])+IF(MONTH(PA[[#This Row],[Date]])&gt;=4,1,0)</f>
        <v>1900</v>
      </c>
      <c r="D183" s="32">
        <f>YEAR(PA[[#This Row],[Date]])</f>
        <v>1900</v>
      </c>
      <c r="E183" s="33" t="s">
        <v>157</v>
      </c>
      <c r="F183" s="33" t="s">
        <v>157</v>
      </c>
      <c r="G183" s="194">
        <f>PA[[#This Row],[Date]]-DAY(PA[[#This Row],[Date]])+1</f>
        <v>1</v>
      </c>
      <c r="H183" s="32">
        <f>DAY(EOMONTH(PA[[#This Row],[Month Year]],0))</f>
        <v>31</v>
      </c>
      <c r="I183" s="34"/>
      <c r="J183" s="34"/>
      <c r="K183" s="35">
        <f>IFERROR((PA[[#This Row],[Sunset Time (POA&lt;20 W/m2)]]-PA[[#This Row],[Sunrise Time (POA&gt;20 W/m2)]])*24,"")</f>
        <v>0</v>
      </c>
      <c r="L183" s="33"/>
      <c r="M183" s="33"/>
      <c r="N183" s="33"/>
      <c r="O183" s="36"/>
      <c r="P183" s="36"/>
      <c r="Q183" s="33"/>
      <c r="R183" s="32">
        <f>IF((PA[[#This Row],[String Type(If String BD)]]&amp;PA[[#This Row],[Equipment (If any BD other than PV  array and inv)]])="",1,0)</f>
        <v>1</v>
      </c>
      <c r="S183" s="32">
        <f>IF(PA[[#This Row],[String Type(If String BD)]]="",1,0)</f>
        <v>1</v>
      </c>
      <c r="T1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3" s="35" t="str">
        <f>IFERROR(_xlfn.XLOOKUP(PA[[#This Row],[Affected Equipment ]],'Basic Data'!N:N,'Basic Data'!Q:Q),"")</f>
        <v/>
      </c>
      <c r="V183" s="207" t="str">
        <f>IFERROR(_xlfn.XLOOKUP(PA[[#This Row],[Affected Equipment ]],'Basic Data'!N:N,'Basic Data'!R:R),"")</f>
        <v/>
      </c>
      <c r="W183" s="36"/>
      <c r="X183" s="40"/>
      <c r="Y183" s="286"/>
      <c r="Z183" s="46"/>
      <c r="AA183" s="46"/>
      <c r="AB183" s="46"/>
      <c r="AC183" s="46"/>
      <c r="AD183" s="44">
        <f>IF(PA[[#This Row],[Acknowledgement Time ]]="NA","",(PA[[#This Row],[Acknowledgement Time ]]-PA[[#This Row],[Fault Time]])*24)</f>
        <v>0</v>
      </c>
      <c r="AE183" s="44">
        <f>IF(PA[[#This Row],[Work Start time on Fault]]="NA","",(PA[[#This Row],[Work Start time on Fault]]-PA[[#This Row],[Fault Time]])*24)</f>
        <v>0</v>
      </c>
      <c r="AF183" s="45">
        <f>IF(PA[[#This Row],[Status]]="Open","",(PA[[#This Row],[Work Completion time on fault]]-PA[[#This Row],[Fault Time]])*24)</f>
        <v>0</v>
      </c>
      <c r="AG183" s="44">
        <f>IFERROR((PA[[#This Row],[Work Completion time on fault]]-PA[[#This Row],[Fault Time]])*24,"")</f>
        <v>0</v>
      </c>
      <c r="AH183" s="282"/>
      <c r="AI183" s="37"/>
      <c r="AJ183" s="35" t="str">
        <f>IFERROR(PA[[#This Row],[Breakdown Time]]*PA[[#This Row],[Plant Equivalent Weightage]],"")</f>
        <v/>
      </c>
      <c r="AK183" s="36"/>
      <c r="AL183" s="51" t="str">
        <f>IFERROR((_xlfn.XLOOKUP($G183,'Modelling New'!D:D,'Modelling New'!$O:$O)*PA[[#This Row],[Lost PoA(kWh/m2)]]*PA[[#This Row],[DC Capacity Affected (kW)]]),"")</f>
        <v/>
      </c>
      <c r="AM183" s="37"/>
      <c r="AN183" s="37"/>
      <c r="AO183" s="37"/>
      <c r="AP183" s="37"/>
    </row>
    <row r="184" spans="1:42">
      <c r="A184" s="30">
        <f t="shared" si="0"/>
        <v>183</v>
      </c>
      <c r="B184" s="165"/>
      <c r="C184" s="32">
        <f>YEAR(PA[[#This Row],[Date]])+IF(MONTH(PA[[#This Row],[Date]])&gt;=4,1,0)</f>
        <v>1900</v>
      </c>
      <c r="D184" s="32">
        <f>YEAR(PA[[#This Row],[Date]])</f>
        <v>1900</v>
      </c>
      <c r="E184" s="33" t="s">
        <v>157</v>
      </c>
      <c r="F184" s="33" t="s">
        <v>157</v>
      </c>
      <c r="G184" s="194">
        <f>PA[[#This Row],[Date]]-DAY(PA[[#This Row],[Date]])+1</f>
        <v>1</v>
      </c>
      <c r="H184" s="32">
        <f>DAY(EOMONTH(PA[[#This Row],[Month Year]],0))</f>
        <v>31</v>
      </c>
      <c r="I184" s="34"/>
      <c r="J184" s="34"/>
      <c r="K184" s="35">
        <f>IFERROR((PA[[#This Row],[Sunset Time (POA&lt;20 W/m2)]]-PA[[#This Row],[Sunrise Time (POA&gt;20 W/m2)]])*24,"")</f>
        <v>0</v>
      </c>
      <c r="L184" s="33"/>
      <c r="M184" s="33"/>
      <c r="N184" s="33"/>
      <c r="O184" s="36"/>
      <c r="P184" s="36"/>
      <c r="Q184" s="33"/>
      <c r="R184" s="32">
        <f>IF((PA[[#This Row],[String Type(If String BD)]]&amp;PA[[#This Row],[Equipment (If any BD other than PV  array and inv)]])="",1,0)</f>
        <v>1</v>
      </c>
      <c r="S184" s="32">
        <f>IF(PA[[#This Row],[String Type(If String BD)]]="",1,0)</f>
        <v>1</v>
      </c>
      <c r="T1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4" s="35" t="str">
        <f>IFERROR(_xlfn.XLOOKUP(PA[[#This Row],[Affected Equipment ]],'Basic Data'!N:N,'Basic Data'!Q:Q),"")</f>
        <v/>
      </c>
      <c r="V184" s="207" t="str">
        <f>IFERROR(_xlfn.XLOOKUP(PA[[#This Row],[Affected Equipment ]],'Basic Data'!N:N,'Basic Data'!R:R),"")</f>
        <v/>
      </c>
      <c r="W184" s="36"/>
      <c r="X184" s="40"/>
      <c r="Y184" s="40"/>
      <c r="Z184" s="46"/>
      <c r="AA184" s="46"/>
      <c r="AB184" s="46"/>
      <c r="AC184" s="46"/>
      <c r="AD184" s="44">
        <f>IF(PA[[#This Row],[Acknowledgement Time ]]="NA","",(PA[[#This Row],[Acknowledgement Time ]]-PA[[#This Row],[Fault Time]])*24)</f>
        <v>0</v>
      </c>
      <c r="AE184" s="44">
        <f>IF(PA[[#This Row],[Work Start time on Fault]]="NA","",(PA[[#This Row],[Work Start time on Fault]]-PA[[#This Row],[Fault Time]])*24)</f>
        <v>0</v>
      </c>
      <c r="AF184" s="45">
        <f>IF(PA[[#This Row],[Status]]="Open","",(PA[[#This Row],[Work Completion time on fault]]-PA[[#This Row],[Fault Time]])*24)</f>
        <v>0</v>
      </c>
      <c r="AG184" s="44">
        <f>IFERROR((PA[[#This Row],[Work Completion time on fault]]-PA[[#This Row],[Fault Time]])*24,"")</f>
        <v>0</v>
      </c>
      <c r="AH184" s="282"/>
      <c r="AI184" s="33"/>
      <c r="AJ184" s="35" t="str">
        <f>IFERROR(PA[[#This Row],[Breakdown Time]]*PA[[#This Row],[Plant Equivalent Weightage]],"")</f>
        <v/>
      </c>
      <c r="AK184" s="36"/>
      <c r="AL184" s="51" t="str">
        <f>IFERROR((_xlfn.XLOOKUP($G184,'Modelling New'!D:D,'Modelling New'!$O:$O)*PA[[#This Row],[Lost PoA(kWh/m2)]]*PA[[#This Row],[DC Capacity Affected (kW)]]),"")</f>
        <v/>
      </c>
      <c r="AM184" s="33"/>
      <c r="AN184" s="33"/>
      <c r="AO184" s="33"/>
      <c r="AP184" s="33"/>
    </row>
    <row r="185" spans="1:42">
      <c r="A185" s="30">
        <f t="shared" si="0"/>
        <v>184</v>
      </c>
      <c r="B185" s="165"/>
      <c r="C185" s="32">
        <f>YEAR(PA[[#This Row],[Date]])+IF(MONTH(PA[[#This Row],[Date]])&gt;=4,1,0)</f>
        <v>1900</v>
      </c>
      <c r="D185" s="32">
        <f>YEAR(PA[[#This Row],[Date]])</f>
        <v>1900</v>
      </c>
      <c r="E185" s="33" t="s">
        <v>157</v>
      </c>
      <c r="F185" s="33" t="s">
        <v>157</v>
      </c>
      <c r="G185" s="194">
        <f>PA[[#This Row],[Date]]-DAY(PA[[#This Row],[Date]])+1</f>
        <v>1</v>
      </c>
      <c r="H185" s="202">
        <f>DAY(EOMONTH(PA[[#This Row],[Month Year]],0))</f>
        <v>31</v>
      </c>
      <c r="I185" s="203"/>
      <c r="J185" s="203"/>
      <c r="K185" s="35">
        <f>IFERROR((PA[[#This Row],[Sunset Time (POA&lt;20 W/m2)]]-PA[[#This Row],[Sunrise Time (POA&gt;20 W/m2)]])*24,"")</f>
        <v>0</v>
      </c>
      <c r="L185" s="37"/>
      <c r="M185" s="33"/>
      <c r="N185" s="33"/>
      <c r="O185" s="36"/>
      <c r="P185" s="38"/>
      <c r="Q185" s="37"/>
      <c r="R185" s="202">
        <f>IF((PA[[#This Row],[String Type(If String BD)]]&amp;PA[[#This Row],[Equipment (If any BD other than PV  array and inv)]])="",1,0)</f>
        <v>1</v>
      </c>
      <c r="S185" s="202">
        <f>IF(PA[[#This Row],[String Type(If String BD)]]="",1,0)</f>
        <v>1</v>
      </c>
      <c r="T18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5" s="204" t="str">
        <f>IFERROR(_xlfn.XLOOKUP(PA[[#This Row],[Affected Equipment ]],'Basic Data'!N:N,'Basic Data'!Q:Q),"")</f>
        <v/>
      </c>
      <c r="V185" s="208" t="str">
        <f>IFERROR(_xlfn.XLOOKUP(PA[[#This Row],[Affected Equipment ]],'Basic Data'!N:N,'Basic Data'!R:R),"")</f>
        <v/>
      </c>
      <c r="W185" s="38"/>
      <c r="X185" s="41"/>
      <c r="Y185" s="41"/>
      <c r="Z185" s="47"/>
      <c r="AA185" s="47"/>
      <c r="AB185" s="47"/>
      <c r="AC185" s="48"/>
      <c r="AD185" s="205">
        <f>IF(PA[[#This Row],[Acknowledgement Time ]]="NA","",(PA[[#This Row],[Acknowledgement Time ]]-PA[[#This Row],[Fault Time]])*24)</f>
        <v>0</v>
      </c>
      <c r="AE185" s="205">
        <f>IF(PA[[#This Row],[Work Start time on Fault]]="NA","",(PA[[#This Row],[Work Start time on Fault]]-PA[[#This Row],[Fault Time]])*24)</f>
        <v>0</v>
      </c>
      <c r="AF185" s="206">
        <f>IF(PA[[#This Row],[Status]]="Open","",(PA[[#This Row],[Work Completion time on fault]]-PA[[#This Row],[Fault Time]])*24)</f>
        <v>0</v>
      </c>
      <c r="AG185" s="205">
        <f>IFERROR((PA[[#This Row],[Work Completion time on fault]]-PA[[#This Row],[Fault Time]])*24,"")</f>
        <v>0</v>
      </c>
      <c r="AH185" s="38"/>
      <c r="AI185" s="33"/>
      <c r="AJ185" s="204" t="str">
        <f>IFERROR(PA[[#This Row],[Breakdown Time]]*PA[[#This Row],[Plant Equivalent Weightage]],"")</f>
        <v/>
      </c>
      <c r="AK185" s="38"/>
      <c r="AL185" s="51" t="str">
        <f>IFERROR((_xlfn.XLOOKUP($G185,'Modelling New'!D:D,'Modelling New'!$O:$O)*PA[[#This Row],[Lost PoA(kWh/m2)]]*PA[[#This Row],[DC Capacity Affected (kW)]]),"")</f>
        <v/>
      </c>
      <c r="AM185" s="33"/>
      <c r="AN185" s="33"/>
      <c r="AO185" s="33"/>
      <c r="AP185" s="33"/>
    </row>
    <row r="186" spans="1:42">
      <c r="A186" s="30">
        <f t="shared" si="0"/>
        <v>185</v>
      </c>
      <c r="B186" s="165"/>
      <c r="C186" s="32">
        <f>YEAR(PA[[#This Row],[Date]])+IF(MONTH(PA[[#This Row],[Date]])&gt;=4,1,0)</f>
        <v>1900</v>
      </c>
      <c r="D186" s="32">
        <f>YEAR(PA[[#This Row],[Date]])</f>
        <v>1900</v>
      </c>
      <c r="E186" s="33" t="s">
        <v>157</v>
      </c>
      <c r="F186" s="33" t="s">
        <v>157</v>
      </c>
      <c r="G186" s="194">
        <f>PA[[#This Row],[Date]]-DAY(PA[[#This Row],[Date]])+1</f>
        <v>1</v>
      </c>
      <c r="H186" s="202">
        <f>DAY(EOMONTH(PA[[#This Row],[Month Year]],0))</f>
        <v>31</v>
      </c>
      <c r="I186" s="203"/>
      <c r="J186" s="203"/>
      <c r="K186" s="35">
        <f>IFERROR((PA[[#This Row],[Sunset Time (POA&lt;20 W/m2)]]-PA[[#This Row],[Sunrise Time (POA&gt;20 W/m2)]])*24,"")</f>
        <v>0</v>
      </c>
      <c r="L186" s="37"/>
      <c r="M186" s="33"/>
      <c r="N186" s="33"/>
      <c r="O186" s="36"/>
      <c r="P186" s="38"/>
      <c r="Q186" s="37"/>
      <c r="R186" s="202">
        <f>IF((PA[[#This Row],[String Type(If String BD)]]&amp;PA[[#This Row],[Equipment (If any BD other than PV  array and inv)]])="",1,0)</f>
        <v>1</v>
      </c>
      <c r="S186" s="202">
        <f>IF(PA[[#This Row],[String Type(If String BD)]]="",1,0)</f>
        <v>1</v>
      </c>
      <c r="T18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6" s="204" t="str">
        <f>IFERROR(_xlfn.XLOOKUP(PA[[#This Row],[Affected Equipment ]],'Basic Data'!N:N,'Basic Data'!Q:Q),"")</f>
        <v/>
      </c>
      <c r="V186" s="208" t="str">
        <f>IFERROR(_xlfn.XLOOKUP(PA[[#This Row],[Affected Equipment ]],'Basic Data'!N:N,'Basic Data'!R:R),"")</f>
        <v/>
      </c>
      <c r="W186" s="38"/>
      <c r="X186" s="41"/>
      <c r="Y186" s="286"/>
      <c r="Z186" s="47"/>
      <c r="AA186" s="47"/>
      <c r="AB186" s="47"/>
      <c r="AC186" s="47"/>
      <c r="AD186" s="205">
        <f>IF(PA[[#This Row],[Acknowledgement Time ]]="NA","",(PA[[#This Row],[Acknowledgement Time ]]-PA[[#This Row],[Fault Time]])*24)</f>
        <v>0</v>
      </c>
      <c r="AE186" s="205">
        <f>IF(PA[[#This Row],[Work Start time on Fault]]="NA","",(PA[[#This Row],[Work Start time on Fault]]-PA[[#This Row],[Fault Time]])*24)</f>
        <v>0</v>
      </c>
      <c r="AF186" s="206">
        <f>IF(PA[[#This Row],[Status]]="Open","",(PA[[#This Row],[Work Completion time on fault]]-PA[[#This Row],[Fault Time]])*24)</f>
        <v>0</v>
      </c>
      <c r="AG186" s="205">
        <f>IFERROR((PA[[#This Row],[Work Completion time on fault]]-PA[[#This Row],[Fault Time]])*24,"")</f>
        <v>0</v>
      </c>
      <c r="AH186" s="38"/>
      <c r="AI186" s="33"/>
      <c r="AJ186" s="204" t="str">
        <f>IFERROR(PA[[#This Row],[Breakdown Time]]*PA[[#This Row],[Plant Equivalent Weightage]],"")</f>
        <v/>
      </c>
      <c r="AK186" s="38"/>
      <c r="AL186" s="51" t="str">
        <f>IFERROR((_xlfn.XLOOKUP($G186,'Modelling New'!D:D,'Modelling New'!$O:$O)*PA[[#This Row],[Lost PoA(kWh/m2)]]*PA[[#This Row],[DC Capacity Affected (kW)]]),"")</f>
        <v/>
      </c>
      <c r="AM186" s="33"/>
      <c r="AN186" s="33"/>
      <c r="AO186" s="33"/>
      <c r="AP186" s="33"/>
    </row>
    <row r="187" spans="1:42">
      <c r="A187" s="30">
        <f t="shared" si="0"/>
        <v>186</v>
      </c>
      <c r="B187" s="165"/>
      <c r="C187" s="32">
        <f>YEAR(PA[[#This Row],[Date]])+IF(MONTH(PA[[#This Row],[Date]])&gt;=4,1,0)</f>
        <v>1900</v>
      </c>
      <c r="D187" s="32">
        <f>YEAR(PA[[#This Row],[Date]])</f>
        <v>1900</v>
      </c>
      <c r="E187" s="33" t="s">
        <v>157</v>
      </c>
      <c r="F187" s="33" t="s">
        <v>157</v>
      </c>
      <c r="G187" s="194">
        <f>PA[[#This Row],[Date]]-DAY(PA[[#This Row],[Date]])+1</f>
        <v>1</v>
      </c>
      <c r="H187" s="202">
        <f>DAY(EOMONTH(PA[[#This Row],[Month Year]],0))</f>
        <v>31</v>
      </c>
      <c r="I187" s="203"/>
      <c r="J187" s="203"/>
      <c r="K187" s="35">
        <f>IFERROR((PA[[#This Row],[Sunset Time (POA&lt;20 W/m2)]]-PA[[#This Row],[Sunrise Time (POA&gt;20 W/m2)]])*24,"")</f>
        <v>0</v>
      </c>
      <c r="L187" s="37"/>
      <c r="M187" s="37"/>
      <c r="N187" s="33"/>
      <c r="O187" s="36"/>
      <c r="P187" s="36"/>
      <c r="Q187" s="37"/>
      <c r="R187" s="202">
        <f>IF((PA[[#This Row],[String Type(If String BD)]]&amp;PA[[#This Row],[Equipment (If any BD other than PV  array and inv)]])="",1,0)</f>
        <v>1</v>
      </c>
      <c r="S187" s="202">
        <f>IF(PA[[#This Row],[String Type(If String BD)]]="",1,0)</f>
        <v>1</v>
      </c>
      <c r="T18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7" s="204" t="str">
        <f>IFERROR(_xlfn.XLOOKUP(PA[[#This Row],[Affected Equipment ]],'Basic Data'!N:N,'Basic Data'!Q:Q),"")</f>
        <v/>
      </c>
      <c r="V187" s="208" t="str">
        <f>IFERROR(_xlfn.XLOOKUP(PA[[#This Row],[Affected Equipment ]],'Basic Data'!N:N,'Basic Data'!R:R),"")</f>
        <v/>
      </c>
      <c r="W187" s="38"/>
      <c r="X187" s="41"/>
      <c r="Y187" s="283"/>
      <c r="Z187" s="47"/>
      <c r="AA187" s="47"/>
      <c r="AB187" s="47"/>
      <c r="AC187" s="47"/>
      <c r="AD187" s="205">
        <f>IF(PA[[#This Row],[Acknowledgement Time ]]="NA","",(PA[[#This Row],[Acknowledgement Time ]]-PA[[#This Row],[Fault Time]])*24)</f>
        <v>0</v>
      </c>
      <c r="AE187" s="205">
        <f>IF(PA[[#This Row],[Work Start time on Fault]]="NA","",(PA[[#This Row],[Work Start time on Fault]]-PA[[#This Row],[Fault Time]])*24)</f>
        <v>0</v>
      </c>
      <c r="AF187" s="206">
        <f>IF(PA[[#This Row],[Status]]="Open","",(PA[[#This Row],[Work Completion time on fault]]-PA[[#This Row],[Fault Time]])*24)</f>
        <v>0</v>
      </c>
      <c r="AG187" s="205">
        <f>IFERROR((PA[[#This Row],[Work Completion time on fault]]-PA[[#This Row],[Fault Time]])*24,"")</f>
        <v>0</v>
      </c>
      <c r="AH187" s="282"/>
      <c r="AI187" s="33"/>
      <c r="AJ187" s="204" t="str">
        <f>IFERROR(PA[[#This Row],[Breakdown Time]]*PA[[#This Row],[Plant Equivalent Weightage]],"")</f>
        <v/>
      </c>
      <c r="AK187" s="38"/>
      <c r="AL187" s="51" t="str">
        <f>IFERROR((_xlfn.XLOOKUP($G187,'Modelling New'!D:D,'Modelling New'!$O:$O)*PA[[#This Row],[Lost PoA(kWh/m2)]]*PA[[#This Row],[DC Capacity Affected (kW)]]),"")</f>
        <v/>
      </c>
      <c r="AM187" s="33"/>
      <c r="AN187" s="33"/>
      <c r="AO187" s="33"/>
      <c r="AP187" s="33"/>
    </row>
    <row r="188" spans="1:42">
      <c r="A188" s="30">
        <f t="shared" si="0"/>
        <v>187</v>
      </c>
      <c r="B188" s="165"/>
      <c r="C188" s="32">
        <f>YEAR(PA[[#This Row],[Date]])+IF(MONTH(PA[[#This Row],[Date]])&gt;=4,1,0)</f>
        <v>1900</v>
      </c>
      <c r="D188" s="32">
        <f>YEAR(PA[[#This Row],[Date]])</f>
        <v>1900</v>
      </c>
      <c r="E188" s="33" t="s">
        <v>157</v>
      </c>
      <c r="F188" s="33" t="s">
        <v>157</v>
      </c>
      <c r="G188" s="194">
        <f>PA[[#This Row],[Date]]-DAY(PA[[#This Row],[Date]])+1</f>
        <v>1</v>
      </c>
      <c r="H188" s="202">
        <f>DAY(EOMONTH(PA[[#This Row],[Month Year]],0))</f>
        <v>31</v>
      </c>
      <c r="I188" s="203"/>
      <c r="J188" s="203"/>
      <c r="K188" s="35">
        <f>IFERROR((PA[[#This Row],[Sunset Time (POA&lt;20 W/m2)]]-PA[[#This Row],[Sunrise Time (POA&gt;20 W/m2)]])*24,"")</f>
        <v>0</v>
      </c>
      <c r="L188" s="37"/>
      <c r="M188" s="37"/>
      <c r="N188" s="33"/>
      <c r="O188" s="36"/>
      <c r="P188" s="38"/>
      <c r="Q188" s="37"/>
      <c r="R188" s="202">
        <f>IF((PA[[#This Row],[String Type(If String BD)]]&amp;PA[[#This Row],[Equipment (If any BD other than PV  array and inv)]])="",1,0)</f>
        <v>1</v>
      </c>
      <c r="S188" s="202">
        <f>IF(PA[[#This Row],[String Type(If String BD)]]="",1,0)</f>
        <v>1</v>
      </c>
      <c r="T18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8" s="204" t="str">
        <f>IFERROR(_xlfn.XLOOKUP(PA[[#This Row],[Affected Equipment ]],'Basic Data'!N:N,'Basic Data'!Q:Q),"")</f>
        <v/>
      </c>
      <c r="V188" s="208" t="str">
        <f>IFERROR(_xlfn.XLOOKUP(PA[[#This Row],[Affected Equipment ]],'Basic Data'!N:N,'Basic Data'!R:R),"")</f>
        <v/>
      </c>
      <c r="W188" s="38"/>
      <c r="X188" s="41"/>
      <c r="Y188" s="40"/>
      <c r="Z188" s="47"/>
      <c r="AA188" s="47"/>
      <c r="AB188" s="47"/>
      <c r="AC188" s="47"/>
      <c r="AD188" s="205">
        <f>IF(PA[[#This Row],[Acknowledgement Time ]]="NA","",(PA[[#This Row],[Acknowledgement Time ]]-PA[[#This Row],[Fault Time]])*24)</f>
        <v>0</v>
      </c>
      <c r="AE188" s="205">
        <f>IF(PA[[#This Row],[Work Start time on Fault]]="NA","",(PA[[#This Row],[Work Start time on Fault]]-PA[[#This Row],[Fault Time]])*24)</f>
        <v>0</v>
      </c>
      <c r="AF188" s="206">
        <f>IF(PA[[#This Row],[Status]]="Open","",(PA[[#This Row],[Work Completion time on fault]]-PA[[#This Row],[Fault Time]])*24)</f>
        <v>0</v>
      </c>
      <c r="AG188" s="205">
        <f>IFERROR((PA[[#This Row],[Work Completion time on fault]]-PA[[#This Row],[Fault Time]])*24,"")</f>
        <v>0</v>
      </c>
      <c r="AH188" s="282"/>
      <c r="AI188" s="33"/>
      <c r="AJ188" s="204" t="str">
        <f>IFERROR(PA[[#This Row],[Breakdown Time]]*PA[[#This Row],[Plant Equivalent Weightage]],"")</f>
        <v/>
      </c>
      <c r="AK188" s="38"/>
      <c r="AL188" s="51" t="str">
        <f>IFERROR((_xlfn.XLOOKUP($G188,'Modelling New'!D:D,'Modelling New'!$O:$O)*PA[[#This Row],[Lost PoA(kWh/m2)]]*PA[[#This Row],[DC Capacity Affected (kW)]]),"")</f>
        <v/>
      </c>
      <c r="AM188" s="33"/>
      <c r="AN188" s="33"/>
      <c r="AO188" s="33"/>
      <c r="AP188" s="33"/>
    </row>
    <row r="189" spans="1:42">
      <c r="A189" s="30">
        <f t="shared" si="0"/>
        <v>188</v>
      </c>
      <c r="B189" s="165"/>
      <c r="C189" s="32">
        <f>YEAR(PA[[#This Row],[Date]])+IF(MONTH(PA[[#This Row],[Date]])&gt;=4,1,0)</f>
        <v>1900</v>
      </c>
      <c r="D189" s="32">
        <f>YEAR(PA[[#This Row],[Date]])</f>
        <v>1900</v>
      </c>
      <c r="E189" s="33" t="s">
        <v>157</v>
      </c>
      <c r="F189" s="33" t="s">
        <v>157</v>
      </c>
      <c r="G189" s="194">
        <f>PA[[#This Row],[Date]]-DAY(PA[[#This Row],[Date]])+1</f>
        <v>1</v>
      </c>
      <c r="H189" s="32">
        <f>DAY(EOMONTH(PA[[#This Row],[Month Year]],0))</f>
        <v>31</v>
      </c>
      <c r="I189" s="203"/>
      <c r="J189" s="203"/>
      <c r="K189" s="35">
        <f>IFERROR((PA[[#This Row],[Sunset Time (POA&lt;20 W/m2)]]-PA[[#This Row],[Sunrise Time (POA&gt;20 W/m2)]])*24,"")</f>
        <v>0</v>
      </c>
      <c r="L189" s="37"/>
      <c r="M189" s="37"/>
      <c r="N189" s="33"/>
      <c r="O189" s="36"/>
      <c r="P189" s="36"/>
      <c r="Q189" s="33"/>
      <c r="R189" s="32">
        <f>IF((PA[[#This Row],[String Type(If String BD)]]&amp;PA[[#This Row],[Equipment (If any BD other than PV  array and inv)]])="",1,0)</f>
        <v>1</v>
      </c>
      <c r="S189" s="32">
        <f>IF(PA[[#This Row],[String Type(If String BD)]]="",1,0)</f>
        <v>1</v>
      </c>
      <c r="T1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89" s="35" t="str">
        <f>IFERROR(_xlfn.XLOOKUP(PA[[#This Row],[Affected Equipment ]],'Basic Data'!N:N,'Basic Data'!Q:Q),"")</f>
        <v/>
      </c>
      <c r="V189" s="207" t="str">
        <f>IFERROR(_xlfn.XLOOKUP(PA[[#This Row],[Affected Equipment ]],'Basic Data'!N:N,'Basic Data'!R:R),"")</f>
        <v/>
      </c>
      <c r="W189" s="36"/>
      <c r="X189" s="40"/>
      <c r="Y189" s="286"/>
      <c r="Z189" s="46"/>
      <c r="AA189" s="46"/>
      <c r="AB189" s="46"/>
      <c r="AC189" s="46"/>
      <c r="AD189" s="44">
        <f>IF(PA[[#This Row],[Acknowledgement Time ]]="NA","",(PA[[#This Row],[Acknowledgement Time ]]-PA[[#This Row],[Fault Time]])*24)</f>
        <v>0</v>
      </c>
      <c r="AE189" s="44">
        <f>IF(PA[[#This Row],[Work Start time on Fault]]="NA","",(PA[[#This Row],[Work Start time on Fault]]-PA[[#This Row],[Fault Time]])*24)</f>
        <v>0</v>
      </c>
      <c r="AF189" s="45">
        <f>IF(PA[[#This Row],[Status]]="Open","",(PA[[#This Row],[Work Completion time on fault]]-PA[[#This Row],[Fault Time]])*24)</f>
        <v>0</v>
      </c>
      <c r="AG189" s="44">
        <f>IFERROR((PA[[#This Row],[Work Completion time on fault]]-PA[[#This Row],[Fault Time]])*24,"")</f>
        <v>0</v>
      </c>
      <c r="AH189" s="36"/>
      <c r="AI189" s="33"/>
      <c r="AJ189" s="35" t="str">
        <f>IFERROR(PA[[#This Row],[Breakdown Time]]*PA[[#This Row],[Plant Equivalent Weightage]],"")</f>
        <v/>
      </c>
      <c r="AK189" s="36"/>
      <c r="AL189" s="51" t="str">
        <f>IFERROR((_xlfn.XLOOKUP($G189,'Modelling New'!D:D,'Modelling New'!$O:$O)*PA[[#This Row],[Lost PoA(kWh/m2)]]*PA[[#This Row],[DC Capacity Affected (kW)]]),"")</f>
        <v/>
      </c>
      <c r="AM189" s="33"/>
      <c r="AN189" s="33"/>
      <c r="AO189" s="33"/>
      <c r="AP189" s="33"/>
    </row>
    <row r="190" spans="1:42">
      <c r="A190" s="30">
        <f t="shared" si="0"/>
        <v>189</v>
      </c>
      <c r="B190" s="165"/>
      <c r="C190" s="32">
        <f>YEAR(PA[[#This Row],[Date]])+IF(MONTH(PA[[#This Row],[Date]])&gt;=4,1,0)</f>
        <v>1900</v>
      </c>
      <c r="D190" s="32">
        <f>YEAR(PA[[#This Row],[Date]])</f>
        <v>1900</v>
      </c>
      <c r="E190" s="33" t="s">
        <v>157</v>
      </c>
      <c r="F190" s="33" t="s">
        <v>157</v>
      </c>
      <c r="G190" s="194">
        <f>PA[[#This Row],[Date]]-DAY(PA[[#This Row],[Date]])+1</f>
        <v>1</v>
      </c>
      <c r="H190" s="32">
        <f>DAY(EOMONTH(PA[[#This Row],[Month Year]],0))</f>
        <v>31</v>
      </c>
      <c r="I190" s="203"/>
      <c r="J190" s="203"/>
      <c r="K190" s="35">
        <f>IFERROR((PA[[#This Row],[Sunset Time (POA&lt;20 W/m2)]]-PA[[#This Row],[Sunrise Time (POA&gt;20 W/m2)]])*24,"")</f>
        <v>0</v>
      </c>
      <c r="L190" s="37"/>
      <c r="M190" s="37"/>
      <c r="N190" s="33"/>
      <c r="O190" s="36"/>
      <c r="P190" s="36"/>
      <c r="Q190" s="33"/>
      <c r="R190" s="32">
        <f>IF((PA[[#This Row],[String Type(If String BD)]]&amp;PA[[#This Row],[Equipment (If any BD other than PV  array and inv)]])="",1,0)</f>
        <v>1</v>
      </c>
      <c r="S190" s="32">
        <f>IF(PA[[#This Row],[String Type(If String BD)]]="",1,0)</f>
        <v>1</v>
      </c>
      <c r="T1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0" s="35" t="str">
        <f>IFERROR(_xlfn.XLOOKUP(PA[[#This Row],[Affected Equipment ]],'Basic Data'!N:N,'Basic Data'!Q:Q),"")</f>
        <v/>
      </c>
      <c r="V190" s="207" t="str">
        <f>IFERROR(_xlfn.XLOOKUP(PA[[#This Row],[Affected Equipment ]],'Basic Data'!N:N,'Basic Data'!R:R),"")</f>
        <v/>
      </c>
      <c r="W190" s="36"/>
      <c r="X190" s="40"/>
      <c r="Y190" s="286"/>
      <c r="Z190" s="46"/>
      <c r="AA190" s="46"/>
      <c r="AB190" s="46"/>
      <c r="AC190" s="46"/>
      <c r="AD190" s="44">
        <f>IF(PA[[#This Row],[Acknowledgement Time ]]="NA","",(PA[[#This Row],[Acknowledgement Time ]]-PA[[#This Row],[Fault Time]])*24)</f>
        <v>0</v>
      </c>
      <c r="AE190" s="44">
        <f>IF(PA[[#This Row],[Work Start time on Fault]]="NA","",(PA[[#This Row],[Work Start time on Fault]]-PA[[#This Row],[Fault Time]])*24)</f>
        <v>0</v>
      </c>
      <c r="AF190" s="45">
        <f>IF(PA[[#This Row],[Status]]="Open","",(PA[[#This Row],[Work Completion time on fault]]-PA[[#This Row],[Fault Time]])*24)</f>
        <v>0</v>
      </c>
      <c r="AG190" s="44">
        <f>IFERROR((PA[[#This Row],[Work Completion time on fault]]-PA[[#This Row],[Fault Time]])*24,"")</f>
        <v>0</v>
      </c>
      <c r="AH190" s="282"/>
      <c r="AI190" s="33"/>
      <c r="AJ190" s="35" t="str">
        <f>IFERROR(PA[[#This Row],[Breakdown Time]]*PA[[#This Row],[Plant Equivalent Weightage]],"")</f>
        <v/>
      </c>
      <c r="AK190" s="36"/>
      <c r="AL190" s="51" t="str">
        <f>IFERROR((_xlfn.XLOOKUP($G190,'Modelling New'!D:D,'Modelling New'!$O:$O)*PA[[#This Row],[Lost PoA(kWh/m2)]]*PA[[#This Row],[DC Capacity Affected (kW)]]),"")</f>
        <v/>
      </c>
      <c r="AM190" s="33"/>
      <c r="AN190" s="33"/>
      <c r="AO190" s="33"/>
      <c r="AP190" s="33"/>
    </row>
    <row r="191" spans="1:42">
      <c r="A191" s="30">
        <f t="shared" si="0"/>
        <v>190</v>
      </c>
      <c r="B191" s="165"/>
      <c r="C191" s="32">
        <f>YEAR(PA[[#This Row],[Date]])+IF(MONTH(PA[[#This Row],[Date]])&gt;=4,1,0)</f>
        <v>1900</v>
      </c>
      <c r="D191" s="32">
        <f>YEAR(PA[[#This Row],[Date]])</f>
        <v>1900</v>
      </c>
      <c r="E191" s="33" t="s">
        <v>157</v>
      </c>
      <c r="F191" s="33" t="s">
        <v>157</v>
      </c>
      <c r="G191" s="194">
        <f>PA[[#This Row],[Date]]-DAY(PA[[#This Row],[Date]])+1</f>
        <v>1</v>
      </c>
      <c r="H191" s="32">
        <f>DAY(EOMONTH(PA[[#This Row],[Month Year]],0))</f>
        <v>31</v>
      </c>
      <c r="I191" s="203"/>
      <c r="J191" s="203"/>
      <c r="K191" s="35">
        <f>IFERROR((PA[[#This Row],[Sunset Time (POA&lt;20 W/m2)]]-PA[[#This Row],[Sunrise Time (POA&gt;20 W/m2)]])*24,"")</f>
        <v>0</v>
      </c>
      <c r="L191" s="37"/>
      <c r="M191" s="37"/>
      <c r="N191" s="33"/>
      <c r="O191" s="36"/>
      <c r="P191" s="36"/>
      <c r="Q191" s="33"/>
      <c r="R191" s="32">
        <f>IF((PA[[#This Row],[String Type(If String BD)]]&amp;PA[[#This Row],[Equipment (If any BD other than PV  array and inv)]])="",1,0)</f>
        <v>1</v>
      </c>
      <c r="S191" s="32">
        <f>IF(PA[[#This Row],[String Type(If String BD)]]="",1,0)</f>
        <v>1</v>
      </c>
      <c r="T1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1" s="35" t="str">
        <f>IFERROR(_xlfn.XLOOKUP(PA[[#This Row],[Affected Equipment ]],'Basic Data'!N:N,'Basic Data'!Q:Q),"")</f>
        <v/>
      </c>
      <c r="V191" s="207" t="str">
        <f>IFERROR(_xlfn.XLOOKUP(PA[[#This Row],[Affected Equipment ]],'Basic Data'!N:N,'Basic Data'!R:R),"")</f>
        <v/>
      </c>
      <c r="W191" s="36"/>
      <c r="X191" s="40"/>
      <c r="Y191" s="286"/>
      <c r="Z191" s="46"/>
      <c r="AA191" s="46"/>
      <c r="AB191" s="46"/>
      <c r="AC191" s="46"/>
      <c r="AD191" s="44">
        <f>IF(PA[[#This Row],[Acknowledgement Time ]]="NA","",(PA[[#This Row],[Acknowledgement Time ]]-PA[[#This Row],[Fault Time]])*24)</f>
        <v>0</v>
      </c>
      <c r="AE191" s="44">
        <f>IF(PA[[#This Row],[Work Start time on Fault]]="NA","",(PA[[#This Row],[Work Start time on Fault]]-PA[[#This Row],[Fault Time]])*24)</f>
        <v>0</v>
      </c>
      <c r="AF191" s="45">
        <f>IF(PA[[#This Row],[Status]]="Open","",(PA[[#This Row],[Work Completion time on fault]]-PA[[#This Row],[Fault Time]])*24)</f>
        <v>0</v>
      </c>
      <c r="AG191" s="44">
        <f>IFERROR((PA[[#This Row],[Work Completion time on fault]]-PA[[#This Row],[Fault Time]])*24,"")</f>
        <v>0</v>
      </c>
      <c r="AH191" s="282"/>
      <c r="AI191" s="33"/>
      <c r="AJ191" s="35" t="str">
        <f>IFERROR(PA[[#This Row],[Breakdown Time]]*PA[[#This Row],[Plant Equivalent Weightage]],"")</f>
        <v/>
      </c>
      <c r="AK191" s="36"/>
      <c r="AL191" s="51" t="str">
        <f>IFERROR((_xlfn.XLOOKUP($G191,'Modelling New'!D:D,'Modelling New'!$O:$O)*PA[[#This Row],[Lost PoA(kWh/m2)]]*PA[[#This Row],[DC Capacity Affected (kW)]]),"")</f>
        <v/>
      </c>
      <c r="AM191" s="33"/>
      <c r="AN191" s="33"/>
      <c r="AO191" s="33"/>
      <c r="AP191" s="33"/>
    </row>
    <row r="192" spans="1:42">
      <c r="A192" s="30">
        <f t="shared" si="0"/>
        <v>191</v>
      </c>
      <c r="B192" s="165"/>
      <c r="C192" s="32">
        <f>YEAR(PA[[#This Row],[Date]])+IF(MONTH(PA[[#This Row],[Date]])&gt;=4,1,0)</f>
        <v>1900</v>
      </c>
      <c r="D192" s="32">
        <f>YEAR(PA[[#This Row],[Date]])</f>
        <v>1900</v>
      </c>
      <c r="E192" s="33" t="s">
        <v>157</v>
      </c>
      <c r="F192" s="33" t="s">
        <v>157</v>
      </c>
      <c r="G192" s="194">
        <f>PA[[#This Row],[Date]]-DAY(PA[[#This Row],[Date]])+1</f>
        <v>1</v>
      </c>
      <c r="H192" s="202">
        <f>DAY(EOMONTH(PA[[#This Row],[Month Year]],0))</f>
        <v>31</v>
      </c>
      <c r="I192" s="203"/>
      <c r="J192" s="203"/>
      <c r="K192" s="35">
        <f>IFERROR((PA[[#This Row],[Sunset Time (POA&lt;20 W/m2)]]-PA[[#This Row],[Sunrise Time (POA&gt;20 W/m2)]])*24,"")</f>
        <v>0</v>
      </c>
      <c r="L192" s="37"/>
      <c r="M192" s="37"/>
      <c r="N192" s="33"/>
      <c r="O192" s="38"/>
      <c r="P192" s="38"/>
      <c r="Q192" s="37"/>
      <c r="R192" s="202">
        <f>IF((PA[[#This Row],[String Type(If String BD)]]&amp;PA[[#This Row],[Equipment (If any BD other than PV  array and inv)]])="",1,0)</f>
        <v>1</v>
      </c>
      <c r="S192" s="202">
        <f>IF(PA[[#This Row],[String Type(If String BD)]]="",1,0)</f>
        <v>1</v>
      </c>
      <c r="T19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2" s="204" t="str">
        <f>IFERROR(_xlfn.XLOOKUP(PA[[#This Row],[Affected Equipment ]],'Basic Data'!N:N,'Basic Data'!Q:Q),"")</f>
        <v/>
      </c>
      <c r="V192" s="208" t="str">
        <f>IFERROR(_xlfn.XLOOKUP(PA[[#This Row],[Affected Equipment ]],'Basic Data'!N:N,'Basic Data'!R:R),"")</f>
        <v/>
      </c>
      <c r="W192" s="38"/>
      <c r="X192" s="41"/>
      <c r="Y192" s="283"/>
      <c r="Z192" s="47"/>
      <c r="AA192" s="47"/>
      <c r="AB192" s="47"/>
      <c r="AC192" s="47"/>
      <c r="AD192" s="205">
        <f>IF(PA[[#This Row],[Acknowledgement Time ]]="NA","",(PA[[#This Row],[Acknowledgement Time ]]-PA[[#This Row],[Fault Time]])*24)</f>
        <v>0</v>
      </c>
      <c r="AE192" s="205">
        <f>IF(PA[[#This Row],[Work Start time on Fault]]="NA","",(PA[[#This Row],[Work Start time on Fault]]-PA[[#This Row],[Fault Time]])*24)</f>
        <v>0</v>
      </c>
      <c r="AF192" s="206">
        <f>IF(PA[[#This Row],[Status]]="Open","",(PA[[#This Row],[Work Completion time on fault]]-PA[[#This Row],[Fault Time]])*24)</f>
        <v>0</v>
      </c>
      <c r="AG192" s="205">
        <f>IFERROR((PA[[#This Row],[Work Completion time on fault]]-PA[[#This Row],[Fault Time]])*24,"")</f>
        <v>0</v>
      </c>
      <c r="AH192" s="284"/>
      <c r="AI192" s="33"/>
      <c r="AJ192" s="204" t="str">
        <f>IFERROR(PA[[#This Row],[Breakdown Time]]*PA[[#This Row],[Plant Equivalent Weightage]],"")</f>
        <v/>
      </c>
      <c r="AK192" s="38"/>
      <c r="AL192" s="51" t="str">
        <f>IFERROR((_xlfn.XLOOKUP($G192,'Modelling New'!D:D,'Modelling New'!$O:$O)*PA[[#This Row],[Lost PoA(kWh/m2)]]*PA[[#This Row],[DC Capacity Affected (kW)]]),"")</f>
        <v/>
      </c>
      <c r="AM192" s="33"/>
      <c r="AN192" s="33"/>
      <c r="AO192" s="33"/>
      <c r="AP192" s="33"/>
    </row>
    <row r="193" spans="1:42">
      <c r="A193" s="30">
        <f t="shared" si="0"/>
        <v>192</v>
      </c>
      <c r="B193" s="165"/>
      <c r="C193" s="32">
        <f>YEAR(PA[[#This Row],[Date]])+IF(MONTH(PA[[#This Row],[Date]])&gt;=4,1,0)</f>
        <v>1900</v>
      </c>
      <c r="D193" s="32">
        <f>YEAR(PA[[#This Row],[Date]])</f>
        <v>1900</v>
      </c>
      <c r="E193" s="33" t="s">
        <v>157</v>
      </c>
      <c r="F193" s="33" t="s">
        <v>157</v>
      </c>
      <c r="G193" s="194">
        <f>PA[[#This Row],[Date]]-DAY(PA[[#This Row],[Date]])+1</f>
        <v>1</v>
      </c>
      <c r="H193" s="32">
        <f>DAY(EOMONTH(PA[[#This Row],[Month Year]],0))</f>
        <v>31</v>
      </c>
      <c r="I193" s="34"/>
      <c r="J193" s="34"/>
      <c r="K193" s="35">
        <f>IFERROR((PA[[#This Row],[Sunset Time (POA&lt;20 W/m2)]]-PA[[#This Row],[Sunrise Time (POA&gt;20 W/m2)]])*24,"")</f>
        <v>0</v>
      </c>
      <c r="L193" s="37"/>
      <c r="M193" s="37"/>
      <c r="N193" s="33"/>
      <c r="O193" s="36"/>
      <c r="P193" s="36"/>
      <c r="Q193" s="33"/>
      <c r="R193" s="32">
        <f>IF((PA[[#This Row],[String Type(If String BD)]]&amp;PA[[#This Row],[Equipment (If any BD other than PV  array and inv)]])="",1,0)</f>
        <v>1</v>
      </c>
      <c r="S193" s="32">
        <f>IF(PA[[#This Row],[String Type(If String BD)]]="",1,0)</f>
        <v>1</v>
      </c>
      <c r="T1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3" s="35" t="str">
        <f>IFERROR(_xlfn.XLOOKUP(PA[[#This Row],[Affected Equipment ]],'Basic Data'!N:N,'Basic Data'!Q:Q),"")</f>
        <v/>
      </c>
      <c r="V193" s="207" t="str">
        <f>IFERROR(_xlfn.XLOOKUP(PA[[#This Row],[Affected Equipment ]],'Basic Data'!N:N,'Basic Data'!R:R),"")</f>
        <v/>
      </c>
      <c r="W193" s="36"/>
      <c r="X193" s="40"/>
      <c r="Y193" s="286"/>
      <c r="Z193" s="46"/>
      <c r="AA193" s="46"/>
      <c r="AB193" s="46"/>
      <c r="AC193" s="46"/>
      <c r="AD193" s="44">
        <f>IF(PA[[#This Row],[Acknowledgement Time ]]="NA","",(PA[[#This Row],[Acknowledgement Time ]]-PA[[#This Row],[Fault Time]])*24)</f>
        <v>0</v>
      </c>
      <c r="AE193" s="44">
        <f>IF(PA[[#This Row],[Work Start time on Fault]]="NA","",(PA[[#This Row],[Work Start time on Fault]]-PA[[#This Row],[Fault Time]])*24)</f>
        <v>0</v>
      </c>
      <c r="AF193" s="45">
        <f>IF(PA[[#This Row],[Status]]="Open","",(PA[[#This Row],[Work Completion time on fault]]-PA[[#This Row],[Fault Time]])*24)</f>
        <v>0</v>
      </c>
      <c r="AG193" s="44">
        <f>IFERROR((PA[[#This Row],[Work Completion time on fault]]-PA[[#This Row],[Fault Time]])*24,"")</f>
        <v>0</v>
      </c>
      <c r="AH193" s="282"/>
      <c r="AI193" s="33"/>
      <c r="AJ193" s="35" t="str">
        <f>IFERROR(PA[[#This Row],[Breakdown Time]]*PA[[#This Row],[Plant Equivalent Weightage]],"")</f>
        <v/>
      </c>
      <c r="AK193" s="36"/>
      <c r="AL193" s="51" t="str">
        <f>IFERROR((_xlfn.XLOOKUP($G193,'Modelling New'!D:D,'Modelling New'!$O:$O)*PA[[#This Row],[Lost PoA(kWh/m2)]]*PA[[#This Row],[DC Capacity Affected (kW)]]),"")</f>
        <v/>
      </c>
      <c r="AM193" s="33"/>
      <c r="AN193" s="33"/>
      <c r="AO193" s="33"/>
      <c r="AP193" s="33"/>
    </row>
    <row r="194" spans="1:42">
      <c r="A194" s="30">
        <f t="shared" si="0"/>
        <v>193</v>
      </c>
      <c r="B194" s="165"/>
      <c r="C194" s="32">
        <f>YEAR(PA[[#This Row],[Date]])+IF(MONTH(PA[[#This Row],[Date]])&gt;=4,1,0)</f>
        <v>1900</v>
      </c>
      <c r="D194" s="32">
        <f>YEAR(PA[[#This Row],[Date]])</f>
        <v>1900</v>
      </c>
      <c r="E194" s="33" t="s">
        <v>157</v>
      </c>
      <c r="F194" s="33" t="s">
        <v>157</v>
      </c>
      <c r="G194" s="194">
        <f>PA[[#This Row],[Date]]-DAY(PA[[#This Row],[Date]])+1</f>
        <v>1</v>
      </c>
      <c r="H194" s="202">
        <f>DAY(EOMONTH(PA[[#This Row],[Month Year]],0))</f>
        <v>31</v>
      </c>
      <c r="I194" s="34"/>
      <c r="J194" s="34"/>
      <c r="K194" s="35">
        <f>IFERROR((PA[[#This Row],[Sunset Time (POA&lt;20 W/m2)]]-PA[[#This Row],[Sunrise Time (POA&gt;20 W/m2)]])*24,"")</f>
        <v>0</v>
      </c>
      <c r="L194" s="37"/>
      <c r="M194" s="37"/>
      <c r="N194" s="33"/>
      <c r="O194" s="36"/>
      <c r="P194" s="38"/>
      <c r="Q194" s="37"/>
      <c r="R194" s="202">
        <f>IF((PA[[#This Row],[String Type(If String BD)]]&amp;PA[[#This Row],[Equipment (If any BD other than PV  array and inv)]])="",1,0)</f>
        <v>1</v>
      </c>
      <c r="S194" s="202">
        <f>IF(PA[[#This Row],[String Type(If String BD)]]="",1,0)</f>
        <v>1</v>
      </c>
      <c r="T19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4" s="204" t="str">
        <f>IFERROR(_xlfn.XLOOKUP(PA[[#This Row],[Affected Equipment ]],'Basic Data'!N:N,'Basic Data'!Q:Q),"")</f>
        <v/>
      </c>
      <c r="V194" s="208" t="str">
        <f>IFERROR(_xlfn.XLOOKUP(PA[[#This Row],[Affected Equipment ]],'Basic Data'!N:N,'Basic Data'!R:R),"")</f>
        <v/>
      </c>
      <c r="W194" s="36"/>
      <c r="X194" s="41"/>
      <c r="Y194" s="286"/>
      <c r="Z194" s="46"/>
      <c r="AA194" s="46"/>
      <c r="AB194" s="46"/>
      <c r="AC194" s="46"/>
      <c r="AD194" s="205">
        <f>IF(PA[[#This Row],[Acknowledgement Time ]]="NA","",(PA[[#This Row],[Acknowledgement Time ]]-PA[[#This Row],[Fault Time]])*24)</f>
        <v>0</v>
      </c>
      <c r="AE194" s="205">
        <f>IF(PA[[#This Row],[Work Start time on Fault]]="NA","",(PA[[#This Row],[Work Start time on Fault]]-PA[[#This Row],[Fault Time]])*24)</f>
        <v>0</v>
      </c>
      <c r="AF194" s="206">
        <f>IF(PA[[#This Row],[Status]]="Open","",(PA[[#This Row],[Work Completion time on fault]]-PA[[#This Row],[Fault Time]])*24)</f>
        <v>0</v>
      </c>
      <c r="AG194" s="205">
        <f>IFERROR((PA[[#This Row],[Work Completion time on fault]]-PA[[#This Row],[Fault Time]])*24,"")</f>
        <v>0</v>
      </c>
      <c r="AH194" s="282"/>
      <c r="AI194" s="33"/>
      <c r="AJ194" s="204" t="str">
        <f>IFERROR(PA[[#This Row],[Breakdown Time]]*PA[[#This Row],[Plant Equivalent Weightage]],"")</f>
        <v/>
      </c>
      <c r="AK194" s="38"/>
      <c r="AL194" s="51" t="str">
        <f>IFERROR((_xlfn.XLOOKUP($G194,'Modelling New'!D:D,'Modelling New'!$O:$O)*PA[[#This Row],[Lost PoA(kWh/m2)]]*PA[[#This Row],[DC Capacity Affected (kW)]]),"")</f>
        <v/>
      </c>
      <c r="AM194" s="33"/>
      <c r="AN194" s="33"/>
      <c r="AO194" s="33"/>
      <c r="AP194" s="33"/>
    </row>
    <row r="195" spans="1:42">
      <c r="A195" s="30">
        <f t="shared" si="0"/>
        <v>194</v>
      </c>
      <c r="B195" s="165"/>
      <c r="C195" s="32">
        <f>YEAR(PA[[#This Row],[Date]])+IF(MONTH(PA[[#This Row],[Date]])&gt;=4,1,0)</f>
        <v>1900</v>
      </c>
      <c r="D195" s="32">
        <f>YEAR(PA[[#This Row],[Date]])</f>
        <v>1900</v>
      </c>
      <c r="E195" s="33" t="s">
        <v>157</v>
      </c>
      <c r="F195" s="33" t="s">
        <v>157</v>
      </c>
      <c r="G195" s="194">
        <f>PA[[#This Row],[Date]]-DAY(PA[[#This Row],[Date]])+1</f>
        <v>1</v>
      </c>
      <c r="H195" s="202">
        <f>DAY(EOMONTH(PA[[#This Row],[Month Year]],0))</f>
        <v>31</v>
      </c>
      <c r="I195" s="34"/>
      <c r="J195" s="34"/>
      <c r="K195" s="35">
        <f>IFERROR((PA[[#This Row],[Sunset Time (POA&lt;20 W/m2)]]-PA[[#This Row],[Sunrise Time (POA&gt;20 W/m2)]])*24,"")</f>
        <v>0</v>
      </c>
      <c r="L195" s="37"/>
      <c r="M195" s="37"/>
      <c r="N195" s="33"/>
      <c r="O195" s="36"/>
      <c r="P195" s="38"/>
      <c r="Q195" s="37"/>
      <c r="R195" s="202">
        <f>IF((PA[[#This Row],[String Type(If String BD)]]&amp;PA[[#This Row],[Equipment (If any BD other than PV  array and inv)]])="",1,0)</f>
        <v>1</v>
      </c>
      <c r="S195" s="202">
        <f>IF(PA[[#This Row],[String Type(If String BD)]]="",1,0)</f>
        <v>1</v>
      </c>
      <c r="T19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5" s="204" t="str">
        <f>IFERROR(_xlfn.XLOOKUP(PA[[#This Row],[Affected Equipment ]],'Basic Data'!N:N,'Basic Data'!Q:Q),"")</f>
        <v/>
      </c>
      <c r="V195" s="208" t="str">
        <f>IFERROR(_xlfn.XLOOKUP(PA[[#This Row],[Affected Equipment ]],'Basic Data'!N:N,'Basic Data'!R:R),"")</f>
        <v/>
      </c>
      <c r="W195" s="36"/>
      <c r="X195" s="41"/>
      <c r="Y195" s="286"/>
      <c r="Z195" s="46"/>
      <c r="AA195" s="46"/>
      <c r="AB195" s="46"/>
      <c r="AC195" s="46"/>
      <c r="AD195" s="205">
        <f>IF(PA[[#This Row],[Acknowledgement Time ]]="NA","",(PA[[#This Row],[Acknowledgement Time ]]-PA[[#This Row],[Fault Time]])*24)</f>
        <v>0</v>
      </c>
      <c r="AE195" s="205">
        <f>IF(PA[[#This Row],[Work Start time on Fault]]="NA","",(PA[[#This Row],[Work Start time on Fault]]-PA[[#This Row],[Fault Time]])*24)</f>
        <v>0</v>
      </c>
      <c r="AF195" s="206">
        <f>IF(PA[[#This Row],[Status]]="Open","",(PA[[#This Row],[Work Completion time on fault]]-PA[[#This Row],[Fault Time]])*24)</f>
        <v>0</v>
      </c>
      <c r="AG195" s="205">
        <f>IFERROR((PA[[#This Row],[Work Completion time on fault]]-PA[[#This Row],[Fault Time]])*24,"")</f>
        <v>0</v>
      </c>
      <c r="AH195" s="284"/>
      <c r="AI195" s="33"/>
      <c r="AJ195" s="204" t="str">
        <f>IFERROR(PA[[#This Row],[Breakdown Time]]*PA[[#This Row],[Plant Equivalent Weightage]],"")</f>
        <v/>
      </c>
      <c r="AK195" s="38"/>
      <c r="AL195" s="51" t="str">
        <f>IFERROR((_xlfn.XLOOKUP($G195,'Modelling New'!D:D,'Modelling New'!$O:$O)*PA[[#This Row],[Lost PoA(kWh/m2)]]*PA[[#This Row],[DC Capacity Affected (kW)]]),"")</f>
        <v/>
      </c>
      <c r="AM195" s="33"/>
      <c r="AN195" s="33"/>
      <c r="AO195" s="33"/>
      <c r="AP195" s="33"/>
    </row>
    <row r="196" spans="1:42">
      <c r="A196" s="30">
        <f t="shared" si="0"/>
        <v>195</v>
      </c>
      <c r="B196" s="165"/>
      <c r="C196" s="32">
        <f>YEAR(PA[[#This Row],[Date]])+IF(MONTH(PA[[#This Row],[Date]])&gt;=4,1,0)</f>
        <v>1900</v>
      </c>
      <c r="D196" s="32">
        <f>YEAR(PA[[#This Row],[Date]])</f>
        <v>1900</v>
      </c>
      <c r="E196" s="33" t="s">
        <v>157</v>
      </c>
      <c r="F196" s="33" t="s">
        <v>157</v>
      </c>
      <c r="G196" s="194">
        <f>PA[[#This Row],[Date]]-DAY(PA[[#This Row],[Date]])+1</f>
        <v>1</v>
      </c>
      <c r="H196" s="202">
        <f>DAY(EOMONTH(PA[[#This Row],[Month Year]],0))</f>
        <v>31</v>
      </c>
      <c r="I196" s="34"/>
      <c r="J196" s="34"/>
      <c r="K196" s="35">
        <f>IFERROR((PA[[#This Row],[Sunset Time (POA&lt;20 W/m2)]]-PA[[#This Row],[Sunrise Time (POA&gt;20 W/m2)]])*24,"")</f>
        <v>0</v>
      </c>
      <c r="L196" s="37"/>
      <c r="M196" s="37"/>
      <c r="N196" s="33"/>
      <c r="O196" s="38"/>
      <c r="P196" s="38"/>
      <c r="Q196" s="37"/>
      <c r="R196" s="202">
        <f>IF((PA[[#This Row],[String Type(If String BD)]]&amp;PA[[#This Row],[Equipment (If any BD other than PV  array and inv)]])="",1,0)</f>
        <v>1</v>
      </c>
      <c r="S196" s="202">
        <f>IF(PA[[#This Row],[String Type(If String BD)]]="",1,0)</f>
        <v>1</v>
      </c>
      <c r="T19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6" s="204" t="str">
        <f>IFERROR(_xlfn.XLOOKUP(PA[[#This Row],[Affected Equipment ]],'Basic Data'!N:N,'Basic Data'!Q:Q),"")</f>
        <v/>
      </c>
      <c r="V196" s="208" t="str">
        <f>IFERROR(_xlfn.XLOOKUP(PA[[#This Row],[Affected Equipment ]],'Basic Data'!N:N,'Basic Data'!R:R),"")</f>
        <v/>
      </c>
      <c r="W196" s="38"/>
      <c r="X196" s="41"/>
      <c r="Y196" s="283"/>
      <c r="Z196" s="46"/>
      <c r="AA196" s="46"/>
      <c r="AB196" s="46"/>
      <c r="AC196" s="47"/>
      <c r="AD196" s="205">
        <f>IF(PA[[#This Row],[Acknowledgement Time ]]="NA","",(PA[[#This Row],[Acknowledgement Time ]]-PA[[#This Row],[Fault Time]])*24)</f>
        <v>0</v>
      </c>
      <c r="AE196" s="205">
        <f>IF(PA[[#This Row],[Work Start time on Fault]]="NA","",(PA[[#This Row],[Work Start time on Fault]]-PA[[#This Row],[Fault Time]])*24)</f>
        <v>0</v>
      </c>
      <c r="AF196" s="206">
        <f>IF(PA[[#This Row],[Status]]="Open","",(PA[[#This Row],[Work Completion time on fault]]-PA[[#This Row],[Fault Time]])*24)</f>
        <v>0</v>
      </c>
      <c r="AG196" s="205">
        <f>IFERROR((PA[[#This Row],[Work Completion time on fault]]-PA[[#This Row],[Fault Time]])*24,"")</f>
        <v>0</v>
      </c>
      <c r="AH196" s="284"/>
      <c r="AI196" s="33"/>
      <c r="AJ196" s="204" t="str">
        <f>IFERROR(PA[[#This Row],[Breakdown Time]]*PA[[#This Row],[Plant Equivalent Weightage]],"")</f>
        <v/>
      </c>
      <c r="AK196" s="38"/>
      <c r="AL196" s="51" t="str">
        <f>IFERROR((_xlfn.XLOOKUP($G196,'Modelling New'!D:D,'Modelling New'!$O:$O)*PA[[#This Row],[Lost PoA(kWh/m2)]]*PA[[#This Row],[DC Capacity Affected (kW)]]),"")</f>
        <v/>
      </c>
      <c r="AM196" s="33"/>
      <c r="AN196" s="33"/>
      <c r="AO196" s="33"/>
      <c r="AP196" s="33"/>
    </row>
    <row r="197" spans="1:42">
      <c r="A197" s="30">
        <f t="shared" si="0"/>
        <v>196</v>
      </c>
      <c r="B197" s="165"/>
      <c r="C197" s="32">
        <f>YEAR(PA[[#This Row],[Date]])+IF(MONTH(PA[[#This Row],[Date]])&gt;=4,1,0)</f>
        <v>1900</v>
      </c>
      <c r="D197" s="32">
        <f>YEAR(PA[[#This Row],[Date]])</f>
        <v>1900</v>
      </c>
      <c r="E197" s="33" t="s">
        <v>157</v>
      </c>
      <c r="F197" s="33" t="s">
        <v>157</v>
      </c>
      <c r="G197" s="194">
        <f>PA[[#This Row],[Date]]-DAY(PA[[#This Row],[Date]])+1</f>
        <v>1</v>
      </c>
      <c r="H197" s="32">
        <f>DAY(EOMONTH(PA[[#This Row],[Month Year]],0))</f>
        <v>31</v>
      </c>
      <c r="I197" s="34"/>
      <c r="J197" s="34"/>
      <c r="K197" s="35">
        <f>IFERROR((PA[[#This Row],[Sunset Time (POA&lt;20 W/m2)]]-PA[[#This Row],[Sunrise Time (POA&gt;20 W/m2)]])*24,"")</f>
        <v>0</v>
      </c>
      <c r="L197" s="37"/>
      <c r="M197" s="37"/>
      <c r="N197" s="33"/>
      <c r="O197" s="36"/>
      <c r="P197" s="36"/>
      <c r="Q197" s="33"/>
      <c r="R197" s="32">
        <f>IF((PA[[#This Row],[String Type(If String BD)]]&amp;PA[[#This Row],[Equipment (If any BD other than PV  array and inv)]])="",1,0)</f>
        <v>1</v>
      </c>
      <c r="S197" s="32">
        <f>IF(PA[[#This Row],[String Type(If String BD)]]="",1,0)</f>
        <v>1</v>
      </c>
      <c r="T1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7" s="35" t="str">
        <f>IFERROR(_xlfn.XLOOKUP(PA[[#This Row],[Affected Equipment ]],'Basic Data'!N:N,'Basic Data'!Q:Q),"")</f>
        <v/>
      </c>
      <c r="V197" s="207" t="str">
        <f>IFERROR(_xlfn.XLOOKUP(PA[[#This Row],[Affected Equipment ]],'Basic Data'!N:N,'Basic Data'!R:R),"")</f>
        <v/>
      </c>
      <c r="W197" s="36"/>
      <c r="X197" s="40"/>
      <c r="Y197" s="286"/>
      <c r="Z197" s="46"/>
      <c r="AA197" s="46"/>
      <c r="AB197" s="46"/>
      <c r="AC197" s="46"/>
      <c r="AD197" s="44">
        <f>IF(PA[[#This Row],[Acknowledgement Time ]]="NA","",(PA[[#This Row],[Acknowledgement Time ]]-PA[[#This Row],[Fault Time]])*24)</f>
        <v>0</v>
      </c>
      <c r="AE197" s="44">
        <f>IF(PA[[#This Row],[Work Start time on Fault]]="NA","",(PA[[#This Row],[Work Start time on Fault]]-PA[[#This Row],[Fault Time]])*24)</f>
        <v>0</v>
      </c>
      <c r="AF197" s="45">
        <f>IF(PA[[#This Row],[Status]]="Open","",(PA[[#This Row],[Work Completion time on fault]]-PA[[#This Row],[Fault Time]])*24)</f>
        <v>0</v>
      </c>
      <c r="AG197" s="44">
        <f>IFERROR((PA[[#This Row],[Work Completion time on fault]]-PA[[#This Row],[Fault Time]])*24,"")</f>
        <v>0</v>
      </c>
      <c r="AH197" s="282"/>
      <c r="AI197" s="33"/>
      <c r="AJ197" s="35" t="str">
        <f>IFERROR(PA[[#This Row],[Breakdown Time]]*PA[[#This Row],[Plant Equivalent Weightage]],"")</f>
        <v/>
      </c>
      <c r="AK197" s="36"/>
      <c r="AL197" s="51" t="str">
        <f>IFERROR((_xlfn.XLOOKUP($G197,'Modelling New'!D:D,'Modelling New'!$O:$O)*PA[[#This Row],[Lost PoA(kWh/m2)]]*PA[[#This Row],[DC Capacity Affected (kW)]]),"")</f>
        <v/>
      </c>
      <c r="AM197" s="33"/>
      <c r="AN197" s="33"/>
      <c r="AO197" s="33"/>
      <c r="AP197" s="33"/>
    </row>
    <row r="198" spans="1:42">
      <c r="A198" s="30">
        <f t="shared" si="0"/>
        <v>197</v>
      </c>
      <c r="B198" s="165"/>
      <c r="C198" s="32">
        <f>YEAR(PA[[#This Row],[Date]])+IF(MONTH(PA[[#This Row],[Date]])&gt;=4,1,0)</f>
        <v>1900</v>
      </c>
      <c r="D198" s="32">
        <f>YEAR(PA[[#This Row],[Date]])</f>
        <v>1900</v>
      </c>
      <c r="E198" s="33" t="s">
        <v>157</v>
      </c>
      <c r="F198" s="33" t="s">
        <v>157</v>
      </c>
      <c r="G198" s="194">
        <f>PA[[#This Row],[Date]]-DAY(PA[[#This Row],[Date]])+1</f>
        <v>1</v>
      </c>
      <c r="H198" s="32">
        <f>DAY(EOMONTH(PA[[#This Row],[Month Year]],0))</f>
        <v>31</v>
      </c>
      <c r="I198" s="34"/>
      <c r="J198" s="34"/>
      <c r="K198" s="35">
        <f>IFERROR((PA[[#This Row],[Sunset Time (POA&lt;20 W/m2)]]-PA[[#This Row],[Sunrise Time (POA&gt;20 W/m2)]])*24,"")</f>
        <v>0</v>
      </c>
      <c r="L198" s="37"/>
      <c r="M198" s="37"/>
      <c r="N198" s="33"/>
      <c r="O198" s="36"/>
      <c r="P198" s="36"/>
      <c r="Q198" s="33"/>
      <c r="R198" s="32">
        <f>IF((PA[[#This Row],[String Type(If String BD)]]&amp;PA[[#This Row],[Equipment (If any BD other than PV  array and inv)]])="",1,0)</f>
        <v>1</v>
      </c>
      <c r="S198" s="32">
        <f>IF(PA[[#This Row],[String Type(If String BD)]]="",1,0)</f>
        <v>1</v>
      </c>
      <c r="T1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8" s="35" t="str">
        <f>IFERROR(_xlfn.XLOOKUP(PA[[#This Row],[Affected Equipment ]],'Basic Data'!N:N,'Basic Data'!Q:Q),"")</f>
        <v/>
      </c>
      <c r="V198" s="207" t="str">
        <f>IFERROR(_xlfn.XLOOKUP(PA[[#This Row],[Affected Equipment ]],'Basic Data'!N:N,'Basic Data'!R:R),"")</f>
        <v/>
      </c>
      <c r="W198" s="36"/>
      <c r="X198" s="40"/>
      <c r="Y198" s="286"/>
      <c r="Z198" s="43"/>
      <c r="AA198" s="43"/>
      <c r="AB198" s="43"/>
      <c r="AC198" s="46"/>
      <c r="AD198" s="44">
        <f>IF(PA[[#This Row],[Acknowledgement Time ]]="NA","",(PA[[#This Row],[Acknowledgement Time ]]-PA[[#This Row],[Fault Time]])*24)</f>
        <v>0</v>
      </c>
      <c r="AE198" s="44">
        <f>IF(PA[[#This Row],[Work Start time on Fault]]="NA","",(PA[[#This Row],[Work Start time on Fault]]-PA[[#This Row],[Fault Time]])*24)</f>
        <v>0</v>
      </c>
      <c r="AF198" s="45">
        <f>IF(PA[[#This Row],[Status]]="Open","",(PA[[#This Row],[Work Completion time on fault]]-PA[[#This Row],[Fault Time]])*24)</f>
        <v>0</v>
      </c>
      <c r="AG198" s="44">
        <f>IFERROR((PA[[#This Row],[Work Completion time on fault]]-PA[[#This Row],[Fault Time]])*24,"")</f>
        <v>0</v>
      </c>
      <c r="AH198" s="282"/>
      <c r="AI198" s="33"/>
      <c r="AJ198" s="35" t="str">
        <f>IFERROR(PA[[#This Row],[Breakdown Time]]*PA[[#This Row],[Plant Equivalent Weightage]],"")</f>
        <v/>
      </c>
      <c r="AK198" s="36"/>
      <c r="AL198" s="51" t="str">
        <f>IFERROR((_xlfn.XLOOKUP($G198,'Modelling New'!D:D,'Modelling New'!$O:$O)*PA[[#This Row],[Lost PoA(kWh/m2)]]*PA[[#This Row],[DC Capacity Affected (kW)]]),"")</f>
        <v/>
      </c>
      <c r="AM198" s="33"/>
      <c r="AN198" s="33"/>
      <c r="AO198" s="33"/>
      <c r="AP198" s="33"/>
    </row>
    <row r="199" spans="1:42">
      <c r="A199" s="30">
        <f t="shared" si="0"/>
        <v>198</v>
      </c>
      <c r="B199" s="165"/>
      <c r="C199" s="32">
        <f>YEAR(PA[[#This Row],[Date]])+IF(MONTH(PA[[#This Row],[Date]])&gt;=4,1,0)</f>
        <v>1900</v>
      </c>
      <c r="D199" s="32">
        <f>YEAR(PA[[#This Row],[Date]])</f>
        <v>1900</v>
      </c>
      <c r="E199" s="33" t="s">
        <v>157</v>
      </c>
      <c r="F199" s="33" t="s">
        <v>157</v>
      </c>
      <c r="G199" s="194">
        <f>PA[[#This Row],[Date]]-DAY(PA[[#This Row],[Date]])+1</f>
        <v>1</v>
      </c>
      <c r="H199" s="32">
        <f>DAY(EOMONTH(PA[[#This Row],[Month Year]],0))</f>
        <v>31</v>
      </c>
      <c r="I199" s="34"/>
      <c r="J199" s="34"/>
      <c r="K199" s="35">
        <f>IFERROR((PA[[#This Row],[Sunset Time (POA&lt;20 W/m2)]]-PA[[#This Row],[Sunrise Time (POA&gt;20 W/m2)]])*24,"")</f>
        <v>0</v>
      </c>
      <c r="L199" s="37"/>
      <c r="M199" s="37"/>
      <c r="N199" s="33"/>
      <c r="O199" s="36"/>
      <c r="P199" s="36"/>
      <c r="Q199" s="33"/>
      <c r="R199" s="32">
        <f>IF((PA[[#This Row],[String Type(If String BD)]]&amp;PA[[#This Row],[Equipment (If any BD other than PV  array and inv)]])="",1,0)</f>
        <v>1</v>
      </c>
      <c r="S199" s="32">
        <f>IF(PA[[#This Row],[String Type(If String BD)]]="",1,0)</f>
        <v>1</v>
      </c>
      <c r="T1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199" s="35" t="str">
        <f>IFERROR(_xlfn.XLOOKUP(PA[[#This Row],[Affected Equipment ]],'Basic Data'!N:N,'Basic Data'!Q:Q),"")</f>
        <v/>
      </c>
      <c r="V199" s="207" t="str">
        <f>IFERROR(_xlfn.XLOOKUP(PA[[#This Row],[Affected Equipment ]],'Basic Data'!N:N,'Basic Data'!R:R),"")</f>
        <v/>
      </c>
      <c r="W199" s="36"/>
      <c r="X199" s="40"/>
      <c r="Y199" s="286"/>
      <c r="Z199" s="43"/>
      <c r="AA199" s="43"/>
      <c r="AB199" s="43"/>
      <c r="AC199" s="46"/>
      <c r="AD199" s="44">
        <f>IF(PA[[#This Row],[Acknowledgement Time ]]="NA","",(PA[[#This Row],[Acknowledgement Time ]]-PA[[#This Row],[Fault Time]])*24)</f>
        <v>0</v>
      </c>
      <c r="AE199" s="44">
        <f>IF(PA[[#This Row],[Work Start time on Fault]]="NA","",(PA[[#This Row],[Work Start time on Fault]]-PA[[#This Row],[Fault Time]])*24)</f>
        <v>0</v>
      </c>
      <c r="AF199" s="45">
        <f>IF(PA[[#This Row],[Status]]="Open","",(PA[[#This Row],[Work Completion time on fault]]-PA[[#This Row],[Fault Time]])*24)</f>
        <v>0</v>
      </c>
      <c r="AG199" s="44">
        <f>IFERROR((PA[[#This Row],[Work Completion time on fault]]-PA[[#This Row],[Fault Time]])*24,"")</f>
        <v>0</v>
      </c>
      <c r="AH199" s="282"/>
      <c r="AI199" s="33"/>
      <c r="AJ199" s="35" t="str">
        <f>IFERROR(PA[[#This Row],[Breakdown Time]]*PA[[#This Row],[Plant Equivalent Weightage]],"")</f>
        <v/>
      </c>
      <c r="AK199" s="36"/>
      <c r="AL199" s="51" t="str">
        <f>IFERROR((_xlfn.XLOOKUP($G199,'Modelling New'!D:D,'Modelling New'!$O:$O)*PA[[#This Row],[Lost PoA(kWh/m2)]]*PA[[#This Row],[DC Capacity Affected (kW)]]),"")</f>
        <v/>
      </c>
      <c r="AM199" s="33"/>
      <c r="AN199" s="33"/>
      <c r="AO199" s="33"/>
      <c r="AP199" s="33"/>
    </row>
    <row r="200" spans="1:42">
      <c r="A200" s="30">
        <f t="shared" si="0"/>
        <v>199</v>
      </c>
      <c r="B200" s="165"/>
      <c r="C200" s="32">
        <f>YEAR(PA[[#This Row],[Date]])+IF(MONTH(PA[[#This Row],[Date]])&gt;=4,1,0)</f>
        <v>1900</v>
      </c>
      <c r="D200" s="32">
        <f>YEAR(PA[[#This Row],[Date]])</f>
        <v>1900</v>
      </c>
      <c r="E200" s="33" t="s">
        <v>157</v>
      </c>
      <c r="F200" s="33" t="s">
        <v>157</v>
      </c>
      <c r="G200" s="194">
        <f>PA[[#This Row],[Date]]-DAY(PA[[#This Row],[Date]])+1</f>
        <v>1</v>
      </c>
      <c r="H200" s="32">
        <f>DAY(EOMONTH(PA[[#This Row],[Month Year]],0))</f>
        <v>31</v>
      </c>
      <c r="I200" s="34"/>
      <c r="J200" s="34"/>
      <c r="K200" s="35">
        <f>IFERROR((PA[[#This Row],[Sunset Time (POA&lt;20 W/m2)]]-PA[[#This Row],[Sunrise Time (POA&gt;20 W/m2)]])*24,"")</f>
        <v>0</v>
      </c>
      <c r="L200" s="37"/>
      <c r="M200" s="37"/>
      <c r="N200" s="33"/>
      <c r="O200" s="36"/>
      <c r="P200" s="36"/>
      <c r="Q200" s="33"/>
      <c r="R200" s="32">
        <f>IF((PA[[#This Row],[String Type(If String BD)]]&amp;PA[[#This Row],[Equipment (If any BD other than PV  array and inv)]])="",1,0)</f>
        <v>1</v>
      </c>
      <c r="S200" s="32">
        <f>IF(PA[[#This Row],[String Type(If String BD)]]="",1,0)</f>
        <v>1</v>
      </c>
      <c r="T2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0" s="35" t="str">
        <f>IFERROR(_xlfn.XLOOKUP(PA[[#This Row],[Affected Equipment ]],'Basic Data'!N:N,'Basic Data'!Q:Q),"")</f>
        <v/>
      </c>
      <c r="V200" s="207" t="str">
        <f>IFERROR(_xlfn.XLOOKUP(PA[[#This Row],[Affected Equipment ]],'Basic Data'!N:N,'Basic Data'!R:R),"")</f>
        <v/>
      </c>
      <c r="W200" s="36"/>
      <c r="X200" s="40"/>
      <c r="Y200" s="286"/>
      <c r="Z200" s="43"/>
      <c r="AA200" s="43"/>
      <c r="AB200" s="43"/>
      <c r="AC200" s="46"/>
      <c r="AD200" s="44">
        <f>IF(PA[[#This Row],[Acknowledgement Time ]]="NA","",(PA[[#This Row],[Acknowledgement Time ]]-PA[[#This Row],[Fault Time]])*24)</f>
        <v>0</v>
      </c>
      <c r="AE200" s="44">
        <f>IF(PA[[#This Row],[Work Start time on Fault]]="NA","",(PA[[#This Row],[Work Start time on Fault]]-PA[[#This Row],[Fault Time]])*24)</f>
        <v>0</v>
      </c>
      <c r="AF200" s="45">
        <f>IF(PA[[#This Row],[Status]]="Open","",(PA[[#This Row],[Work Completion time on fault]]-PA[[#This Row],[Fault Time]])*24)</f>
        <v>0</v>
      </c>
      <c r="AG200" s="44">
        <f>IFERROR((PA[[#This Row],[Work Completion time on fault]]-PA[[#This Row],[Fault Time]])*24,"")</f>
        <v>0</v>
      </c>
      <c r="AH200" s="282"/>
      <c r="AI200" s="33"/>
      <c r="AJ200" s="35" t="str">
        <f>IFERROR(PA[[#This Row],[Breakdown Time]]*PA[[#This Row],[Plant Equivalent Weightage]],"")</f>
        <v/>
      </c>
      <c r="AK200" s="36"/>
      <c r="AL200" s="51" t="str">
        <f>IFERROR((_xlfn.XLOOKUP($G200,'Modelling New'!D:D,'Modelling New'!$O:$O)*PA[[#This Row],[Lost PoA(kWh/m2)]]*PA[[#This Row],[DC Capacity Affected (kW)]]),"")</f>
        <v/>
      </c>
      <c r="AM200" s="33"/>
      <c r="AN200" s="33"/>
      <c r="AO200" s="33"/>
      <c r="AP200" s="33"/>
    </row>
    <row r="201" spans="1:42">
      <c r="A201" s="30">
        <f t="shared" si="0"/>
        <v>200</v>
      </c>
      <c r="B201" s="165"/>
      <c r="C201" s="32">
        <f>YEAR(PA[[#This Row],[Date]])+IF(MONTH(PA[[#This Row],[Date]])&gt;=4,1,0)</f>
        <v>1900</v>
      </c>
      <c r="D201" s="32">
        <f>YEAR(PA[[#This Row],[Date]])</f>
        <v>1900</v>
      </c>
      <c r="E201" s="33" t="s">
        <v>157</v>
      </c>
      <c r="F201" s="33" t="s">
        <v>157</v>
      </c>
      <c r="G201" s="194">
        <f>PA[[#This Row],[Date]]-DAY(PA[[#This Row],[Date]])+1</f>
        <v>1</v>
      </c>
      <c r="H201" s="32">
        <f>DAY(EOMONTH(PA[[#This Row],[Month Year]],0))</f>
        <v>31</v>
      </c>
      <c r="I201" s="34"/>
      <c r="J201" s="34"/>
      <c r="K201" s="35">
        <f>IFERROR((PA[[#This Row],[Sunset Time (POA&lt;20 W/m2)]]-PA[[#This Row],[Sunrise Time (POA&gt;20 W/m2)]])*24,"")</f>
        <v>0</v>
      </c>
      <c r="L201" s="37"/>
      <c r="M201" s="37"/>
      <c r="N201" s="33"/>
      <c r="O201" s="36"/>
      <c r="P201" s="36"/>
      <c r="Q201" s="33"/>
      <c r="R201" s="32">
        <f>IF((PA[[#This Row],[String Type(If String BD)]]&amp;PA[[#This Row],[Equipment (If any BD other than PV  array and inv)]])="",1,0)</f>
        <v>1</v>
      </c>
      <c r="S201" s="32">
        <f>IF(PA[[#This Row],[String Type(If String BD)]]="",1,0)</f>
        <v>1</v>
      </c>
      <c r="T2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1" s="35" t="str">
        <f>IFERROR(_xlfn.XLOOKUP(PA[[#This Row],[Affected Equipment ]],'Basic Data'!N:N,'Basic Data'!Q:Q),"")</f>
        <v/>
      </c>
      <c r="V201" s="207" t="str">
        <f>IFERROR(_xlfn.XLOOKUP(PA[[#This Row],[Affected Equipment ]],'Basic Data'!N:N,'Basic Data'!R:R),"")</f>
        <v/>
      </c>
      <c r="W201" s="36"/>
      <c r="X201" s="40"/>
      <c r="Y201" s="286"/>
      <c r="Z201" s="43"/>
      <c r="AA201" s="43"/>
      <c r="AB201" s="43"/>
      <c r="AC201" s="46"/>
      <c r="AD201" s="44">
        <f>IF(PA[[#This Row],[Acknowledgement Time ]]="NA","",(PA[[#This Row],[Acknowledgement Time ]]-PA[[#This Row],[Fault Time]])*24)</f>
        <v>0</v>
      </c>
      <c r="AE201" s="44">
        <f>IF(PA[[#This Row],[Work Start time on Fault]]="NA","",(PA[[#This Row],[Work Start time on Fault]]-PA[[#This Row],[Fault Time]])*24)</f>
        <v>0</v>
      </c>
      <c r="AF201" s="45">
        <f>IF(PA[[#This Row],[Status]]="Open","",(PA[[#This Row],[Work Completion time on fault]]-PA[[#This Row],[Fault Time]])*24)</f>
        <v>0</v>
      </c>
      <c r="AG201" s="44">
        <f>IFERROR((PA[[#This Row],[Work Completion time on fault]]-PA[[#This Row],[Fault Time]])*24,"")</f>
        <v>0</v>
      </c>
      <c r="AH201" s="282"/>
      <c r="AI201" s="33"/>
      <c r="AJ201" s="35" t="str">
        <f>IFERROR(PA[[#This Row],[Breakdown Time]]*PA[[#This Row],[Plant Equivalent Weightage]],"")</f>
        <v/>
      </c>
      <c r="AK201" s="36"/>
      <c r="AL201" s="51" t="str">
        <f>IFERROR((_xlfn.XLOOKUP($G201,'Modelling New'!D:D,'Modelling New'!$O:$O)*PA[[#This Row],[Lost PoA(kWh/m2)]]*PA[[#This Row],[DC Capacity Affected (kW)]]),"")</f>
        <v/>
      </c>
      <c r="AM201" s="33"/>
      <c r="AN201" s="33"/>
      <c r="AO201" s="33"/>
      <c r="AP201" s="33"/>
    </row>
    <row r="202" spans="1:42">
      <c r="A202" s="30">
        <f t="shared" si="0"/>
        <v>201</v>
      </c>
      <c r="B202" s="165"/>
      <c r="C202" s="32">
        <f>YEAR(PA[[#This Row],[Date]])+IF(MONTH(PA[[#This Row],[Date]])&gt;=4,1,0)</f>
        <v>1900</v>
      </c>
      <c r="D202" s="32">
        <f>YEAR(PA[[#This Row],[Date]])</f>
        <v>1900</v>
      </c>
      <c r="E202" s="33" t="s">
        <v>157</v>
      </c>
      <c r="F202" s="33" t="s">
        <v>157</v>
      </c>
      <c r="G202" s="194">
        <f>PA[[#This Row],[Date]]-DAY(PA[[#This Row],[Date]])+1</f>
        <v>1</v>
      </c>
      <c r="H202" s="32">
        <f>DAY(EOMONTH(PA[[#This Row],[Month Year]],0))</f>
        <v>31</v>
      </c>
      <c r="I202" s="34"/>
      <c r="J202" s="34"/>
      <c r="K202" s="35">
        <f>IFERROR((PA[[#This Row],[Sunset Time (POA&lt;20 W/m2)]]-PA[[#This Row],[Sunrise Time (POA&gt;20 W/m2)]])*24,"")</f>
        <v>0</v>
      </c>
      <c r="L202" s="37"/>
      <c r="M202" s="37"/>
      <c r="N202" s="33"/>
      <c r="O202" s="36"/>
      <c r="P202" s="36"/>
      <c r="Q202" s="33"/>
      <c r="R202" s="32">
        <f>IF((PA[[#This Row],[String Type(If String BD)]]&amp;PA[[#This Row],[Equipment (If any BD other than PV  array and inv)]])="",1,0)</f>
        <v>1</v>
      </c>
      <c r="S202" s="32">
        <f>IF(PA[[#This Row],[String Type(If String BD)]]="",1,0)</f>
        <v>1</v>
      </c>
      <c r="T2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2" s="35" t="str">
        <f>IFERROR(_xlfn.XLOOKUP(PA[[#This Row],[Affected Equipment ]],'Basic Data'!N:N,'Basic Data'!Q:Q),"")</f>
        <v/>
      </c>
      <c r="V202" s="207" t="str">
        <f>IFERROR(_xlfn.XLOOKUP(PA[[#This Row],[Affected Equipment ]],'Basic Data'!N:N,'Basic Data'!R:R),"")</f>
        <v/>
      </c>
      <c r="W202" s="36"/>
      <c r="X202" s="40"/>
      <c r="Y202" s="286"/>
      <c r="Z202" s="43"/>
      <c r="AA202" s="43"/>
      <c r="AB202" s="43"/>
      <c r="AC202" s="46"/>
      <c r="AD202" s="44">
        <f>IF(PA[[#This Row],[Acknowledgement Time ]]="NA","",(PA[[#This Row],[Acknowledgement Time ]]-PA[[#This Row],[Fault Time]])*24)</f>
        <v>0</v>
      </c>
      <c r="AE202" s="44">
        <f>IF(PA[[#This Row],[Work Start time on Fault]]="NA","",(PA[[#This Row],[Work Start time on Fault]]-PA[[#This Row],[Fault Time]])*24)</f>
        <v>0</v>
      </c>
      <c r="AF202" s="45">
        <f>IF(PA[[#This Row],[Status]]="Open","",(PA[[#This Row],[Work Completion time on fault]]-PA[[#This Row],[Fault Time]])*24)</f>
        <v>0</v>
      </c>
      <c r="AG202" s="44">
        <f>IFERROR((PA[[#This Row],[Work Completion time on fault]]-PA[[#This Row],[Fault Time]])*24,"")</f>
        <v>0</v>
      </c>
      <c r="AH202" s="36"/>
      <c r="AI202" s="33"/>
      <c r="AJ202" s="35" t="str">
        <f>IFERROR(PA[[#This Row],[Breakdown Time]]*PA[[#This Row],[Plant Equivalent Weightage]],"")</f>
        <v/>
      </c>
      <c r="AK202" s="36"/>
      <c r="AL202" s="51" t="str">
        <f>IFERROR((_xlfn.XLOOKUP($G202,'Modelling New'!D:D,'Modelling New'!$O:$O)*PA[[#This Row],[Lost PoA(kWh/m2)]]*PA[[#This Row],[DC Capacity Affected (kW)]]),"")</f>
        <v/>
      </c>
      <c r="AM202" s="33"/>
      <c r="AN202" s="33"/>
      <c r="AO202" s="33"/>
      <c r="AP202" s="33"/>
    </row>
    <row r="203" spans="1:42">
      <c r="A203" s="30">
        <f t="shared" si="0"/>
        <v>202</v>
      </c>
      <c r="B203" s="165"/>
      <c r="C203" s="32">
        <f>YEAR(PA[[#This Row],[Date]])+IF(MONTH(PA[[#This Row],[Date]])&gt;=4,1,0)</f>
        <v>1900</v>
      </c>
      <c r="D203" s="32">
        <f>YEAR(PA[[#This Row],[Date]])</f>
        <v>1900</v>
      </c>
      <c r="E203" s="33" t="s">
        <v>157</v>
      </c>
      <c r="F203" s="33" t="s">
        <v>157</v>
      </c>
      <c r="G203" s="194">
        <f>PA[[#This Row],[Date]]-DAY(PA[[#This Row],[Date]])+1</f>
        <v>1</v>
      </c>
      <c r="H203" s="32">
        <f>DAY(EOMONTH(PA[[#This Row],[Month Year]],0))</f>
        <v>31</v>
      </c>
      <c r="I203" s="34"/>
      <c r="J203" s="34"/>
      <c r="K203" s="35">
        <f>IFERROR((PA[[#This Row],[Sunset Time (POA&lt;20 W/m2)]]-PA[[#This Row],[Sunrise Time (POA&gt;20 W/m2)]])*24,"")</f>
        <v>0</v>
      </c>
      <c r="L203" s="33"/>
      <c r="M203" s="33"/>
      <c r="N203" s="33"/>
      <c r="O203" s="36"/>
      <c r="P203" s="36"/>
      <c r="Q203" s="33"/>
      <c r="R203" s="32">
        <f>IF((PA[[#This Row],[String Type(If String BD)]]&amp;PA[[#This Row],[Equipment (If any BD other than PV  array and inv)]])="",1,0)</f>
        <v>1</v>
      </c>
      <c r="S203" s="32">
        <f>IF(PA[[#This Row],[String Type(If String BD)]]="",1,0)</f>
        <v>1</v>
      </c>
      <c r="T2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3" s="35" t="str">
        <f>IFERROR(_xlfn.XLOOKUP(PA[[#This Row],[Affected Equipment ]],'Basic Data'!N:N,'Basic Data'!Q:Q),"")</f>
        <v/>
      </c>
      <c r="V203" s="207" t="str">
        <f>IFERROR(_xlfn.XLOOKUP(PA[[#This Row],[Affected Equipment ]],'Basic Data'!N:N,'Basic Data'!R:R),"")</f>
        <v/>
      </c>
      <c r="W203" s="36"/>
      <c r="X203" s="40"/>
      <c r="Y203" s="40"/>
      <c r="Z203" s="46"/>
      <c r="AA203" s="46"/>
      <c r="AB203" s="46"/>
      <c r="AC203" s="46"/>
      <c r="AD203" s="44">
        <f>IF(PA[[#This Row],[Acknowledgement Time ]]="NA","",(PA[[#This Row],[Acknowledgement Time ]]-PA[[#This Row],[Fault Time]])*24)</f>
        <v>0</v>
      </c>
      <c r="AE203" s="44">
        <f>IF(PA[[#This Row],[Work Start time on Fault]]="NA","",(PA[[#This Row],[Work Start time on Fault]]-PA[[#This Row],[Fault Time]])*24)</f>
        <v>0</v>
      </c>
      <c r="AF203" s="45">
        <f>IF(PA[[#This Row],[Status]]="Open","",(PA[[#This Row],[Work Completion time on fault]]-PA[[#This Row],[Fault Time]])*24)</f>
        <v>0</v>
      </c>
      <c r="AG203" s="44">
        <f>IFERROR((PA[[#This Row],[Work Completion time on fault]]-PA[[#This Row],[Fault Time]])*24,"")</f>
        <v>0</v>
      </c>
      <c r="AH203" s="36"/>
      <c r="AI203" s="33"/>
      <c r="AJ203" s="35" t="str">
        <f>IFERROR(PA[[#This Row],[Breakdown Time]]*PA[[#This Row],[Plant Equivalent Weightage]],"")</f>
        <v/>
      </c>
      <c r="AK203" s="36"/>
      <c r="AL203" s="51" t="str">
        <f>IFERROR((_xlfn.XLOOKUP($G203,'Modelling New'!D:D,'Modelling New'!$O:$O)*PA[[#This Row],[Lost PoA(kWh/m2)]]*PA[[#This Row],[DC Capacity Affected (kW)]]),"")</f>
        <v/>
      </c>
      <c r="AM203" s="33"/>
      <c r="AN203" s="33"/>
      <c r="AO203" s="33"/>
      <c r="AP203" s="33"/>
    </row>
    <row r="204" spans="1:42">
      <c r="A204" s="30">
        <f t="shared" si="0"/>
        <v>203</v>
      </c>
      <c r="B204" s="165"/>
      <c r="C204" s="32">
        <f>YEAR(PA[[#This Row],[Date]])+IF(MONTH(PA[[#This Row],[Date]])&gt;=4,1,0)</f>
        <v>1900</v>
      </c>
      <c r="D204" s="32">
        <f>YEAR(PA[[#This Row],[Date]])</f>
        <v>1900</v>
      </c>
      <c r="E204" s="33" t="s">
        <v>157</v>
      </c>
      <c r="F204" s="33" t="s">
        <v>157</v>
      </c>
      <c r="G204" s="194">
        <f>PA[[#This Row],[Date]]-DAY(PA[[#This Row],[Date]])+1</f>
        <v>1</v>
      </c>
      <c r="H204" s="32">
        <f>DAY(EOMONTH(PA[[#This Row],[Month Year]],0))</f>
        <v>31</v>
      </c>
      <c r="I204" s="34"/>
      <c r="J204" s="34"/>
      <c r="K204" s="35">
        <f>IFERROR((PA[[#This Row],[Sunset Time (POA&lt;20 W/m2)]]-PA[[#This Row],[Sunrise Time (POA&gt;20 W/m2)]])*24,"")</f>
        <v>0</v>
      </c>
      <c r="L204" s="33"/>
      <c r="M204" s="33"/>
      <c r="N204" s="33"/>
      <c r="O204" s="36"/>
      <c r="P204" s="36"/>
      <c r="Q204" s="33"/>
      <c r="R204" s="32">
        <f>IF((PA[[#This Row],[String Type(If String BD)]]&amp;PA[[#This Row],[Equipment (If any BD other than PV  array and inv)]])="",1,0)</f>
        <v>1</v>
      </c>
      <c r="S204" s="32">
        <f>IF(PA[[#This Row],[String Type(If String BD)]]="",1,0)</f>
        <v>1</v>
      </c>
      <c r="T2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4" s="35" t="str">
        <f>IFERROR(_xlfn.XLOOKUP(PA[[#This Row],[Affected Equipment ]],'Basic Data'!N:N,'Basic Data'!Q:Q),"")</f>
        <v/>
      </c>
      <c r="V204" s="207" t="str">
        <f>IFERROR(_xlfn.XLOOKUP(PA[[#This Row],[Affected Equipment ]],'Basic Data'!N:N,'Basic Data'!R:R),"")</f>
        <v/>
      </c>
      <c r="W204" s="36"/>
      <c r="X204" s="40"/>
      <c r="Y204" s="40"/>
      <c r="Z204" s="46"/>
      <c r="AA204" s="46"/>
      <c r="AB204" s="46"/>
      <c r="AC204" s="46"/>
      <c r="AD204" s="44">
        <f>IF(PA[[#This Row],[Acknowledgement Time ]]="NA","",(PA[[#This Row],[Acknowledgement Time ]]-PA[[#This Row],[Fault Time]])*24)</f>
        <v>0</v>
      </c>
      <c r="AE204" s="44">
        <f>IF(PA[[#This Row],[Work Start time on Fault]]="NA","",(PA[[#This Row],[Work Start time on Fault]]-PA[[#This Row],[Fault Time]])*24)</f>
        <v>0</v>
      </c>
      <c r="AF204" s="45">
        <f>IF(PA[[#This Row],[Status]]="Open","",(PA[[#This Row],[Work Completion time on fault]]-PA[[#This Row],[Fault Time]])*24)</f>
        <v>0</v>
      </c>
      <c r="AG204" s="44">
        <f>IFERROR((PA[[#This Row],[Work Completion time on fault]]-PA[[#This Row],[Fault Time]])*24,"")</f>
        <v>0</v>
      </c>
      <c r="AH204" s="36"/>
      <c r="AI204" s="33"/>
      <c r="AJ204" s="35" t="str">
        <f>IFERROR(PA[[#This Row],[Breakdown Time]]*PA[[#This Row],[Plant Equivalent Weightage]],"")</f>
        <v/>
      </c>
      <c r="AK204" s="36"/>
      <c r="AL204" s="51" t="str">
        <f>IFERROR((_xlfn.XLOOKUP($G204,'Modelling New'!D:D,'Modelling New'!$O:$O)*PA[[#This Row],[Lost PoA(kWh/m2)]]*PA[[#This Row],[DC Capacity Affected (kW)]]),"")</f>
        <v/>
      </c>
      <c r="AM204" s="33"/>
      <c r="AN204" s="33"/>
      <c r="AO204" s="33"/>
      <c r="AP204" s="33"/>
    </row>
    <row r="205" spans="1:42">
      <c r="A205" s="30">
        <f t="shared" si="0"/>
        <v>204</v>
      </c>
      <c r="B205" s="165"/>
      <c r="C205" s="32">
        <f>YEAR(PA[[#This Row],[Date]])+IF(MONTH(PA[[#This Row],[Date]])&gt;=4,1,0)</f>
        <v>1900</v>
      </c>
      <c r="D205" s="32">
        <f>YEAR(PA[[#This Row],[Date]])</f>
        <v>1900</v>
      </c>
      <c r="E205" s="33" t="s">
        <v>157</v>
      </c>
      <c r="F205" s="33" t="s">
        <v>157</v>
      </c>
      <c r="G205" s="194">
        <f>PA[[#This Row],[Date]]-DAY(PA[[#This Row],[Date]])+1</f>
        <v>1</v>
      </c>
      <c r="H205" s="32">
        <f>DAY(EOMONTH(PA[[#This Row],[Month Year]],0))</f>
        <v>31</v>
      </c>
      <c r="I205" s="34"/>
      <c r="J205" s="34"/>
      <c r="K205" s="35">
        <f>IFERROR((PA[[#This Row],[Sunset Time (POA&lt;20 W/m2)]]-PA[[#This Row],[Sunrise Time (POA&gt;20 W/m2)]])*24,"")</f>
        <v>0</v>
      </c>
      <c r="L205" s="33"/>
      <c r="M205" s="37"/>
      <c r="N205" s="33"/>
      <c r="O205" s="36"/>
      <c r="P205" s="36"/>
      <c r="Q205" s="33"/>
      <c r="R205" s="32">
        <f>IF((PA[[#This Row],[String Type(If String BD)]]&amp;PA[[#This Row],[Equipment (If any BD other than PV  array and inv)]])="",1,0)</f>
        <v>1</v>
      </c>
      <c r="S205" s="32">
        <f>IF(PA[[#This Row],[String Type(If String BD)]]="",1,0)</f>
        <v>1</v>
      </c>
      <c r="T2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5" s="35" t="str">
        <f>IFERROR(_xlfn.XLOOKUP(PA[[#This Row],[Affected Equipment ]],'Basic Data'!N:N,'Basic Data'!Q:Q),"")</f>
        <v/>
      </c>
      <c r="V205" s="207" t="str">
        <f>IFERROR(_xlfn.XLOOKUP(PA[[#This Row],[Affected Equipment ]],'Basic Data'!N:N,'Basic Data'!R:R),"")</f>
        <v/>
      </c>
      <c r="W205" s="36"/>
      <c r="X205" s="40"/>
      <c r="Y205" s="40"/>
      <c r="Z205" s="46"/>
      <c r="AA205" s="46"/>
      <c r="AB205" s="46"/>
      <c r="AC205" s="46"/>
      <c r="AD205" s="44">
        <f>IF(PA[[#This Row],[Acknowledgement Time ]]="NA","",(PA[[#This Row],[Acknowledgement Time ]]-PA[[#This Row],[Fault Time]])*24)</f>
        <v>0</v>
      </c>
      <c r="AE205" s="44">
        <f>IF(PA[[#This Row],[Work Start time on Fault]]="NA","",(PA[[#This Row],[Work Start time on Fault]]-PA[[#This Row],[Fault Time]])*24)</f>
        <v>0</v>
      </c>
      <c r="AF205" s="45">
        <f>IF(PA[[#This Row],[Status]]="Open","",(PA[[#This Row],[Work Completion time on fault]]-PA[[#This Row],[Fault Time]])*24)</f>
        <v>0</v>
      </c>
      <c r="AG205" s="44">
        <f>IFERROR((PA[[#This Row],[Work Completion time on fault]]-PA[[#This Row],[Fault Time]])*24,"")</f>
        <v>0</v>
      </c>
      <c r="AH205" s="36"/>
      <c r="AI205" s="33"/>
      <c r="AJ205" s="35" t="str">
        <f>IFERROR(PA[[#This Row],[Breakdown Time]]*PA[[#This Row],[Plant Equivalent Weightage]],"")</f>
        <v/>
      </c>
      <c r="AK205" s="36"/>
      <c r="AL205" s="51" t="str">
        <f>IFERROR((_xlfn.XLOOKUP($G205,'Modelling New'!D:D,'Modelling New'!$O:$O)*PA[[#This Row],[Lost PoA(kWh/m2)]]*PA[[#This Row],[DC Capacity Affected (kW)]]),"")</f>
        <v/>
      </c>
      <c r="AM205" s="33"/>
      <c r="AN205" s="33"/>
      <c r="AO205" s="33"/>
      <c r="AP205" s="33"/>
    </row>
    <row r="206" spans="1:42">
      <c r="A206" s="30">
        <f t="shared" si="0"/>
        <v>205</v>
      </c>
      <c r="B206" s="165"/>
      <c r="C206" s="32">
        <f>YEAR(PA[[#This Row],[Date]])+IF(MONTH(PA[[#This Row],[Date]])&gt;=4,1,0)</f>
        <v>1900</v>
      </c>
      <c r="D206" s="32">
        <f>YEAR(PA[[#This Row],[Date]])</f>
        <v>1900</v>
      </c>
      <c r="E206" s="33" t="s">
        <v>157</v>
      </c>
      <c r="F206" s="33" t="s">
        <v>157</v>
      </c>
      <c r="G206" s="194">
        <f>PA[[#This Row],[Date]]-DAY(PA[[#This Row],[Date]])+1</f>
        <v>1</v>
      </c>
      <c r="H206" s="32">
        <f>DAY(EOMONTH(PA[[#This Row],[Month Year]],0))</f>
        <v>31</v>
      </c>
      <c r="I206" s="34"/>
      <c r="J206" s="34"/>
      <c r="K206" s="35">
        <f>IFERROR((PA[[#This Row],[Sunset Time (POA&lt;20 W/m2)]]-PA[[#This Row],[Sunrise Time (POA&gt;20 W/m2)]])*24,"")</f>
        <v>0</v>
      </c>
      <c r="L206" s="33"/>
      <c r="M206" s="37"/>
      <c r="N206" s="33"/>
      <c r="O206" s="36"/>
      <c r="P206" s="36"/>
      <c r="Q206" s="33"/>
      <c r="R206" s="32">
        <f>IF((PA[[#This Row],[String Type(If String BD)]]&amp;PA[[#This Row],[Equipment (If any BD other than PV  array and inv)]])="",1,0)</f>
        <v>1</v>
      </c>
      <c r="S206" s="32">
        <f>IF(PA[[#This Row],[String Type(If String BD)]]="",1,0)</f>
        <v>1</v>
      </c>
      <c r="T2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6" s="35" t="str">
        <f>IFERROR(_xlfn.XLOOKUP(PA[[#This Row],[Affected Equipment ]],'Basic Data'!N:N,'Basic Data'!Q:Q),"")</f>
        <v/>
      </c>
      <c r="V206" s="207" t="str">
        <f>IFERROR(_xlfn.XLOOKUP(PA[[#This Row],[Affected Equipment ]],'Basic Data'!N:N,'Basic Data'!R:R),"")</f>
        <v/>
      </c>
      <c r="W206" s="36"/>
      <c r="X206" s="40"/>
      <c r="Y206" s="40"/>
      <c r="Z206" s="46"/>
      <c r="AA206" s="46"/>
      <c r="AB206" s="46"/>
      <c r="AC206" s="46"/>
      <c r="AD206" s="44">
        <f>IF(PA[[#This Row],[Acknowledgement Time ]]="NA","",(PA[[#This Row],[Acknowledgement Time ]]-PA[[#This Row],[Fault Time]])*24)</f>
        <v>0</v>
      </c>
      <c r="AE206" s="44">
        <f>IF(PA[[#This Row],[Work Start time on Fault]]="NA","",(PA[[#This Row],[Work Start time on Fault]]-PA[[#This Row],[Fault Time]])*24)</f>
        <v>0</v>
      </c>
      <c r="AF206" s="45">
        <f>IF(PA[[#This Row],[Status]]="Open","",(PA[[#This Row],[Work Completion time on fault]]-PA[[#This Row],[Fault Time]])*24)</f>
        <v>0</v>
      </c>
      <c r="AG206" s="44">
        <f>IFERROR((PA[[#This Row],[Work Completion time on fault]]-PA[[#This Row],[Fault Time]])*24,"")</f>
        <v>0</v>
      </c>
      <c r="AH206" s="36"/>
      <c r="AI206" s="33"/>
      <c r="AJ206" s="35" t="str">
        <f>IFERROR(PA[[#This Row],[Breakdown Time]]*PA[[#This Row],[Plant Equivalent Weightage]],"")</f>
        <v/>
      </c>
      <c r="AK206" s="36"/>
      <c r="AL206" s="51" t="str">
        <f>IFERROR((_xlfn.XLOOKUP($G206,'Modelling New'!D:D,'Modelling New'!$O:$O)*PA[[#This Row],[Lost PoA(kWh/m2)]]*PA[[#This Row],[DC Capacity Affected (kW)]]),"")</f>
        <v/>
      </c>
      <c r="AM206" s="33"/>
      <c r="AN206" s="33"/>
      <c r="AO206" s="33"/>
      <c r="AP206" s="33"/>
    </row>
    <row r="207" spans="1:42">
      <c r="A207" s="30">
        <f t="shared" si="0"/>
        <v>206</v>
      </c>
      <c r="B207" s="165"/>
      <c r="C207" s="32">
        <f>YEAR(PA[[#This Row],[Date]])+IF(MONTH(PA[[#This Row],[Date]])&gt;=4,1,0)</f>
        <v>1900</v>
      </c>
      <c r="D207" s="32">
        <f>YEAR(PA[[#This Row],[Date]])</f>
        <v>1900</v>
      </c>
      <c r="E207" s="33" t="s">
        <v>157</v>
      </c>
      <c r="F207" s="33" t="s">
        <v>157</v>
      </c>
      <c r="G207" s="194">
        <f>PA[[#This Row],[Date]]-DAY(PA[[#This Row],[Date]])+1</f>
        <v>1</v>
      </c>
      <c r="H207" s="32">
        <f>DAY(EOMONTH(PA[[#This Row],[Month Year]],0))</f>
        <v>31</v>
      </c>
      <c r="I207" s="34"/>
      <c r="J207" s="34"/>
      <c r="K207" s="35">
        <f>IFERROR((PA[[#This Row],[Sunset Time (POA&lt;20 W/m2)]]-PA[[#This Row],[Sunrise Time (POA&gt;20 W/m2)]])*24,"")</f>
        <v>0</v>
      </c>
      <c r="L207" s="33"/>
      <c r="M207" s="37"/>
      <c r="N207" s="33"/>
      <c r="O207" s="36"/>
      <c r="P207" s="36"/>
      <c r="Q207" s="33"/>
      <c r="R207" s="32">
        <f>IF((PA[[#This Row],[String Type(If String BD)]]&amp;PA[[#This Row],[Equipment (If any BD other than PV  array and inv)]])="",1,0)</f>
        <v>1</v>
      </c>
      <c r="S207" s="32">
        <f>IF(PA[[#This Row],[String Type(If String BD)]]="",1,0)</f>
        <v>1</v>
      </c>
      <c r="T2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7" s="35" t="str">
        <f>IFERROR(_xlfn.XLOOKUP(PA[[#This Row],[Affected Equipment ]],'Basic Data'!N:N,'Basic Data'!Q:Q),"")</f>
        <v/>
      </c>
      <c r="V207" s="207" t="str">
        <f>IFERROR(_xlfn.XLOOKUP(PA[[#This Row],[Affected Equipment ]],'Basic Data'!N:N,'Basic Data'!R:R),"")</f>
        <v/>
      </c>
      <c r="W207" s="36"/>
      <c r="X207" s="40"/>
      <c r="Y207" s="40"/>
      <c r="Z207" s="46"/>
      <c r="AA207" s="46"/>
      <c r="AB207" s="46"/>
      <c r="AC207" s="46"/>
      <c r="AD207" s="44">
        <f>IF(PA[[#This Row],[Acknowledgement Time ]]="NA","",(PA[[#This Row],[Acknowledgement Time ]]-PA[[#This Row],[Fault Time]])*24)</f>
        <v>0</v>
      </c>
      <c r="AE207" s="44">
        <f>IF(PA[[#This Row],[Work Start time on Fault]]="NA","",(PA[[#This Row],[Work Start time on Fault]]-PA[[#This Row],[Fault Time]])*24)</f>
        <v>0</v>
      </c>
      <c r="AF207" s="45">
        <f>IF(PA[[#This Row],[Status]]="Open","",(PA[[#This Row],[Work Completion time on fault]]-PA[[#This Row],[Fault Time]])*24)</f>
        <v>0</v>
      </c>
      <c r="AG207" s="44">
        <f>IFERROR((PA[[#This Row],[Work Completion time on fault]]-PA[[#This Row],[Fault Time]])*24,"")</f>
        <v>0</v>
      </c>
      <c r="AH207" s="36"/>
      <c r="AI207" s="33"/>
      <c r="AJ207" s="35" t="str">
        <f>IFERROR(PA[[#This Row],[Breakdown Time]]*PA[[#This Row],[Plant Equivalent Weightage]],"")</f>
        <v/>
      </c>
      <c r="AK207" s="36"/>
      <c r="AL207" s="51" t="str">
        <f>IFERROR((_xlfn.XLOOKUP($G207,'Modelling New'!D:D,'Modelling New'!$O:$O)*PA[[#This Row],[Lost PoA(kWh/m2)]]*PA[[#This Row],[DC Capacity Affected (kW)]]),"")</f>
        <v/>
      </c>
      <c r="AM207" s="33"/>
      <c r="AN207" s="33"/>
      <c r="AO207" s="33"/>
      <c r="AP207" s="33"/>
    </row>
    <row r="208" spans="1:42">
      <c r="A208" s="30">
        <f t="shared" si="0"/>
        <v>207</v>
      </c>
      <c r="B208" s="31"/>
      <c r="C208" s="32">
        <f>YEAR(PA[[#This Row],[Date]])+IF(MONTH(PA[[#This Row],[Date]])&gt;=4,1,0)</f>
        <v>1900</v>
      </c>
      <c r="D208" s="32">
        <f>YEAR(PA[[#This Row],[Date]])</f>
        <v>1900</v>
      </c>
      <c r="E208" s="33" t="s">
        <v>157</v>
      </c>
      <c r="F208" s="33" t="s">
        <v>157</v>
      </c>
      <c r="G208" s="194">
        <f>PA[[#This Row],[Date]]-DAY(PA[[#This Row],[Date]])+1</f>
        <v>1</v>
      </c>
      <c r="H208" s="32">
        <f>DAY(EOMONTH(PA[[#This Row],[Month Year]],0))</f>
        <v>31</v>
      </c>
      <c r="I208" s="34"/>
      <c r="J208" s="34"/>
      <c r="K208" s="35">
        <f>IFERROR((PA[[#This Row],[Sunset Time (POA&lt;20 W/m2)]]-PA[[#This Row],[Sunrise Time (POA&gt;20 W/m2)]])*24,"")</f>
        <v>0</v>
      </c>
      <c r="L208" s="33"/>
      <c r="M208" s="37"/>
      <c r="N208" s="33"/>
      <c r="O208" s="36"/>
      <c r="P208" s="36"/>
      <c r="Q208" s="33"/>
      <c r="R208" s="32">
        <f>IF((PA[[#This Row],[String Type(If String BD)]]&amp;PA[[#This Row],[Equipment (If any BD other than PV  array and inv)]])="",1,0)</f>
        <v>1</v>
      </c>
      <c r="S208" s="32">
        <f>IF(PA[[#This Row],[String Type(If String BD)]]="",1,0)</f>
        <v>1</v>
      </c>
      <c r="T2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8" s="35" t="str">
        <f>IFERROR(_xlfn.XLOOKUP(PA[[#This Row],[Affected Equipment ]],'Basic Data'!N:N,'Basic Data'!Q:Q),"")</f>
        <v/>
      </c>
      <c r="V208" s="207" t="str">
        <f>IFERROR(_xlfn.XLOOKUP(PA[[#This Row],[Affected Equipment ]],'Basic Data'!N:N,'Basic Data'!R:R),"")</f>
        <v/>
      </c>
      <c r="W208" s="36"/>
      <c r="X208" s="40"/>
      <c r="Y208" s="40"/>
      <c r="Z208" s="46"/>
      <c r="AA208" s="46"/>
      <c r="AB208" s="46"/>
      <c r="AC208" s="46"/>
      <c r="AD208" s="44">
        <f>IF(PA[[#This Row],[Acknowledgement Time ]]="NA","",(PA[[#This Row],[Acknowledgement Time ]]-PA[[#This Row],[Fault Time]])*24)</f>
        <v>0</v>
      </c>
      <c r="AE208" s="44">
        <f>IF(PA[[#This Row],[Work Start time on Fault]]="NA","",(PA[[#This Row],[Work Start time on Fault]]-PA[[#This Row],[Fault Time]])*24)</f>
        <v>0</v>
      </c>
      <c r="AF208" s="45">
        <f>IF(PA[[#This Row],[Status]]="Open","",(PA[[#This Row],[Work Completion time on fault]]-PA[[#This Row],[Fault Time]])*24)</f>
        <v>0</v>
      </c>
      <c r="AG208" s="44">
        <f>IFERROR((PA[[#This Row],[Work Completion time on fault]]-PA[[#This Row],[Fault Time]])*24,"")</f>
        <v>0</v>
      </c>
      <c r="AH208" s="36"/>
      <c r="AI208" s="33"/>
      <c r="AJ208" s="35" t="str">
        <f>IFERROR(PA[[#This Row],[Breakdown Time]]*PA[[#This Row],[Plant Equivalent Weightage]],"")</f>
        <v/>
      </c>
      <c r="AK208" s="36"/>
      <c r="AL208" s="51" t="str">
        <f>IFERROR((_xlfn.XLOOKUP($G208,'Modelling New'!D:D,'Modelling New'!$O:$O)*PA[[#This Row],[Lost PoA(kWh/m2)]]*PA[[#This Row],[DC Capacity Affected (kW)]]),"")</f>
        <v/>
      </c>
      <c r="AM208" s="33"/>
      <c r="AN208" s="33"/>
      <c r="AO208" s="33"/>
      <c r="AP208" s="33"/>
    </row>
    <row r="209" spans="1:42">
      <c r="A209" s="30">
        <f t="shared" si="0"/>
        <v>208</v>
      </c>
      <c r="B209" s="165"/>
      <c r="C209" s="32">
        <f>YEAR(PA[[#This Row],[Date]])+IF(MONTH(PA[[#This Row],[Date]])&gt;=4,1,0)</f>
        <v>1900</v>
      </c>
      <c r="D209" s="32">
        <f>YEAR(PA[[#This Row],[Date]])</f>
        <v>1900</v>
      </c>
      <c r="E209" s="33" t="s">
        <v>157</v>
      </c>
      <c r="F209" s="33" t="s">
        <v>157</v>
      </c>
      <c r="G209" s="194">
        <f>PA[[#This Row],[Date]]-DAY(PA[[#This Row],[Date]])+1</f>
        <v>1</v>
      </c>
      <c r="H209" s="202">
        <f>DAY(EOMONTH(PA[[#This Row],[Month Year]],0))</f>
        <v>31</v>
      </c>
      <c r="I209" s="34"/>
      <c r="J209" s="34"/>
      <c r="K209" s="35">
        <f>IFERROR((PA[[#This Row],[Sunset Time (POA&lt;20 W/m2)]]-PA[[#This Row],[Sunrise Time (POA&gt;20 W/m2)]])*24,"")</f>
        <v>0</v>
      </c>
      <c r="L209" s="33"/>
      <c r="M209" s="33"/>
      <c r="N209" s="33"/>
      <c r="O209" s="38"/>
      <c r="P209" s="38"/>
      <c r="Q209" s="37"/>
      <c r="R209" s="202">
        <f>IF((PA[[#This Row],[String Type(If String BD)]]&amp;PA[[#This Row],[Equipment (If any BD other than PV  array and inv)]])="",1,0)</f>
        <v>1</v>
      </c>
      <c r="S209" s="202">
        <f>IF(PA[[#This Row],[String Type(If String BD)]]="",1,0)</f>
        <v>1</v>
      </c>
      <c r="T20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09" s="204" t="str">
        <f>IFERROR(_xlfn.XLOOKUP(PA[[#This Row],[Affected Equipment ]],'Basic Data'!N:N,'Basic Data'!Q:Q),"")</f>
        <v/>
      </c>
      <c r="V209" s="208" t="str">
        <f>IFERROR(_xlfn.XLOOKUP(PA[[#This Row],[Affected Equipment ]],'Basic Data'!N:N,'Basic Data'!R:R),"")</f>
        <v/>
      </c>
      <c r="W209" s="38"/>
      <c r="X209" s="41"/>
      <c r="Y209" s="40"/>
      <c r="Z209" s="48"/>
      <c r="AA209" s="48"/>
      <c r="AB209" s="48"/>
      <c r="AC209" s="47"/>
      <c r="AD209" s="205">
        <f>IF(PA[[#This Row],[Acknowledgement Time ]]="NA","",(PA[[#This Row],[Acknowledgement Time ]]-PA[[#This Row],[Fault Time]])*24)</f>
        <v>0</v>
      </c>
      <c r="AE209" s="205">
        <f>IF(PA[[#This Row],[Work Start time on Fault]]="NA","",(PA[[#This Row],[Work Start time on Fault]]-PA[[#This Row],[Fault Time]])*24)</f>
        <v>0</v>
      </c>
      <c r="AF209" s="206">
        <f>IF(PA[[#This Row],[Status]]="Open","",(PA[[#This Row],[Work Completion time on fault]]-PA[[#This Row],[Fault Time]])*24)</f>
        <v>0</v>
      </c>
      <c r="AG209" s="205">
        <f>IFERROR((PA[[#This Row],[Work Completion time on fault]]-PA[[#This Row],[Fault Time]])*24,"")</f>
        <v>0</v>
      </c>
      <c r="AH209" s="36"/>
      <c r="AI209" s="33"/>
      <c r="AJ209" s="204" t="str">
        <f>IFERROR(PA[[#This Row],[Breakdown Time]]*PA[[#This Row],[Plant Equivalent Weightage]],"")</f>
        <v/>
      </c>
      <c r="AK209" s="38"/>
      <c r="AL209" s="51" t="str">
        <f>IFERROR((_xlfn.XLOOKUP($G209,'Modelling New'!D:D,'Modelling New'!$O:$O)*PA[[#This Row],[Lost PoA(kWh/m2)]]*PA[[#This Row],[DC Capacity Affected (kW)]]),"")</f>
        <v/>
      </c>
      <c r="AM209" s="33"/>
      <c r="AN209" s="33"/>
      <c r="AO209" s="33"/>
      <c r="AP209" s="33"/>
    </row>
    <row r="210" spans="1:42">
      <c r="A210" s="30">
        <f t="shared" si="0"/>
        <v>209</v>
      </c>
      <c r="B210" s="165"/>
      <c r="C210" s="32">
        <f>YEAR(PA[[#This Row],[Date]])+IF(MONTH(PA[[#This Row],[Date]])&gt;=4,1,0)</f>
        <v>1900</v>
      </c>
      <c r="D210" s="32">
        <f>YEAR(PA[[#This Row],[Date]])</f>
        <v>1900</v>
      </c>
      <c r="E210" s="33" t="s">
        <v>157</v>
      </c>
      <c r="F210" s="33" t="s">
        <v>157</v>
      </c>
      <c r="G210" s="194">
        <f>PA[[#This Row],[Date]]-DAY(PA[[#This Row],[Date]])+1</f>
        <v>1</v>
      </c>
      <c r="H210" s="32">
        <f>DAY(EOMONTH(PA[[#This Row],[Month Year]],0))</f>
        <v>31</v>
      </c>
      <c r="I210" s="34"/>
      <c r="J210" s="34"/>
      <c r="K210" s="35">
        <f>IFERROR((PA[[#This Row],[Sunset Time (POA&lt;20 W/m2)]]-PA[[#This Row],[Sunrise Time (POA&gt;20 W/m2)]])*24,"")</f>
        <v>0</v>
      </c>
      <c r="L210" s="33"/>
      <c r="M210" s="33"/>
      <c r="N210" s="33"/>
      <c r="O210" s="36"/>
      <c r="P210" s="36"/>
      <c r="Q210" s="33"/>
      <c r="R210" s="32">
        <f>IF((PA[[#This Row],[String Type(If String BD)]]&amp;PA[[#This Row],[Equipment (If any BD other than PV  array and inv)]])="",1,0)</f>
        <v>1</v>
      </c>
      <c r="S210" s="32">
        <f>IF(PA[[#This Row],[String Type(If String BD)]]="",1,0)</f>
        <v>1</v>
      </c>
      <c r="T2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0" s="35" t="str">
        <f>IFERROR(_xlfn.XLOOKUP(PA[[#This Row],[Affected Equipment ]],'Basic Data'!N:N,'Basic Data'!Q:Q),"")</f>
        <v/>
      </c>
      <c r="V210" s="207" t="str">
        <f>IFERROR(_xlfn.XLOOKUP(PA[[#This Row],[Affected Equipment ]],'Basic Data'!N:N,'Basic Data'!R:R),"")</f>
        <v/>
      </c>
      <c r="W210" s="36"/>
      <c r="X210" s="40"/>
      <c r="Y210" s="40"/>
      <c r="Z210" s="46"/>
      <c r="AA210" s="46"/>
      <c r="AB210" s="46"/>
      <c r="AC210" s="46"/>
      <c r="AD210" s="44">
        <f>IF(PA[[#This Row],[Acknowledgement Time ]]="NA","",(PA[[#This Row],[Acknowledgement Time ]]-PA[[#This Row],[Fault Time]])*24)</f>
        <v>0</v>
      </c>
      <c r="AE210" s="44">
        <f>IF(PA[[#This Row],[Work Start time on Fault]]="NA","",(PA[[#This Row],[Work Start time on Fault]]-PA[[#This Row],[Fault Time]])*24)</f>
        <v>0</v>
      </c>
      <c r="AF210" s="45">
        <f>IF(PA[[#This Row],[Status]]="Open","",(PA[[#This Row],[Work Completion time on fault]]-PA[[#This Row],[Fault Time]])*24)</f>
        <v>0</v>
      </c>
      <c r="AG210" s="44">
        <f>IFERROR((PA[[#This Row],[Work Completion time on fault]]-PA[[#This Row],[Fault Time]])*24,"")</f>
        <v>0</v>
      </c>
      <c r="AH210" s="36"/>
      <c r="AI210" s="33"/>
      <c r="AJ210" s="35" t="str">
        <f>IFERROR(PA[[#This Row],[Breakdown Time]]*PA[[#This Row],[Plant Equivalent Weightage]],"")</f>
        <v/>
      </c>
      <c r="AK210" s="36"/>
      <c r="AL210" s="51" t="str">
        <f>IFERROR((_xlfn.XLOOKUP($G210,'Modelling New'!D:D,'Modelling New'!$O:$O)*PA[[#This Row],[Lost PoA(kWh/m2)]]*PA[[#This Row],[DC Capacity Affected (kW)]]),"")</f>
        <v/>
      </c>
      <c r="AM210" s="33"/>
      <c r="AN210" s="33"/>
      <c r="AO210" s="33"/>
      <c r="AP210" s="33"/>
    </row>
    <row r="211" spans="1:42">
      <c r="A211" s="30">
        <f t="shared" si="0"/>
        <v>210</v>
      </c>
      <c r="B211" s="165"/>
      <c r="C211" s="32">
        <f>YEAR(PA[[#This Row],[Date]])+IF(MONTH(PA[[#This Row],[Date]])&gt;=4,1,0)</f>
        <v>1900</v>
      </c>
      <c r="D211" s="32">
        <f>YEAR(PA[[#This Row],[Date]])</f>
        <v>1900</v>
      </c>
      <c r="E211" s="33" t="s">
        <v>157</v>
      </c>
      <c r="F211" s="33" t="s">
        <v>157</v>
      </c>
      <c r="G211" s="194">
        <f>PA[[#This Row],[Date]]-DAY(PA[[#This Row],[Date]])+1</f>
        <v>1</v>
      </c>
      <c r="H211" s="32">
        <f>DAY(EOMONTH(PA[[#This Row],[Month Year]],0))</f>
        <v>31</v>
      </c>
      <c r="I211" s="34"/>
      <c r="J211" s="34"/>
      <c r="K211" s="35">
        <f>IFERROR((PA[[#This Row],[Sunset Time (POA&lt;20 W/m2)]]-PA[[#This Row],[Sunrise Time (POA&gt;20 W/m2)]])*24,"")</f>
        <v>0</v>
      </c>
      <c r="L211" s="33"/>
      <c r="M211" s="37"/>
      <c r="N211" s="33"/>
      <c r="O211" s="36"/>
      <c r="P211" s="36"/>
      <c r="Q211" s="33"/>
      <c r="R211" s="32">
        <f>IF((PA[[#This Row],[String Type(If String BD)]]&amp;PA[[#This Row],[Equipment (If any BD other than PV  array and inv)]])="",1,0)</f>
        <v>1</v>
      </c>
      <c r="S211" s="32">
        <f>IF(PA[[#This Row],[String Type(If String BD)]]="",1,0)</f>
        <v>1</v>
      </c>
      <c r="T2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1" s="35" t="str">
        <f>IFERROR(_xlfn.XLOOKUP(PA[[#This Row],[Affected Equipment ]],'Basic Data'!N:N,'Basic Data'!Q:Q),"")</f>
        <v/>
      </c>
      <c r="V211" s="207" t="str">
        <f>IFERROR(_xlfn.XLOOKUP(PA[[#This Row],[Affected Equipment ]],'Basic Data'!N:N,'Basic Data'!R:R),"")</f>
        <v/>
      </c>
      <c r="W211" s="36"/>
      <c r="X211" s="40"/>
      <c r="Y211" s="40"/>
      <c r="Z211" s="46"/>
      <c r="AA211" s="46"/>
      <c r="AB211" s="46"/>
      <c r="AC211" s="46"/>
      <c r="AD211" s="44">
        <f>IF(PA[[#This Row],[Acknowledgement Time ]]="NA","",(PA[[#This Row],[Acknowledgement Time ]]-PA[[#This Row],[Fault Time]])*24)</f>
        <v>0</v>
      </c>
      <c r="AE211" s="44">
        <f>IF(PA[[#This Row],[Work Start time on Fault]]="NA","",(PA[[#This Row],[Work Start time on Fault]]-PA[[#This Row],[Fault Time]])*24)</f>
        <v>0</v>
      </c>
      <c r="AF211" s="45">
        <f>IF(PA[[#This Row],[Status]]="Open","",(PA[[#This Row],[Work Completion time on fault]]-PA[[#This Row],[Fault Time]])*24)</f>
        <v>0</v>
      </c>
      <c r="AG211" s="44">
        <f>IFERROR((PA[[#This Row],[Work Completion time on fault]]-PA[[#This Row],[Fault Time]])*24,"")</f>
        <v>0</v>
      </c>
      <c r="AH211" s="36"/>
      <c r="AI211" s="33"/>
      <c r="AJ211" s="35" t="str">
        <f>IFERROR(PA[[#This Row],[Breakdown Time]]*PA[[#This Row],[Plant Equivalent Weightage]],"")</f>
        <v/>
      </c>
      <c r="AK211" s="36"/>
      <c r="AL211" s="51" t="str">
        <f>IFERROR((_xlfn.XLOOKUP($G211,'Modelling New'!D:D,'Modelling New'!$O:$O)*PA[[#This Row],[Lost PoA(kWh/m2)]]*PA[[#This Row],[DC Capacity Affected (kW)]]),"")</f>
        <v/>
      </c>
      <c r="AM211" s="33"/>
      <c r="AN211" s="33"/>
      <c r="AO211" s="33"/>
      <c r="AP211" s="33"/>
    </row>
    <row r="212" spans="1:42">
      <c r="A212" s="30">
        <f t="shared" si="0"/>
        <v>211</v>
      </c>
      <c r="B212" s="165"/>
      <c r="C212" s="32">
        <f>YEAR(PA[[#This Row],[Date]])+IF(MONTH(PA[[#This Row],[Date]])&gt;=4,1,0)</f>
        <v>1900</v>
      </c>
      <c r="D212" s="32">
        <f>YEAR(PA[[#This Row],[Date]])</f>
        <v>1900</v>
      </c>
      <c r="E212" s="33" t="s">
        <v>157</v>
      </c>
      <c r="F212" s="33" t="s">
        <v>157</v>
      </c>
      <c r="G212" s="194">
        <f>PA[[#This Row],[Date]]-DAY(PA[[#This Row],[Date]])+1</f>
        <v>1</v>
      </c>
      <c r="H212" s="32">
        <f>DAY(EOMONTH(PA[[#This Row],[Month Year]],0))</f>
        <v>31</v>
      </c>
      <c r="I212" s="34"/>
      <c r="J212" s="34"/>
      <c r="K212" s="35">
        <f>IFERROR((PA[[#This Row],[Sunset Time (POA&lt;20 W/m2)]]-PA[[#This Row],[Sunrise Time (POA&gt;20 W/m2)]])*24,"")</f>
        <v>0</v>
      </c>
      <c r="L212" s="33"/>
      <c r="M212" s="37"/>
      <c r="N212" s="33"/>
      <c r="O212" s="36"/>
      <c r="P212" s="36"/>
      <c r="Q212" s="33"/>
      <c r="R212" s="32">
        <f>IF((PA[[#This Row],[String Type(If String BD)]]&amp;PA[[#This Row],[Equipment (If any BD other than PV  array and inv)]])="",1,0)</f>
        <v>1</v>
      </c>
      <c r="S212" s="32">
        <f>IF(PA[[#This Row],[String Type(If String BD)]]="",1,0)</f>
        <v>1</v>
      </c>
      <c r="T2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2" s="35" t="str">
        <f>IFERROR(_xlfn.XLOOKUP(PA[[#This Row],[Affected Equipment ]],'Basic Data'!N:N,'Basic Data'!Q:Q),"")</f>
        <v/>
      </c>
      <c r="V212" s="207" t="str">
        <f>IFERROR(_xlfn.XLOOKUP(PA[[#This Row],[Affected Equipment ]],'Basic Data'!N:N,'Basic Data'!R:R),"")</f>
        <v/>
      </c>
      <c r="W212" s="36"/>
      <c r="X212" s="40"/>
      <c r="Y212" s="40"/>
      <c r="Z212" s="46"/>
      <c r="AA212" s="46"/>
      <c r="AB212" s="46"/>
      <c r="AC212" s="46"/>
      <c r="AD212" s="44">
        <f>IF(PA[[#This Row],[Acknowledgement Time ]]="NA","",(PA[[#This Row],[Acknowledgement Time ]]-PA[[#This Row],[Fault Time]])*24)</f>
        <v>0</v>
      </c>
      <c r="AE212" s="44">
        <f>IF(PA[[#This Row],[Work Start time on Fault]]="NA","",(PA[[#This Row],[Work Start time on Fault]]-PA[[#This Row],[Fault Time]])*24)</f>
        <v>0</v>
      </c>
      <c r="AF212" s="45">
        <f>IF(PA[[#This Row],[Status]]="Open","",(PA[[#This Row],[Work Completion time on fault]]-PA[[#This Row],[Fault Time]])*24)</f>
        <v>0</v>
      </c>
      <c r="AG212" s="44">
        <f>IFERROR((PA[[#This Row],[Work Completion time on fault]]-PA[[#This Row],[Fault Time]])*24,"")</f>
        <v>0</v>
      </c>
      <c r="AH212" s="36"/>
      <c r="AI212" s="33"/>
      <c r="AJ212" s="35" t="str">
        <f>IFERROR(PA[[#This Row],[Breakdown Time]]*PA[[#This Row],[Plant Equivalent Weightage]],"")</f>
        <v/>
      </c>
      <c r="AK212" s="36"/>
      <c r="AL212" s="51" t="str">
        <f>IFERROR((_xlfn.XLOOKUP($G212,'Modelling New'!D:D,'Modelling New'!$O:$O)*PA[[#This Row],[Lost PoA(kWh/m2)]]*PA[[#This Row],[DC Capacity Affected (kW)]]),"")</f>
        <v/>
      </c>
      <c r="AM212" s="33"/>
      <c r="AN212" s="33"/>
      <c r="AO212" s="33"/>
      <c r="AP212" s="33"/>
    </row>
    <row r="213" spans="1:42">
      <c r="A213" s="30">
        <f t="shared" ref="A213:A276" si="1">A212+1</f>
        <v>212</v>
      </c>
      <c r="B213" s="165"/>
      <c r="C213" s="32">
        <f>YEAR(PA[[#This Row],[Date]])+IF(MONTH(PA[[#This Row],[Date]])&gt;=4,1,0)</f>
        <v>1900</v>
      </c>
      <c r="D213" s="32">
        <f>YEAR(PA[[#This Row],[Date]])</f>
        <v>1900</v>
      </c>
      <c r="E213" s="33" t="s">
        <v>157</v>
      </c>
      <c r="F213" s="33" t="s">
        <v>157</v>
      </c>
      <c r="G213" s="194">
        <f>PA[[#This Row],[Date]]-DAY(PA[[#This Row],[Date]])+1</f>
        <v>1</v>
      </c>
      <c r="H213" s="32">
        <f>DAY(EOMONTH(PA[[#This Row],[Month Year]],0))</f>
        <v>31</v>
      </c>
      <c r="I213" s="34"/>
      <c r="J213" s="34"/>
      <c r="K213" s="35">
        <f>IFERROR((PA[[#This Row],[Sunset Time (POA&lt;20 W/m2)]]-PA[[#This Row],[Sunrise Time (POA&gt;20 W/m2)]])*24,"")</f>
        <v>0</v>
      </c>
      <c r="L213" s="33"/>
      <c r="M213" s="33"/>
      <c r="N213" s="33"/>
      <c r="O213" s="36"/>
      <c r="P213" s="36"/>
      <c r="Q213" s="33"/>
      <c r="R213" s="32">
        <f>IF((PA[[#This Row],[String Type(If String BD)]]&amp;PA[[#This Row],[Equipment (If any BD other than PV  array and inv)]])="",1,0)</f>
        <v>1</v>
      </c>
      <c r="S213" s="32">
        <f>IF(PA[[#This Row],[String Type(If String BD)]]="",1,0)</f>
        <v>1</v>
      </c>
      <c r="T2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3" s="35" t="str">
        <f>IFERROR(_xlfn.XLOOKUP(PA[[#This Row],[Affected Equipment ]],'Basic Data'!N:N,'Basic Data'!Q:Q),"")</f>
        <v/>
      </c>
      <c r="V213" s="207" t="str">
        <f>IFERROR(_xlfn.XLOOKUP(PA[[#This Row],[Affected Equipment ]],'Basic Data'!N:N,'Basic Data'!R:R),"")</f>
        <v/>
      </c>
      <c r="W213" s="36"/>
      <c r="X213" s="40"/>
      <c r="Y213" s="40"/>
      <c r="Z213" s="46"/>
      <c r="AA213" s="46"/>
      <c r="AB213" s="46"/>
      <c r="AC213" s="46"/>
      <c r="AD213" s="44">
        <f>IF(PA[[#This Row],[Acknowledgement Time ]]="NA","",(PA[[#This Row],[Acknowledgement Time ]]-PA[[#This Row],[Fault Time]])*24)</f>
        <v>0</v>
      </c>
      <c r="AE213" s="44">
        <f>IF(PA[[#This Row],[Work Start time on Fault]]="NA","",(PA[[#This Row],[Work Start time on Fault]]-PA[[#This Row],[Fault Time]])*24)</f>
        <v>0</v>
      </c>
      <c r="AF213" s="45">
        <f>IF(PA[[#This Row],[Status]]="Open","",(PA[[#This Row],[Work Completion time on fault]]-PA[[#This Row],[Fault Time]])*24)</f>
        <v>0</v>
      </c>
      <c r="AG213" s="44">
        <f>IFERROR((PA[[#This Row],[Work Completion time on fault]]-PA[[#This Row],[Fault Time]])*24,"")</f>
        <v>0</v>
      </c>
      <c r="AH213" s="36"/>
      <c r="AI213" s="33"/>
      <c r="AJ213" s="35" t="str">
        <f>IFERROR(PA[[#This Row],[Breakdown Time]]*PA[[#This Row],[Plant Equivalent Weightage]],"")</f>
        <v/>
      </c>
      <c r="AK213" s="36"/>
      <c r="AL213" s="51" t="str">
        <f>IFERROR((_xlfn.XLOOKUP($G213,'Modelling New'!D:D,'Modelling New'!$O:$O)*PA[[#This Row],[Lost PoA(kWh/m2)]]*PA[[#This Row],[DC Capacity Affected (kW)]]),"")</f>
        <v/>
      </c>
      <c r="AM213" s="33"/>
      <c r="AN213" s="33"/>
      <c r="AO213" s="33"/>
      <c r="AP213" s="33"/>
    </row>
    <row r="214" spans="1:42">
      <c r="A214" s="30">
        <f t="shared" si="1"/>
        <v>213</v>
      </c>
      <c r="B214" s="165"/>
      <c r="C214" s="32">
        <f>YEAR(PA[[#This Row],[Date]])+IF(MONTH(PA[[#This Row],[Date]])&gt;=4,1,0)</f>
        <v>1900</v>
      </c>
      <c r="D214" s="32">
        <f>YEAR(PA[[#This Row],[Date]])</f>
        <v>1900</v>
      </c>
      <c r="E214" s="33" t="s">
        <v>157</v>
      </c>
      <c r="F214" s="33" t="s">
        <v>157</v>
      </c>
      <c r="G214" s="194">
        <f>PA[[#This Row],[Date]]-DAY(PA[[#This Row],[Date]])+1</f>
        <v>1</v>
      </c>
      <c r="H214" s="202">
        <f>DAY(EOMONTH(PA[[#This Row],[Month Year]],0))</f>
        <v>31</v>
      </c>
      <c r="I214" s="34"/>
      <c r="J214" s="34"/>
      <c r="K214" s="35">
        <f>IFERROR((PA[[#This Row],[Sunset Time (POA&lt;20 W/m2)]]-PA[[#This Row],[Sunrise Time (POA&gt;20 W/m2)]])*24,"")</f>
        <v>0</v>
      </c>
      <c r="L214" s="33"/>
      <c r="M214" s="37"/>
      <c r="N214" s="37"/>
      <c r="O214" s="38"/>
      <c r="P214" s="38"/>
      <c r="Q214" s="37"/>
      <c r="R214" s="202">
        <f>IF((PA[[#This Row],[String Type(If String BD)]]&amp;PA[[#This Row],[Equipment (If any BD other than PV  array and inv)]])="",1,0)</f>
        <v>1</v>
      </c>
      <c r="S214" s="202">
        <f>IF(PA[[#This Row],[String Type(If String BD)]]="",1,0)</f>
        <v>1</v>
      </c>
      <c r="T21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4" s="204" t="str">
        <f>IFERROR(_xlfn.XLOOKUP(PA[[#This Row],[Affected Equipment ]],'Basic Data'!N:N,'Basic Data'!Q:Q),"")</f>
        <v/>
      </c>
      <c r="V214" s="208" t="str">
        <f>IFERROR(_xlfn.XLOOKUP(PA[[#This Row],[Affected Equipment ]],'Basic Data'!N:N,'Basic Data'!R:R),"")</f>
        <v/>
      </c>
      <c r="W214" s="38"/>
      <c r="X214" s="41"/>
      <c r="Y214" s="41"/>
      <c r="Z214" s="49"/>
      <c r="AA214" s="49"/>
      <c r="AB214" s="49"/>
      <c r="AC214" s="47"/>
      <c r="AD214" s="205">
        <f>IF(PA[[#This Row],[Acknowledgement Time ]]="NA","",(PA[[#This Row],[Acknowledgement Time ]]-PA[[#This Row],[Fault Time]])*24)</f>
        <v>0</v>
      </c>
      <c r="AE214" s="205">
        <f>IF(PA[[#This Row],[Work Start time on Fault]]="NA","",(PA[[#This Row],[Work Start time on Fault]]-PA[[#This Row],[Fault Time]])*24)</f>
        <v>0</v>
      </c>
      <c r="AF214" s="206">
        <f>IF(PA[[#This Row],[Status]]="Open","",(PA[[#This Row],[Work Completion time on fault]]-PA[[#This Row],[Fault Time]])*24)</f>
        <v>0</v>
      </c>
      <c r="AG214" s="205">
        <f>IFERROR((PA[[#This Row],[Work Completion time on fault]]-PA[[#This Row],[Fault Time]])*24,"")</f>
        <v>0</v>
      </c>
      <c r="AH214" s="36"/>
      <c r="AI214" s="33"/>
      <c r="AJ214" s="204" t="str">
        <f>IFERROR(PA[[#This Row],[Breakdown Time]]*PA[[#This Row],[Plant Equivalent Weightage]],"")</f>
        <v/>
      </c>
      <c r="AK214" s="38"/>
      <c r="AL214" s="51" t="str">
        <f>IFERROR((_xlfn.XLOOKUP($G214,'Modelling New'!D:D,'Modelling New'!$O:$O)*PA[[#This Row],[Lost PoA(kWh/m2)]]*PA[[#This Row],[DC Capacity Affected (kW)]]),"")</f>
        <v/>
      </c>
      <c r="AM214" s="33"/>
      <c r="AN214" s="33"/>
      <c r="AO214" s="33"/>
      <c r="AP214" s="33"/>
    </row>
    <row r="215" spans="1:42">
      <c r="A215" s="30">
        <f t="shared" si="1"/>
        <v>214</v>
      </c>
      <c r="B215" s="165"/>
      <c r="C215" s="32">
        <f>YEAR(PA[[#This Row],[Date]])+IF(MONTH(PA[[#This Row],[Date]])&gt;=4,1,0)</f>
        <v>1900</v>
      </c>
      <c r="D215" s="32">
        <f>YEAR(PA[[#This Row],[Date]])</f>
        <v>1900</v>
      </c>
      <c r="E215" s="33" t="s">
        <v>157</v>
      </c>
      <c r="F215" s="33" t="s">
        <v>157</v>
      </c>
      <c r="G215" s="194">
        <f>PA[[#This Row],[Date]]-DAY(PA[[#This Row],[Date]])+1</f>
        <v>1</v>
      </c>
      <c r="H215" s="32">
        <f>DAY(EOMONTH(PA[[#This Row],[Month Year]],0))</f>
        <v>31</v>
      </c>
      <c r="I215" s="34"/>
      <c r="J215" s="34"/>
      <c r="K215" s="35">
        <f>IFERROR((PA[[#This Row],[Sunset Time (POA&lt;20 W/m2)]]-PA[[#This Row],[Sunrise Time (POA&gt;20 W/m2)]])*24,"")</f>
        <v>0</v>
      </c>
      <c r="L215" s="37"/>
      <c r="M215" s="37"/>
      <c r="N215" s="33"/>
      <c r="O215" s="36"/>
      <c r="P215" s="36"/>
      <c r="Q215" s="33"/>
      <c r="R215" s="32">
        <f>IF((PA[[#This Row],[String Type(If String BD)]]&amp;PA[[#This Row],[Equipment (If any BD other than PV  array and inv)]])="",1,0)</f>
        <v>1</v>
      </c>
      <c r="S215" s="32">
        <f>IF(PA[[#This Row],[String Type(If String BD)]]="",1,0)</f>
        <v>1</v>
      </c>
      <c r="T2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5" s="35" t="str">
        <f>IFERROR(_xlfn.XLOOKUP(PA[[#This Row],[Affected Equipment ]],'Basic Data'!N:N,'Basic Data'!Q:Q),"")</f>
        <v/>
      </c>
      <c r="V215" s="207" t="str">
        <f>IFERROR(_xlfn.XLOOKUP(PA[[#This Row],[Affected Equipment ]],'Basic Data'!N:N,'Basic Data'!R:R),"")</f>
        <v/>
      </c>
      <c r="W215" s="36"/>
      <c r="X215" s="40"/>
      <c r="Y215" s="286"/>
      <c r="Z215" s="43"/>
      <c r="AA215" s="43"/>
      <c r="AB215" s="43"/>
      <c r="AC215" s="46"/>
      <c r="AD215" s="44">
        <f>IF(PA[[#This Row],[Acknowledgement Time ]]="NA","",(PA[[#This Row],[Acknowledgement Time ]]-PA[[#This Row],[Fault Time]])*24)</f>
        <v>0</v>
      </c>
      <c r="AE215" s="44">
        <f>IF(PA[[#This Row],[Work Start time on Fault]]="NA","",(PA[[#This Row],[Work Start time on Fault]]-PA[[#This Row],[Fault Time]])*24)</f>
        <v>0</v>
      </c>
      <c r="AF215" s="45">
        <f>IF(PA[[#This Row],[Status]]="Open","",(PA[[#This Row],[Work Completion time on fault]]-PA[[#This Row],[Fault Time]])*24)</f>
        <v>0</v>
      </c>
      <c r="AG215" s="44">
        <f>IFERROR((PA[[#This Row],[Work Completion time on fault]]-PA[[#This Row],[Fault Time]])*24,"")</f>
        <v>0</v>
      </c>
      <c r="AH215" s="282"/>
      <c r="AI215" s="33"/>
      <c r="AJ215" s="35" t="str">
        <f>IFERROR(PA[[#This Row],[Breakdown Time]]*PA[[#This Row],[Plant Equivalent Weightage]],"")</f>
        <v/>
      </c>
      <c r="AK215" s="36"/>
      <c r="AL215" s="51" t="str">
        <f>IFERROR((_xlfn.XLOOKUP($G215,'Modelling New'!D:D,'Modelling New'!$O:$O)*PA[[#This Row],[Lost PoA(kWh/m2)]]*PA[[#This Row],[DC Capacity Affected (kW)]]),"")</f>
        <v/>
      </c>
      <c r="AM215" s="33"/>
      <c r="AN215" s="33"/>
      <c r="AO215" s="33"/>
      <c r="AP215" s="33"/>
    </row>
    <row r="216" spans="1:42">
      <c r="A216" s="30">
        <f t="shared" si="1"/>
        <v>215</v>
      </c>
      <c r="B216" s="165"/>
      <c r="C216" s="32">
        <f>YEAR(PA[[#This Row],[Date]])+IF(MONTH(PA[[#This Row],[Date]])&gt;=4,1,0)</f>
        <v>1900</v>
      </c>
      <c r="D216" s="32">
        <f>YEAR(PA[[#This Row],[Date]])</f>
        <v>1900</v>
      </c>
      <c r="E216" s="33" t="s">
        <v>157</v>
      </c>
      <c r="F216" s="33" t="s">
        <v>157</v>
      </c>
      <c r="G216" s="194">
        <f>PA[[#This Row],[Date]]-DAY(PA[[#This Row],[Date]])+1</f>
        <v>1</v>
      </c>
      <c r="H216" s="32">
        <f>DAY(EOMONTH(PA[[#This Row],[Month Year]],0))</f>
        <v>31</v>
      </c>
      <c r="I216" s="34"/>
      <c r="J216" s="34"/>
      <c r="K216" s="35">
        <f>IFERROR((PA[[#This Row],[Sunset Time (POA&lt;20 W/m2)]]-PA[[#This Row],[Sunrise Time (POA&gt;20 W/m2)]])*24,"")</f>
        <v>0</v>
      </c>
      <c r="L216" s="37"/>
      <c r="M216" s="37"/>
      <c r="N216" s="33"/>
      <c r="O216" s="36"/>
      <c r="P216" s="36"/>
      <c r="Q216" s="33"/>
      <c r="R216" s="32">
        <f>IF((PA[[#This Row],[String Type(If String BD)]]&amp;PA[[#This Row],[Equipment (If any BD other than PV  array and inv)]])="",1,0)</f>
        <v>1</v>
      </c>
      <c r="S216" s="32">
        <f>IF(PA[[#This Row],[String Type(If String BD)]]="",1,0)</f>
        <v>1</v>
      </c>
      <c r="T2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6" s="35" t="str">
        <f>IFERROR(_xlfn.XLOOKUP(PA[[#This Row],[Affected Equipment ]],'Basic Data'!N:N,'Basic Data'!Q:Q),"")</f>
        <v/>
      </c>
      <c r="V216" s="207" t="str">
        <f>IFERROR(_xlfn.XLOOKUP(PA[[#This Row],[Affected Equipment ]],'Basic Data'!N:N,'Basic Data'!R:R),"")</f>
        <v/>
      </c>
      <c r="W216" s="36"/>
      <c r="X216" s="40"/>
      <c r="Y216" s="286"/>
      <c r="Z216" s="46"/>
      <c r="AA216" s="46"/>
      <c r="AB216" s="46"/>
      <c r="AC216" s="46"/>
      <c r="AD216" s="44">
        <f>IF(PA[[#This Row],[Acknowledgement Time ]]="NA","",(PA[[#This Row],[Acknowledgement Time ]]-PA[[#This Row],[Fault Time]])*24)</f>
        <v>0</v>
      </c>
      <c r="AE216" s="44">
        <f>IF(PA[[#This Row],[Work Start time on Fault]]="NA","",(PA[[#This Row],[Work Start time on Fault]]-PA[[#This Row],[Fault Time]])*24)</f>
        <v>0</v>
      </c>
      <c r="AF216" s="45">
        <f>IF(PA[[#This Row],[Status]]="Open","",(PA[[#This Row],[Work Completion time on fault]]-PA[[#This Row],[Fault Time]])*24)</f>
        <v>0</v>
      </c>
      <c r="AG216" s="44">
        <f>IFERROR((PA[[#This Row],[Work Completion time on fault]]-PA[[#This Row],[Fault Time]])*24,"")</f>
        <v>0</v>
      </c>
      <c r="AH216" s="36"/>
      <c r="AI216" s="33"/>
      <c r="AJ216" s="35" t="str">
        <f>IFERROR(PA[[#This Row],[Breakdown Time]]*PA[[#This Row],[Plant Equivalent Weightage]],"")</f>
        <v/>
      </c>
      <c r="AK216" s="36"/>
      <c r="AL216" s="51" t="str">
        <f>IFERROR((_xlfn.XLOOKUP($G216,'Modelling New'!D:D,'Modelling New'!$O:$O)*PA[[#This Row],[Lost PoA(kWh/m2)]]*PA[[#This Row],[DC Capacity Affected (kW)]]),"")</f>
        <v/>
      </c>
      <c r="AM216" s="33"/>
      <c r="AN216" s="33"/>
      <c r="AO216" s="33"/>
      <c r="AP216" s="33"/>
    </row>
    <row r="217" spans="1:42">
      <c r="A217" s="30">
        <f t="shared" si="1"/>
        <v>216</v>
      </c>
      <c r="B217" s="165"/>
      <c r="C217" s="32">
        <f>YEAR(PA[[#This Row],[Date]])+IF(MONTH(PA[[#This Row],[Date]])&gt;=4,1,0)</f>
        <v>1900</v>
      </c>
      <c r="D217" s="32">
        <f>YEAR(PA[[#This Row],[Date]])</f>
        <v>1900</v>
      </c>
      <c r="E217" s="33" t="s">
        <v>157</v>
      </c>
      <c r="F217" s="33" t="s">
        <v>157</v>
      </c>
      <c r="G217" s="194">
        <f>PA[[#This Row],[Date]]-DAY(PA[[#This Row],[Date]])+1</f>
        <v>1</v>
      </c>
      <c r="H217" s="32">
        <f>DAY(EOMONTH(PA[[#This Row],[Month Year]],0))</f>
        <v>31</v>
      </c>
      <c r="I217" s="34"/>
      <c r="J217" s="34"/>
      <c r="K217" s="35">
        <f>IFERROR((PA[[#This Row],[Sunset Time (POA&lt;20 W/m2)]]-PA[[#This Row],[Sunrise Time (POA&gt;20 W/m2)]])*24,"")</f>
        <v>0</v>
      </c>
      <c r="L217" s="33"/>
      <c r="M217" s="33"/>
      <c r="N217" s="33"/>
      <c r="O217" s="36"/>
      <c r="P217" s="36"/>
      <c r="Q217" s="33"/>
      <c r="R217" s="32">
        <f>IF((PA[[#This Row],[String Type(If String BD)]]&amp;PA[[#This Row],[Equipment (If any BD other than PV  array and inv)]])="",1,0)</f>
        <v>1</v>
      </c>
      <c r="S217" s="32">
        <f>IF(PA[[#This Row],[String Type(If String BD)]]="",1,0)</f>
        <v>1</v>
      </c>
      <c r="T2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7" s="35" t="str">
        <f>IFERROR(_xlfn.XLOOKUP(PA[[#This Row],[Affected Equipment ]],'Basic Data'!N:N,'Basic Data'!Q:Q),"")</f>
        <v/>
      </c>
      <c r="V217" s="207" t="str">
        <f>IFERROR(_xlfn.XLOOKUP(PA[[#This Row],[Affected Equipment ]],'Basic Data'!N:N,'Basic Data'!R:R),"")</f>
        <v/>
      </c>
      <c r="W217" s="36"/>
      <c r="X217" s="40"/>
      <c r="Y217" s="40"/>
      <c r="Z217" s="46"/>
      <c r="AA217" s="46"/>
      <c r="AB217" s="46"/>
      <c r="AC217" s="46"/>
      <c r="AD217" s="44">
        <f>IF(PA[[#This Row],[Acknowledgement Time ]]="NA","",(PA[[#This Row],[Acknowledgement Time ]]-PA[[#This Row],[Fault Time]])*24)</f>
        <v>0</v>
      </c>
      <c r="AE217" s="44">
        <f>IF(PA[[#This Row],[Work Start time on Fault]]="NA","",(PA[[#This Row],[Work Start time on Fault]]-PA[[#This Row],[Fault Time]])*24)</f>
        <v>0</v>
      </c>
      <c r="AF217" s="45">
        <f>IF(PA[[#This Row],[Status]]="Open","",(PA[[#This Row],[Work Completion time on fault]]-PA[[#This Row],[Fault Time]])*24)</f>
        <v>0</v>
      </c>
      <c r="AG217" s="44">
        <f>IFERROR((PA[[#This Row],[Work Completion time on fault]]-PA[[#This Row],[Fault Time]])*24,"")</f>
        <v>0</v>
      </c>
      <c r="AH217" s="36"/>
      <c r="AI217" s="33"/>
      <c r="AJ217" s="35" t="str">
        <f>IFERROR(PA[[#This Row],[Breakdown Time]]*PA[[#This Row],[Plant Equivalent Weightage]],"")</f>
        <v/>
      </c>
      <c r="AK217" s="36"/>
      <c r="AL217" s="51" t="str">
        <f>IFERROR((_xlfn.XLOOKUP($G217,'Modelling New'!D:D,'Modelling New'!$O:$O)*PA[[#This Row],[Lost PoA(kWh/m2)]]*PA[[#This Row],[DC Capacity Affected (kW)]]),"")</f>
        <v/>
      </c>
      <c r="AM217" s="33"/>
      <c r="AN217" s="33"/>
      <c r="AO217" s="33"/>
      <c r="AP217" s="33"/>
    </row>
    <row r="218" spans="1:42">
      <c r="A218" s="30">
        <f t="shared" si="1"/>
        <v>217</v>
      </c>
      <c r="B218" s="165"/>
      <c r="C218" s="32">
        <f>YEAR(PA[[#This Row],[Date]])+IF(MONTH(PA[[#This Row],[Date]])&gt;=4,1,0)</f>
        <v>1900</v>
      </c>
      <c r="D218" s="32">
        <f>YEAR(PA[[#This Row],[Date]])</f>
        <v>1900</v>
      </c>
      <c r="E218" s="33" t="s">
        <v>157</v>
      </c>
      <c r="F218" s="33" t="s">
        <v>157</v>
      </c>
      <c r="G218" s="194">
        <f>PA[[#This Row],[Date]]-DAY(PA[[#This Row],[Date]])+1</f>
        <v>1</v>
      </c>
      <c r="H218" s="32">
        <f>DAY(EOMONTH(PA[[#This Row],[Month Year]],0))</f>
        <v>31</v>
      </c>
      <c r="I218" s="34"/>
      <c r="J218" s="34"/>
      <c r="K218" s="35">
        <f>IFERROR((PA[[#This Row],[Sunset Time (POA&lt;20 W/m2)]]-PA[[#This Row],[Sunrise Time (POA&gt;20 W/m2)]])*24,"")</f>
        <v>0</v>
      </c>
      <c r="L218" s="33"/>
      <c r="M218" s="37"/>
      <c r="N218" s="33"/>
      <c r="O218" s="36"/>
      <c r="P218" s="36"/>
      <c r="Q218" s="33"/>
      <c r="R218" s="32">
        <f>IF((PA[[#This Row],[String Type(If String BD)]]&amp;PA[[#This Row],[Equipment (If any BD other than PV  array and inv)]])="",1,0)</f>
        <v>1</v>
      </c>
      <c r="S218" s="32">
        <f>IF(PA[[#This Row],[String Type(If String BD)]]="",1,0)</f>
        <v>1</v>
      </c>
      <c r="T21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8" s="35" t="str">
        <f>IFERROR(_xlfn.XLOOKUP(PA[[#This Row],[Affected Equipment ]],'Basic Data'!N:N,'Basic Data'!Q:Q),"")</f>
        <v/>
      </c>
      <c r="V218" s="207" t="str">
        <f>IFERROR(_xlfn.XLOOKUP(PA[[#This Row],[Affected Equipment ]],'Basic Data'!N:N,'Basic Data'!R:R),"")</f>
        <v/>
      </c>
      <c r="W218" s="36"/>
      <c r="X218" s="40"/>
      <c r="Y218" s="40"/>
      <c r="Z218" s="43"/>
      <c r="AA218" s="43"/>
      <c r="AB218" s="43"/>
      <c r="AC218" s="46"/>
      <c r="AD218" s="44">
        <f>IF(PA[[#This Row],[Acknowledgement Time ]]="NA","",(PA[[#This Row],[Acknowledgement Time ]]-PA[[#This Row],[Fault Time]])*24)</f>
        <v>0</v>
      </c>
      <c r="AE218" s="44">
        <f>IF(PA[[#This Row],[Work Start time on Fault]]="NA","",(PA[[#This Row],[Work Start time on Fault]]-PA[[#This Row],[Fault Time]])*24)</f>
        <v>0</v>
      </c>
      <c r="AF218" s="45">
        <f>IF(PA[[#This Row],[Status]]="Open","",(PA[[#This Row],[Work Completion time on fault]]-PA[[#This Row],[Fault Time]])*24)</f>
        <v>0</v>
      </c>
      <c r="AG218" s="44">
        <f>IFERROR((PA[[#This Row],[Work Completion time on fault]]-PA[[#This Row],[Fault Time]])*24,"")</f>
        <v>0</v>
      </c>
      <c r="AH218" s="36"/>
      <c r="AI218" s="33"/>
      <c r="AJ218" s="35" t="str">
        <f>IFERROR(PA[[#This Row],[Breakdown Time]]*PA[[#This Row],[Plant Equivalent Weightage]],"")</f>
        <v/>
      </c>
      <c r="AK218" s="36"/>
      <c r="AL218" s="51" t="str">
        <f>IFERROR((_xlfn.XLOOKUP($G218,'Modelling New'!D:D,'Modelling New'!$O:$O)*PA[[#This Row],[Lost PoA(kWh/m2)]]*PA[[#This Row],[DC Capacity Affected (kW)]]),"")</f>
        <v/>
      </c>
      <c r="AM218" s="33"/>
      <c r="AN218" s="33"/>
      <c r="AO218" s="33"/>
      <c r="AP218" s="33"/>
    </row>
    <row r="219" spans="1:42">
      <c r="A219" s="30">
        <f t="shared" si="1"/>
        <v>218</v>
      </c>
      <c r="B219" s="165"/>
      <c r="C219" s="32">
        <f>YEAR(PA[[#This Row],[Date]])+IF(MONTH(PA[[#This Row],[Date]])&gt;=4,1,0)</f>
        <v>1900</v>
      </c>
      <c r="D219" s="32">
        <f>YEAR(PA[[#This Row],[Date]])</f>
        <v>1900</v>
      </c>
      <c r="E219" s="33" t="s">
        <v>157</v>
      </c>
      <c r="F219" s="33" t="s">
        <v>157</v>
      </c>
      <c r="G219" s="194">
        <f>PA[[#This Row],[Date]]-DAY(PA[[#This Row],[Date]])+1</f>
        <v>1</v>
      </c>
      <c r="H219" s="32">
        <f>DAY(EOMONTH(PA[[#This Row],[Month Year]],0))</f>
        <v>31</v>
      </c>
      <c r="I219" s="34"/>
      <c r="J219" s="34"/>
      <c r="K219" s="35">
        <f>IFERROR((PA[[#This Row],[Sunset Time (POA&lt;20 W/m2)]]-PA[[#This Row],[Sunrise Time (POA&gt;20 W/m2)]])*24,"")</f>
        <v>0</v>
      </c>
      <c r="L219" s="33"/>
      <c r="M219" s="37"/>
      <c r="N219" s="33"/>
      <c r="O219" s="36"/>
      <c r="P219" s="36"/>
      <c r="Q219" s="33"/>
      <c r="R219" s="32">
        <f>IF((PA[[#This Row],[String Type(If String BD)]]&amp;PA[[#This Row],[Equipment (If any BD other than PV  array and inv)]])="",1,0)</f>
        <v>1</v>
      </c>
      <c r="S219" s="32">
        <f>IF(PA[[#This Row],[String Type(If String BD)]]="",1,0)</f>
        <v>1</v>
      </c>
      <c r="T2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19" s="35" t="str">
        <f>IFERROR(_xlfn.XLOOKUP(PA[[#This Row],[Affected Equipment ]],'Basic Data'!N:N,'Basic Data'!Q:Q),"")</f>
        <v/>
      </c>
      <c r="V219" s="207" t="str">
        <f>IFERROR(_xlfn.XLOOKUP(PA[[#This Row],[Affected Equipment ]],'Basic Data'!N:N,'Basic Data'!R:R),"")</f>
        <v/>
      </c>
      <c r="W219" s="36"/>
      <c r="X219" s="40"/>
      <c r="Y219" s="40"/>
      <c r="Z219" s="43"/>
      <c r="AA219" s="43"/>
      <c r="AB219" s="43"/>
      <c r="AC219" s="46"/>
      <c r="AD219" s="44">
        <f>IF(PA[[#This Row],[Acknowledgement Time ]]="NA","",(PA[[#This Row],[Acknowledgement Time ]]-PA[[#This Row],[Fault Time]])*24)</f>
        <v>0</v>
      </c>
      <c r="AE219" s="44">
        <f>IF(PA[[#This Row],[Work Start time on Fault]]="NA","",(PA[[#This Row],[Work Start time on Fault]]-PA[[#This Row],[Fault Time]])*24)</f>
        <v>0</v>
      </c>
      <c r="AF219" s="45">
        <f>IF(PA[[#This Row],[Status]]="Open","",(PA[[#This Row],[Work Completion time on fault]]-PA[[#This Row],[Fault Time]])*24)</f>
        <v>0</v>
      </c>
      <c r="AG219" s="44">
        <f>IFERROR((PA[[#This Row],[Work Completion time on fault]]-PA[[#This Row],[Fault Time]])*24,"")</f>
        <v>0</v>
      </c>
      <c r="AH219" s="36"/>
      <c r="AI219" s="33"/>
      <c r="AJ219" s="35" t="str">
        <f>IFERROR(PA[[#This Row],[Breakdown Time]]*PA[[#This Row],[Plant Equivalent Weightage]],"")</f>
        <v/>
      </c>
      <c r="AK219" s="36"/>
      <c r="AL219" s="51" t="str">
        <f>IFERROR((_xlfn.XLOOKUP($G219,'Modelling New'!D:D,'Modelling New'!$O:$O)*PA[[#This Row],[Lost PoA(kWh/m2)]]*PA[[#This Row],[DC Capacity Affected (kW)]]),"")</f>
        <v/>
      </c>
      <c r="AM219" s="33"/>
      <c r="AN219" s="33"/>
      <c r="AO219" s="33"/>
      <c r="AP219" s="33"/>
    </row>
    <row r="220" spans="1:42">
      <c r="A220" s="30">
        <f t="shared" si="1"/>
        <v>219</v>
      </c>
      <c r="B220" s="165"/>
      <c r="C220" s="32">
        <f>YEAR(PA[[#This Row],[Date]])+IF(MONTH(PA[[#This Row],[Date]])&gt;=4,1,0)</f>
        <v>1900</v>
      </c>
      <c r="D220" s="32">
        <f>YEAR(PA[[#This Row],[Date]])</f>
        <v>1900</v>
      </c>
      <c r="E220" s="33" t="s">
        <v>157</v>
      </c>
      <c r="F220" s="33" t="s">
        <v>157</v>
      </c>
      <c r="G220" s="194">
        <f>PA[[#This Row],[Date]]-DAY(PA[[#This Row],[Date]])+1</f>
        <v>1</v>
      </c>
      <c r="H220" s="32">
        <f>DAY(EOMONTH(PA[[#This Row],[Month Year]],0))</f>
        <v>31</v>
      </c>
      <c r="I220" s="34"/>
      <c r="J220" s="34"/>
      <c r="K220" s="35">
        <f>IFERROR((PA[[#This Row],[Sunset Time (POA&lt;20 W/m2)]]-PA[[#This Row],[Sunrise Time (POA&gt;20 W/m2)]])*24,"")</f>
        <v>0</v>
      </c>
      <c r="L220" s="37"/>
      <c r="M220" s="37"/>
      <c r="N220" s="33"/>
      <c r="O220" s="36"/>
      <c r="P220" s="36"/>
      <c r="Q220" s="33"/>
      <c r="R220" s="32">
        <f>IF((PA[[#This Row],[String Type(If String BD)]]&amp;PA[[#This Row],[Equipment (If any BD other than PV  array and inv)]])="",1,0)</f>
        <v>1</v>
      </c>
      <c r="S220" s="32">
        <f>IF(PA[[#This Row],[String Type(If String BD)]]="",1,0)</f>
        <v>1</v>
      </c>
      <c r="T2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0" s="35" t="str">
        <f>IFERROR(_xlfn.XLOOKUP(PA[[#This Row],[Affected Equipment ]],'Basic Data'!N:N,'Basic Data'!Q:Q),"")</f>
        <v/>
      </c>
      <c r="V220" s="207" t="str">
        <f>IFERROR(_xlfn.XLOOKUP(PA[[#This Row],[Affected Equipment ]],'Basic Data'!N:N,'Basic Data'!R:R),"")</f>
        <v/>
      </c>
      <c r="W220" s="36"/>
      <c r="X220" s="40"/>
      <c r="Y220" s="286"/>
      <c r="Z220" s="43"/>
      <c r="AA220" s="43"/>
      <c r="AB220" s="43"/>
      <c r="AC220" s="46"/>
      <c r="AD220" s="44">
        <f>IF(PA[[#This Row],[Acknowledgement Time ]]="NA","",(PA[[#This Row],[Acknowledgement Time ]]-PA[[#This Row],[Fault Time]])*24)</f>
        <v>0</v>
      </c>
      <c r="AE220" s="44">
        <f>IF(PA[[#This Row],[Work Start time on Fault]]="NA","",(PA[[#This Row],[Work Start time on Fault]]-PA[[#This Row],[Fault Time]])*24)</f>
        <v>0</v>
      </c>
      <c r="AF220" s="45">
        <f>IF(PA[[#This Row],[Status]]="Open","",(PA[[#This Row],[Work Completion time on fault]]-PA[[#This Row],[Fault Time]])*24)</f>
        <v>0</v>
      </c>
      <c r="AG220" s="44">
        <f>IFERROR((PA[[#This Row],[Work Completion time on fault]]-PA[[#This Row],[Fault Time]])*24,"")</f>
        <v>0</v>
      </c>
      <c r="AH220" s="36"/>
      <c r="AI220" s="33"/>
      <c r="AJ220" s="35" t="str">
        <f>IFERROR(PA[[#This Row],[Breakdown Time]]*PA[[#This Row],[Plant Equivalent Weightage]],"")</f>
        <v/>
      </c>
      <c r="AK220" s="36"/>
      <c r="AL220" s="51" t="str">
        <f>IFERROR((_xlfn.XLOOKUP($G220,'Modelling New'!D:D,'Modelling New'!$O:$O)*PA[[#This Row],[Lost PoA(kWh/m2)]]*PA[[#This Row],[DC Capacity Affected (kW)]]),"")</f>
        <v/>
      </c>
      <c r="AM220" s="33"/>
      <c r="AN220" s="33"/>
      <c r="AO220" s="33"/>
      <c r="AP220" s="33"/>
    </row>
    <row r="221" spans="1:42">
      <c r="A221" s="30">
        <f t="shared" si="1"/>
        <v>220</v>
      </c>
      <c r="B221" s="165"/>
      <c r="C221" s="32">
        <f>YEAR(PA[[#This Row],[Date]])+IF(MONTH(PA[[#This Row],[Date]])&gt;=4,1,0)</f>
        <v>1900</v>
      </c>
      <c r="D221" s="32">
        <f>YEAR(PA[[#This Row],[Date]])</f>
        <v>1900</v>
      </c>
      <c r="E221" s="33" t="s">
        <v>157</v>
      </c>
      <c r="F221" s="33" t="s">
        <v>157</v>
      </c>
      <c r="G221" s="194">
        <f>PA[[#This Row],[Date]]-DAY(PA[[#This Row],[Date]])+1</f>
        <v>1</v>
      </c>
      <c r="H221" s="32">
        <f>DAY(EOMONTH(PA[[#This Row],[Month Year]],0))</f>
        <v>31</v>
      </c>
      <c r="I221" s="34"/>
      <c r="J221" s="34"/>
      <c r="K221" s="35">
        <f>IFERROR((PA[[#This Row],[Sunset Time (POA&lt;20 W/m2)]]-PA[[#This Row],[Sunrise Time (POA&gt;20 W/m2)]])*24,"")</f>
        <v>0</v>
      </c>
      <c r="L221" s="33"/>
      <c r="M221" s="37"/>
      <c r="N221" s="33"/>
      <c r="O221" s="36"/>
      <c r="P221" s="36"/>
      <c r="Q221" s="33"/>
      <c r="R221" s="32">
        <f>IF((PA[[#This Row],[String Type(If String BD)]]&amp;PA[[#This Row],[Equipment (If any BD other than PV  array and inv)]])="",1,0)</f>
        <v>1</v>
      </c>
      <c r="S221" s="32">
        <f>IF(PA[[#This Row],[String Type(If String BD)]]="",1,0)</f>
        <v>1</v>
      </c>
      <c r="T2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1" s="35" t="str">
        <f>IFERROR(_xlfn.XLOOKUP(PA[[#This Row],[Affected Equipment ]],'Basic Data'!N:N,'Basic Data'!Q:Q),"")</f>
        <v/>
      </c>
      <c r="V221" s="207" t="str">
        <f>IFERROR(_xlfn.XLOOKUP(PA[[#This Row],[Affected Equipment ]],'Basic Data'!N:N,'Basic Data'!R:R),"")</f>
        <v/>
      </c>
      <c r="W221" s="36"/>
      <c r="X221" s="40"/>
      <c r="Y221" s="40"/>
      <c r="Z221" s="43"/>
      <c r="AA221" s="43"/>
      <c r="AB221" s="43"/>
      <c r="AC221" s="46"/>
      <c r="AD221" s="44">
        <f>IF(PA[[#This Row],[Acknowledgement Time ]]="NA","",(PA[[#This Row],[Acknowledgement Time ]]-PA[[#This Row],[Fault Time]])*24)</f>
        <v>0</v>
      </c>
      <c r="AE221" s="44">
        <f>IF(PA[[#This Row],[Work Start time on Fault]]="NA","",(PA[[#This Row],[Work Start time on Fault]]-PA[[#This Row],[Fault Time]])*24)</f>
        <v>0</v>
      </c>
      <c r="AF221" s="45">
        <f>IF(PA[[#This Row],[Status]]="Open","",(PA[[#This Row],[Work Completion time on fault]]-PA[[#This Row],[Fault Time]])*24)</f>
        <v>0</v>
      </c>
      <c r="AG221" s="44">
        <f>IFERROR((PA[[#This Row],[Work Completion time on fault]]-PA[[#This Row],[Fault Time]])*24,"")</f>
        <v>0</v>
      </c>
      <c r="AH221" s="282"/>
      <c r="AI221" s="33"/>
      <c r="AJ221" s="35" t="str">
        <f>IFERROR(PA[[#This Row],[Breakdown Time]]*PA[[#This Row],[Plant Equivalent Weightage]],"")</f>
        <v/>
      </c>
      <c r="AK221" s="36"/>
      <c r="AL221" s="51" t="str">
        <f>IFERROR((_xlfn.XLOOKUP($G221,'Modelling New'!D:D,'Modelling New'!$O:$O)*PA[[#This Row],[Lost PoA(kWh/m2)]]*PA[[#This Row],[DC Capacity Affected (kW)]]),"")</f>
        <v/>
      </c>
      <c r="AM221" s="33"/>
      <c r="AN221" s="33"/>
      <c r="AO221" s="33"/>
      <c r="AP221" s="33"/>
    </row>
    <row r="222" spans="1:42">
      <c r="A222" s="30">
        <f t="shared" si="1"/>
        <v>221</v>
      </c>
      <c r="B222" s="31"/>
      <c r="C222" s="32">
        <f>YEAR(PA[[#This Row],[Date]])+IF(MONTH(PA[[#This Row],[Date]])&gt;=4,1,0)</f>
        <v>1900</v>
      </c>
      <c r="D222" s="32">
        <f>YEAR(PA[[#This Row],[Date]])</f>
        <v>1900</v>
      </c>
      <c r="E222" s="33" t="s">
        <v>157</v>
      </c>
      <c r="F222" s="33" t="s">
        <v>157</v>
      </c>
      <c r="G222" s="194">
        <f>PA[[#This Row],[Date]]-DAY(PA[[#This Row],[Date]])+1</f>
        <v>1</v>
      </c>
      <c r="H222" s="32">
        <f>DAY(EOMONTH(PA[[#This Row],[Month Year]],0))</f>
        <v>31</v>
      </c>
      <c r="I222" s="34"/>
      <c r="J222" s="34"/>
      <c r="K222" s="35">
        <f>IFERROR((PA[[#This Row],[Sunset Time (POA&lt;20 W/m2)]]-PA[[#This Row],[Sunrise Time (POA&gt;20 W/m2)]])*24,"")</f>
        <v>0</v>
      </c>
      <c r="L222" s="33"/>
      <c r="M222" s="37"/>
      <c r="N222" s="33"/>
      <c r="O222" s="36"/>
      <c r="P222" s="36"/>
      <c r="Q222" s="33"/>
      <c r="R222" s="32">
        <f>IF((PA[[#This Row],[String Type(If String BD)]]&amp;PA[[#This Row],[Equipment (If any BD other than PV  array and inv)]])="",1,0)</f>
        <v>1</v>
      </c>
      <c r="S222" s="32">
        <f>IF(PA[[#This Row],[String Type(If String BD)]]="",1,0)</f>
        <v>1</v>
      </c>
      <c r="T2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2" s="35" t="str">
        <f>IFERROR(_xlfn.XLOOKUP(PA[[#This Row],[Affected Equipment ]],'Basic Data'!N:N,'Basic Data'!Q:Q),"")</f>
        <v/>
      </c>
      <c r="V222" s="207" t="str">
        <f>IFERROR(_xlfn.XLOOKUP(PA[[#This Row],[Affected Equipment ]],'Basic Data'!N:N,'Basic Data'!R:R),"")</f>
        <v/>
      </c>
      <c r="W222" s="36"/>
      <c r="X222" s="40"/>
      <c r="Y222" s="40"/>
      <c r="Z222" s="43"/>
      <c r="AA222" s="43"/>
      <c r="AB222" s="43"/>
      <c r="AC222" s="46"/>
      <c r="AD222" s="44">
        <f>IF(PA[[#This Row],[Acknowledgement Time ]]="NA","",(PA[[#This Row],[Acknowledgement Time ]]-PA[[#This Row],[Fault Time]])*24)</f>
        <v>0</v>
      </c>
      <c r="AE222" s="44">
        <f>IF(PA[[#This Row],[Work Start time on Fault]]="NA","",(PA[[#This Row],[Work Start time on Fault]]-PA[[#This Row],[Fault Time]])*24)</f>
        <v>0</v>
      </c>
      <c r="AF222" s="45">
        <f>IF(PA[[#This Row],[Status]]="Open","",(PA[[#This Row],[Work Completion time on fault]]-PA[[#This Row],[Fault Time]])*24)</f>
        <v>0</v>
      </c>
      <c r="AG222" s="44">
        <f>IFERROR((PA[[#This Row],[Work Completion time on fault]]-PA[[#This Row],[Fault Time]])*24,"")</f>
        <v>0</v>
      </c>
      <c r="AH222" s="282"/>
      <c r="AI222" s="33"/>
      <c r="AJ222" s="35" t="str">
        <f>IFERROR(PA[[#This Row],[Breakdown Time]]*PA[[#This Row],[Plant Equivalent Weightage]],"")</f>
        <v/>
      </c>
      <c r="AK222" s="36"/>
      <c r="AL222" s="51" t="str">
        <f>IFERROR((_xlfn.XLOOKUP($G222,'Modelling New'!D:D,'Modelling New'!$O:$O)*PA[[#This Row],[Lost PoA(kWh/m2)]]*PA[[#This Row],[DC Capacity Affected (kW)]]),"")</f>
        <v/>
      </c>
      <c r="AM222" s="33"/>
      <c r="AN222" s="33"/>
      <c r="AO222" s="33"/>
      <c r="AP222" s="33"/>
    </row>
    <row r="223" spans="1:42">
      <c r="A223" s="30">
        <f t="shared" si="1"/>
        <v>222</v>
      </c>
      <c r="B223" s="31"/>
      <c r="C223" s="32">
        <f>YEAR(PA[[#This Row],[Date]])+IF(MONTH(PA[[#This Row],[Date]])&gt;=4,1,0)</f>
        <v>1900</v>
      </c>
      <c r="D223" s="32">
        <f>YEAR(PA[[#This Row],[Date]])</f>
        <v>1900</v>
      </c>
      <c r="E223" s="33" t="s">
        <v>157</v>
      </c>
      <c r="F223" s="33" t="s">
        <v>157</v>
      </c>
      <c r="G223" s="194">
        <f>PA[[#This Row],[Date]]-DAY(PA[[#This Row],[Date]])+1</f>
        <v>1</v>
      </c>
      <c r="H223" s="32">
        <f>DAY(EOMONTH(PA[[#This Row],[Month Year]],0))</f>
        <v>31</v>
      </c>
      <c r="I223" s="34"/>
      <c r="J223" s="34"/>
      <c r="K223" s="35">
        <f>IFERROR((PA[[#This Row],[Sunset Time (POA&lt;20 W/m2)]]-PA[[#This Row],[Sunrise Time (POA&gt;20 W/m2)]])*24,"")</f>
        <v>0</v>
      </c>
      <c r="L223" s="33"/>
      <c r="M223" s="37"/>
      <c r="N223" s="33"/>
      <c r="O223" s="36"/>
      <c r="P223" s="36"/>
      <c r="Q223" s="33"/>
      <c r="R223" s="32">
        <f>IF((PA[[#This Row],[String Type(If String BD)]]&amp;PA[[#This Row],[Equipment (If any BD other than PV  array and inv)]])="",1,0)</f>
        <v>1</v>
      </c>
      <c r="S223" s="32">
        <f>IF(PA[[#This Row],[String Type(If String BD)]]="",1,0)</f>
        <v>1</v>
      </c>
      <c r="T2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3" s="35" t="str">
        <f>IFERROR(_xlfn.XLOOKUP(PA[[#This Row],[Affected Equipment ]],'Basic Data'!N:N,'Basic Data'!Q:Q),"")</f>
        <v/>
      </c>
      <c r="V223" s="207" t="str">
        <f>IFERROR(_xlfn.XLOOKUP(PA[[#This Row],[Affected Equipment ]],'Basic Data'!N:N,'Basic Data'!R:R),"")</f>
        <v/>
      </c>
      <c r="W223" s="36"/>
      <c r="X223" s="40"/>
      <c r="Y223" s="40"/>
      <c r="Z223" s="43"/>
      <c r="AA223" s="43"/>
      <c r="AB223" s="43"/>
      <c r="AC223" s="46"/>
      <c r="AD223" s="44">
        <f>IF(PA[[#This Row],[Acknowledgement Time ]]="NA","",(PA[[#This Row],[Acknowledgement Time ]]-PA[[#This Row],[Fault Time]])*24)</f>
        <v>0</v>
      </c>
      <c r="AE223" s="44">
        <f>IF(PA[[#This Row],[Work Start time on Fault]]="NA","",(PA[[#This Row],[Work Start time on Fault]]-PA[[#This Row],[Fault Time]])*24)</f>
        <v>0</v>
      </c>
      <c r="AF223" s="45">
        <f>IF(PA[[#This Row],[Status]]="Open","",(PA[[#This Row],[Work Completion time on fault]]-PA[[#This Row],[Fault Time]])*24)</f>
        <v>0</v>
      </c>
      <c r="AG223" s="44">
        <f>IFERROR((PA[[#This Row],[Work Completion time on fault]]-PA[[#This Row],[Fault Time]])*24,"")</f>
        <v>0</v>
      </c>
      <c r="AH223" s="282"/>
      <c r="AI223" s="33"/>
      <c r="AJ223" s="35" t="str">
        <f>IFERROR(PA[[#This Row],[Breakdown Time]]*PA[[#This Row],[Plant Equivalent Weightage]],"")</f>
        <v/>
      </c>
      <c r="AK223" s="36"/>
      <c r="AL223" s="51" t="str">
        <f>IFERROR((_xlfn.XLOOKUP($G223,'Modelling New'!D:D,'Modelling New'!$O:$O)*PA[[#This Row],[Lost PoA(kWh/m2)]]*PA[[#This Row],[DC Capacity Affected (kW)]]),"")</f>
        <v/>
      </c>
      <c r="AM223" s="33"/>
      <c r="AN223" s="33"/>
      <c r="AO223" s="33"/>
      <c r="AP223" s="33"/>
    </row>
    <row r="224" spans="1:42">
      <c r="A224" s="30">
        <f t="shared" si="1"/>
        <v>223</v>
      </c>
      <c r="B224" s="165"/>
      <c r="C224" s="32">
        <f>YEAR(PA[[#This Row],[Date]])+IF(MONTH(PA[[#This Row],[Date]])&gt;=4,1,0)</f>
        <v>1900</v>
      </c>
      <c r="D224" s="32">
        <f>YEAR(PA[[#This Row],[Date]])</f>
        <v>1900</v>
      </c>
      <c r="E224" s="33" t="s">
        <v>157</v>
      </c>
      <c r="F224" s="33" t="s">
        <v>157</v>
      </c>
      <c r="G224" s="194">
        <f>PA[[#This Row],[Date]]-DAY(PA[[#This Row],[Date]])+1</f>
        <v>1</v>
      </c>
      <c r="H224" s="202">
        <f>DAY(EOMONTH(PA[[#This Row],[Month Year]],0))</f>
        <v>31</v>
      </c>
      <c r="I224" s="34"/>
      <c r="J224" s="34"/>
      <c r="K224" s="35">
        <f>IFERROR((PA[[#This Row],[Sunset Time (POA&lt;20 W/m2)]]-PA[[#This Row],[Sunrise Time (POA&gt;20 W/m2)]])*24,"")</f>
        <v>0</v>
      </c>
      <c r="L224" s="33"/>
      <c r="M224" s="37"/>
      <c r="N224" s="33"/>
      <c r="O224" s="36"/>
      <c r="P224" s="36"/>
      <c r="Q224" s="37"/>
      <c r="R224" s="202">
        <f>IF((PA[[#This Row],[String Type(If String BD)]]&amp;PA[[#This Row],[Equipment (If any BD other than PV  array and inv)]])="",1,0)</f>
        <v>1</v>
      </c>
      <c r="S224" s="202">
        <f>IF(PA[[#This Row],[String Type(If String BD)]]="",1,0)</f>
        <v>1</v>
      </c>
      <c r="T22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4" s="204" t="str">
        <f>IFERROR(_xlfn.XLOOKUP(PA[[#This Row],[Affected Equipment ]],'Basic Data'!N:N,'Basic Data'!Q:Q),"")</f>
        <v/>
      </c>
      <c r="V224" s="208" t="str">
        <f>IFERROR(_xlfn.XLOOKUP(PA[[#This Row],[Affected Equipment ]],'Basic Data'!N:N,'Basic Data'!R:R),"")</f>
        <v/>
      </c>
      <c r="W224" s="36"/>
      <c r="X224" s="41"/>
      <c r="Y224" s="40"/>
      <c r="Z224" s="43"/>
      <c r="AA224" s="43"/>
      <c r="AB224" s="43"/>
      <c r="AC224" s="47"/>
      <c r="AD224" s="205">
        <f>IF(PA[[#This Row],[Acknowledgement Time ]]="NA","",(PA[[#This Row],[Acknowledgement Time ]]-PA[[#This Row],[Fault Time]])*24)</f>
        <v>0</v>
      </c>
      <c r="AE224" s="205">
        <f>IF(PA[[#This Row],[Work Start time on Fault]]="NA","",(PA[[#This Row],[Work Start time on Fault]]-PA[[#This Row],[Fault Time]])*24)</f>
        <v>0</v>
      </c>
      <c r="AF224" s="206">
        <f>IF(PA[[#This Row],[Status]]="Open","",(PA[[#This Row],[Work Completion time on fault]]-PA[[#This Row],[Fault Time]])*24)</f>
        <v>0</v>
      </c>
      <c r="AG224" s="205">
        <f>IFERROR((PA[[#This Row],[Work Completion time on fault]]-PA[[#This Row],[Fault Time]])*24,"")</f>
        <v>0</v>
      </c>
      <c r="AH224" s="282"/>
      <c r="AI224" s="33"/>
      <c r="AJ224" s="204" t="str">
        <f>IFERROR(PA[[#This Row],[Breakdown Time]]*PA[[#This Row],[Plant Equivalent Weightage]],"")</f>
        <v/>
      </c>
      <c r="AK224" s="38"/>
      <c r="AL224" s="51" t="str">
        <f>IFERROR((_xlfn.XLOOKUP($G224,'Modelling New'!D:D,'Modelling New'!$O:$O)*PA[[#This Row],[Lost PoA(kWh/m2)]]*PA[[#This Row],[DC Capacity Affected (kW)]]),"")</f>
        <v/>
      </c>
      <c r="AM224" s="33"/>
      <c r="AN224" s="33"/>
      <c r="AO224" s="33"/>
      <c r="AP224" s="33"/>
    </row>
    <row r="225" spans="1:42">
      <c r="A225" s="30">
        <f t="shared" si="1"/>
        <v>224</v>
      </c>
      <c r="B225" s="165"/>
      <c r="C225" s="32">
        <f>YEAR(PA[[#This Row],[Date]])+IF(MONTH(PA[[#This Row],[Date]])&gt;=4,1,0)</f>
        <v>1900</v>
      </c>
      <c r="D225" s="32">
        <f>YEAR(PA[[#This Row],[Date]])</f>
        <v>1900</v>
      </c>
      <c r="E225" s="33" t="s">
        <v>157</v>
      </c>
      <c r="F225" s="33" t="s">
        <v>157</v>
      </c>
      <c r="G225" s="194">
        <f>PA[[#This Row],[Date]]-DAY(PA[[#This Row],[Date]])+1</f>
        <v>1</v>
      </c>
      <c r="H225" s="202">
        <f>DAY(EOMONTH(PA[[#This Row],[Month Year]],0))</f>
        <v>31</v>
      </c>
      <c r="I225" s="203"/>
      <c r="J225" s="203"/>
      <c r="K225" s="35">
        <f>IFERROR((PA[[#This Row],[Sunset Time (POA&lt;20 W/m2)]]-PA[[#This Row],[Sunrise Time (POA&gt;20 W/m2)]])*24,"")</f>
        <v>0</v>
      </c>
      <c r="L225" s="37"/>
      <c r="M225" s="37"/>
      <c r="N225" s="33"/>
      <c r="O225" s="36"/>
      <c r="P225" s="38"/>
      <c r="Q225" s="37"/>
      <c r="R225" s="202">
        <f>IF((PA[[#This Row],[String Type(If String BD)]]&amp;PA[[#This Row],[Equipment (If any BD other than PV  array and inv)]])="",1,0)</f>
        <v>1</v>
      </c>
      <c r="S225" s="202">
        <f>IF(PA[[#This Row],[String Type(If String BD)]]="",1,0)</f>
        <v>1</v>
      </c>
      <c r="T22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5" s="204" t="str">
        <f>IFERROR(_xlfn.XLOOKUP(PA[[#This Row],[Affected Equipment ]],'Basic Data'!N:N,'Basic Data'!Q:Q),"")</f>
        <v/>
      </c>
      <c r="V225" s="208" t="str">
        <f>IFERROR(_xlfn.XLOOKUP(PA[[#This Row],[Affected Equipment ]],'Basic Data'!N:N,'Basic Data'!R:R),"")</f>
        <v/>
      </c>
      <c r="W225" s="36"/>
      <c r="X225" s="41"/>
      <c r="Y225" s="286"/>
      <c r="Z225" s="49"/>
      <c r="AA225" s="49"/>
      <c r="AB225" s="49"/>
      <c r="AC225" s="47"/>
      <c r="AD225" s="205">
        <f>IF(PA[[#This Row],[Acknowledgement Time ]]="NA","",(PA[[#This Row],[Acknowledgement Time ]]-PA[[#This Row],[Fault Time]])*24)</f>
        <v>0</v>
      </c>
      <c r="AE225" s="205">
        <f>IF(PA[[#This Row],[Work Start time on Fault]]="NA","",(PA[[#This Row],[Work Start time on Fault]]-PA[[#This Row],[Fault Time]])*24)</f>
        <v>0</v>
      </c>
      <c r="AF225" s="206">
        <f>IF(PA[[#This Row],[Status]]="Open","",(PA[[#This Row],[Work Completion time on fault]]-PA[[#This Row],[Fault Time]])*24)</f>
        <v>0</v>
      </c>
      <c r="AG225" s="205">
        <f>IFERROR((PA[[#This Row],[Work Completion time on fault]]-PA[[#This Row],[Fault Time]])*24,"")</f>
        <v>0</v>
      </c>
      <c r="AH225" s="36"/>
      <c r="AI225" s="33"/>
      <c r="AJ225" s="204" t="str">
        <f>IFERROR(PA[[#This Row],[Breakdown Time]]*PA[[#This Row],[Plant Equivalent Weightage]],"")</f>
        <v/>
      </c>
      <c r="AK225" s="38"/>
      <c r="AL225" s="51" t="str">
        <f>IFERROR((_xlfn.XLOOKUP($G225,'Modelling New'!D:D,'Modelling New'!$O:$O)*PA[[#This Row],[Lost PoA(kWh/m2)]]*PA[[#This Row],[DC Capacity Affected (kW)]]),"")</f>
        <v/>
      </c>
      <c r="AM225" s="33"/>
      <c r="AN225" s="33"/>
      <c r="AO225" s="33"/>
      <c r="AP225" s="33"/>
    </row>
    <row r="226" spans="1:42">
      <c r="A226" s="30">
        <f t="shared" si="1"/>
        <v>225</v>
      </c>
      <c r="B226" s="165"/>
      <c r="C226" s="32">
        <f>YEAR(PA[[#This Row],[Date]])+IF(MONTH(PA[[#This Row],[Date]])&gt;=4,1,0)</f>
        <v>1900</v>
      </c>
      <c r="D226" s="32">
        <f>YEAR(PA[[#This Row],[Date]])</f>
        <v>1900</v>
      </c>
      <c r="E226" s="33" t="s">
        <v>157</v>
      </c>
      <c r="F226" s="33" t="s">
        <v>157</v>
      </c>
      <c r="G226" s="194">
        <f>PA[[#This Row],[Date]]-DAY(PA[[#This Row],[Date]])+1</f>
        <v>1</v>
      </c>
      <c r="H226" s="202">
        <f>DAY(EOMONTH(PA[[#This Row],[Month Year]],0))</f>
        <v>31</v>
      </c>
      <c r="I226" s="203"/>
      <c r="J226" s="203"/>
      <c r="K226" s="35">
        <f>IFERROR((PA[[#This Row],[Sunset Time (POA&lt;20 W/m2)]]-PA[[#This Row],[Sunrise Time (POA&gt;20 W/m2)]])*24,"")</f>
        <v>0</v>
      </c>
      <c r="L226" s="37"/>
      <c r="M226" s="37"/>
      <c r="N226" s="33"/>
      <c r="O226" s="36"/>
      <c r="P226" s="38"/>
      <c r="Q226" s="37"/>
      <c r="R226" s="202">
        <f>IF((PA[[#This Row],[String Type(If String BD)]]&amp;PA[[#This Row],[Equipment (If any BD other than PV  array and inv)]])="",1,0)</f>
        <v>1</v>
      </c>
      <c r="S226" s="202">
        <f>IF(PA[[#This Row],[String Type(If String BD)]]="",1,0)</f>
        <v>1</v>
      </c>
      <c r="T22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6" s="204" t="str">
        <f>IFERROR(_xlfn.XLOOKUP(PA[[#This Row],[Affected Equipment ]],'Basic Data'!N:N,'Basic Data'!Q:Q),"")</f>
        <v/>
      </c>
      <c r="V226" s="208" t="str">
        <f>IFERROR(_xlfn.XLOOKUP(PA[[#This Row],[Affected Equipment ]],'Basic Data'!N:N,'Basic Data'!R:R),"")</f>
        <v/>
      </c>
      <c r="W226" s="36"/>
      <c r="X226" s="41"/>
      <c r="Y226" s="286"/>
      <c r="Z226" s="49"/>
      <c r="AA226" s="49"/>
      <c r="AB226" s="49"/>
      <c r="AC226" s="47"/>
      <c r="AD226" s="205">
        <f>IF(PA[[#This Row],[Acknowledgement Time ]]="NA","",(PA[[#This Row],[Acknowledgement Time ]]-PA[[#This Row],[Fault Time]])*24)</f>
        <v>0</v>
      </c>
      <c r="AE226" s="205">
        <f>IF(PA[[#This Row],[Work Start time on Fault]]="NA","",(PA[[#This Row],[Work Start time on Fault]]-PA[[#This Row],[Fault Time]])*24)</f>
        <v>0</v>
      </c>
      <c r="AF226" s="206">
        <f>IF(PA[[#This Row],[Status]]="Open","",(PA[[#This Row],[Work Completion time on fault]]-PA[[#This Row],[Fault Time]])*24)</f>
        <v>0</v>
      </c>
      <c r="AG226" s="205">
        <f>IFERROR((PA[[#This Row],[Work Completion time on fault]]-PA[[#This Row],[Fault Time]])*24,"")</f>
        <v>0</v>
      </c>
      <c r="AH226" s="36"/>
      <c r="AI226" s="33"/>
      <c r="AJ226" s="204" t="str">
        <f>IFERROR(PA[[#This Row],[Breakdown Time]]*PA[[#This Row],[Plant Equivalent Weightage]],"")</f>
        <v/>
      </c>
      <c r="AK226" s="38"/>
      <c r="AL226" s="51" t="str">
        <f>IFERROR((_xlfn.XLOOKUP($G226,'Modelling New'!D:D,'Modelling New'!$O:$O)*PA[[#This Row],[Lost PoA(kWh/m2)]]*PA[[#This Row],[DC Capacity Affected (kW)]]),"")</f>
        <v/>
      </c>
      <c r="AM226" s="33"/>
      <c r="AN226" s="33"/>
      <c r="AO226" s="33"/>
      <c r="AP226" s="33"/>
    </row>
    <row r="227" spans="1:42">
      <c r="A227" s="30">
        <f t="shared" si="1"/>
        <v>226</v>
      </c>
      <c r="B227" s="165"/>
      <c r="C227" s="32">
        <f>YEAR(PA[[#This Row],[Date]])+IF(MONTH(PA[[#This Row],[Date]])&gt;=4,1,0)</f>
        <v>1900</v>
      </c>
      <c r="D227" s="32">
        <f>YEAR(PA[[#This Row],[Date]])</f>
        <v>1900</v>
      </c>
      <c r="E227" s="33" t="s">
        <v>157</v>
      </c>
      <c r="F227" s="33" t="s">
        <v>157</v>
      </c>
      <c r="G227" s="194">
        <f>PA[[#This Row],[Date]]-DAY(PA[[#This Row],[Date]])+1</f>
        <v>1</v>
      </c>
      <c r="H227" s="32">
        <f>DAY(EOMONTH(PA[[#This Row],[Month Year]],0))</f>
        <v>31</v>
      </c>
      <c r="I227" s="34"/>
      <c r="J227" s="34"/>
      <c r="K227" s="35">
        <f>IFERROR((PA[[#This Row],[Sunset Time (POA&lt;20 W/m2)]]-PA[[#This Row],[Sunrise Time (POA&gt;20 W/m2)]])*24,"")</f>
        <v>0</v>
      </c>
      <c r="L227" s="37"/>
      <c r="M227" s="37"/>
      <c r="N227" s="33"/>
      <c r="O227" s="36"/>
      <c r="P227" s="36"/>
      <c r="Q227" s="33"/>
      <c r="R227" s="32">
        <f>IF((PA[[#This Row],[String Type(If String BD)]]&amp;PA[[#This Row],[Equipment (If any BD other than PV  array and inv)]])="",1,0)</f>
        <v>1</v>
      </c>
      <c r="S227" s="32">
        <f>IF(PA[[#This Row],[String Type(If String BD)]]="",1,0)</f>
        <v>1</v>
      </c>
      <c r="T2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7" s="35" t="str">
        <f>IFERROR(_xlfn.XLOOKUP(PA[[#This Row],[Affected Equipment ]],'Basic Data'!N:N,'Basic Data'!Q:Q),"")</f>
        <v/>
      </c>
      <c r="V227" s="207" t="str">
        <f>IFERROR(_xlfn.XLOOKUP(PA[[#This Row],[Affected Equipment ]],'Basic Data'!N:N,'Basic Data'!R:R),"")</f>
        <v/>
      </c>
      <c r="W227" s="36"/>
      <c r="X227" s="40"/>
      <c r="Y227" s="286"/>
      <c r="Z227" s="43"/>
      <c r="AA227" s="43"/>
      <c r="AB227" s="43"/>
      <c r="AC227" s="46"/>
      <c r="AD227" s="44">
        <f>IF(PA[[#This Row],[Acknowledgement Time ]]="NA","",(PA[[#This Row],[Acknowledgement Time ]]-PA[[#This Row],[Fault Time]])*24)</f>
        <v>0</v>
      </c>
      <c r="AE227" s="44">
        <f>IF(PA[[#This Row],[Work Start time on Fault]]="NA","",(PA[[#This Row],[Work Start time on Fault]]-PA[[#This Row],[Fault Time]])*24)</f>
        <v>0</v>
      </c>
      <c r="AF227" s="45">
        <f>IF(PA[[#This Row],[Status]]="Open","",(PA[[#This Row],[Work Completion time on fault]]-PA[[#This Row],[Fault Time]])*24)</f>
        <v>0</v>
      </c>
      <c r="AG227" s="44">
        <f>IFERROR((PA[[#This Row],[Work Completion time on fault]]-PA[[#This Row],[Fault Time]])*24,"")</f>
        <v>0</v>
      </c>
      <c r="AH227" s="36"/>
      <c r="AI227" s="33"/>
      <c r="AJ227" s="35" t="str">
        <f>IFERROR(PA[[#This Row],[Breakdown Time]]*PA[[#This Row],[Plant Equivalent Weightage]],"")</f>
        <v/>
      </c>
      <c r="AK227" s="36"/>
      <c r="AL227" s="51" t="str">
        <f>IFERROR((_xlfn.XLOOKUP($G227,'Modelling New'!D:D,'Modelling New'!$O:$O)*PA[[#This Row],[Lost PoA(kWh/m2)]]*PA[[#This Row],[DC Capacity Affected (kW)]]),"")</f>
        <v/>
      </c>
      <c r="AM227" s="33"/>
      <c r="AN227" s="33"/>
      <c r="AO227" s="33"/>
      <c r="AP227" s="33"/>
    </row>
    <row r="228" spans="1:42">
      <c r="A228" s="30">
        <f t="shared" si="1"/>
        <v>227</v>
      </c>
      <c r="B228" s="165"/>
      <c r="C228" s="32">
        <f>YEAR(PA[[#This Row],[Date]])+IF(MONTH(PA[[#This Row],[Date]])&gt;=4,1,0)</f>
        <v>1900</v>
      </c>
      <c r="D228" s="32">
        <f>YEAR(PA[[#This Row],[Date]])</f>
        <v>1900</v>
      </c>
      <c r="E228" s="33" t="s">
        <v>157</v>
      </c>
      <c r="F228" s="33" t="s">
        <v>157</v>
      </c>
      <c r="G228" s="194">
        <f>PA[[#This Row],[Date]]-DAY(PA[[#This Row],[Date]])+1</f>
        <v>1</v>
      </c>
      <c r="H228" s="202">
        <f>DAY(EOMONTH(PA[[#This Row],[Month Year]],0))</f>
        <v>31</v>
      </c>
      <c r="I228" s="34"/>
      <c r="J228" s="34"/>
      <c r="K228" s="35">
        <f>IFERROR((PA[[#This Row],[Sunset Time (POA&lt;20 W/m2)]]-PA[[#This Row],[Sunrise Time (POA&gt;20 W/m2)]])*24,"")</f>
        <v>0</v>
      </c>
      <c r="L228" s="37"/>
      <c r="M228" s="37"/>
      <c r="N228" s="33"/>
      <c r="O228" s="36"/>
      <c r="P228" s="36"/>
      <c r="Q228" s="37"/>
      <c r="R228" s="202">
        <f>IF((PA[[#This Row],[String Type(If String BD)]]&amp;PA[[#This Row],[Equipment (If any BD other than PV  array and inv)]])="",1,0)</f>
        <v>1</v>
      </c>
      <c r="S228" s="202">
        <f>IF(PA[[#This Row],[String Type(If String BD)]]="",1,0)</f>
        <v>1</v>
      </c>
      <c r="T22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8" s="204" t="str">
        <f>IFERROR(_xlfn.XLOOKUP(PA[[#This Row],[Affected Equipment ]],'Basic Data'!N:N,'Basic Data'!Q:Q),"")</f>
        <v/>
      </c>
      <c r="V228" s="208" t="str">
        <f>IFERROR(_xlfn.XLOOKUP(PA[[#This Row],[Affected Equipment ]],'Basic Data'!N:N,'Basic Data'!R:R),"")</f>
        <v/>
      </c>
      <c r="W228" s="38"/>
      <c r="X228" s="41"/>
      <c r="Y228" s="40"/>
      <c r="Z228" s="43"/>
      <c r="AA228" s="43"/>
      <c r="AB228" s="43"/>
      <c r="AC228" s="47"/>
      <c r="AD228" s="205">
        <f>IF(PA[[#This Row],[Acknowledgement Time ]]="NA","",(PA[[#This Row],[Acknowledgement Time ]]-PA[[#This Row],[Fault Time]])*24)</f>
        <v>0</v>
      </c>
      <c r="AE228" s="205">
        <f>IF(PA[[#This Row],[Work Start time on Fault]]="NA","",(PA[[#This Row],[Work Start time on Fault]]-PA[[#This Row],[Fault Time]])*24)</f>
        <v>0</v>
      </c>
      <c r="AF228" s="206">
        <f>IF(PA[[#This Row],[Status]]="Open","",(PA[[#This Row],[Work Completion time on fault]]-PA[[#This Row],[Fault Time]])*24)</f>
        <v>0</v>
      </c>
      <c r="AG228" s="205">
        <f>IFERROR((PA[[#This Row],[Work Completion time on fault]]-PA[[#This Row],[Fault Time]])*24,"")</f>
        <v>0</v>
      </c>
      <c r="AH228" s="282"/>
      <c r="AI228" s="33"/>
      <c r="AJ228" s="204" t="str">
        <f>IFERROR(PA[[#This Row],[Breakdown Time]]*PA[[#This Row],[Plant Equivalent Weightage]],"")</f>
        <v/>
      </c>
      <c r="AK228" s="38"/>
      <c r="AL228" s="51" t="str">
        <f>IFERROR((_xlfn.XLOOKUP($G228,'Modelling New'!D:D,'Modelling New'!$O:$O)*PA[[#This Row],[Lost PoA(kWh/m2)]]*PA[[#This Row],[DC Capacity Affected (kW)]]),"")</f>
        <v/>
      </c>
      <c r="AM228" s="33"/>
      <c r="AN228" s="33"/>
      <c r="AO228" s="33"/>
      <c r="AP228" s="33"/>
    </row>
    <row r="229" spans="1:42">
      <c r="A229" s="30">
        <f t="shared" si="1"/>
        <v>228</v>
      </c>
      <c r="B229" s="165"/>
      <c r="C229" s="32">
        <f>YEAR(PA[[#This Row],[Date]])+IF(MONTH(PA[[#This Row],[Date]])&gt;=4,1,0)</f>
        <v>1900</v>
      </c>
      <c r="D229" s="32">
        <f>YEAR(PA[[#This Row],[Date]])</f>
        <v>1900</v>
      </c>
      <c r="E229" s="33" t="s">
        <v>157</v>
      </c>
      <c r="F229" s="33" t="s">
        <v>157</v>
      </c>
      <c r="G229" s="194">
        <f>PA[[#This Row],[Date]]-DAY(PA[[#This Row],[Date]])+1</f>
        <v>1</v>
      </c>
      <c r="H229" s="32">
        <f>DAY(EOMONTH(PA[[#This Row],[Month Year]],0))</f>
        <v>31</v>
      </c>
      <c r="I229" s="34"/>
      <c r="J229" s="34"/>
      <c r="K229" s="35">
        <f>IFERROR((PA[[#This Row],[Sunset Time (POA&lt;20 W/m2)]]-PA[[#This Row],[Sunrise Time (POA&gt;20 W/m2)]])*24,"")</f>
        <v>0</v>
      </c>
      <c r="L229" s="37"/>
      <c r="M229" s="37"/>
      <c r="N229" s="33"/>
      <c r="O229" s="36"/>
      <c r="P229" s="36"/>
      <c r="Q229" s="33"/>
      <c r="R229" s="32">
        <f>IF((PA[[#This Row],[String Type(If String BD)]]&amp;PA[[#This Row],[Equipment (If any BD other than PV  array and inv)]])="",1,0)</f>
        <v>1</v>
      </c>
      <c r="S229" s="32">
        <f>IF(PA[[#This Row],[String Type(If String BD)]]="",1,0)</f>
        <v>1</v>
      </c>
      <c r="T22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29" s="35" t="str">
        <f>IFERROR(_xlfn.XLOOKUP(PA[[#This Row],[Affected Equipment ]],'Basic Data'!N:N,'Basic Data'!Q:Q),"")</f>
        <v/>
      </c>
      <c r="V229" s="207" t="str">
        <f>IFERROR(_xlfn.XLOOKUP(PA[[#This Row],[Affected Equipment ]],'Basic Data'!N:N,'Basic Data'!R:R),"")</f>
        <v/>
      </c>
      <c r="W229" s="36"/>
      <c r="X229" s="40"/>
      <c r="Y229" s="286"/>
      <c r="Z229" s="43"/>
      <c r="AA229" s="43"/>
      <c r="AB229" s="43"/>
      <c r="AC229" s="46"/>
      <c r="AD229" s="44">
        <f>IF(PA[[#This Row],[Acknowledgement Time ]]="NA","",(PA[[#This Row],[Acknowledgement Time ]]-PA[[#This Row],[Fault Time]])*24)</f>
        <v>0</v>
      </c>
      <c r="AE229" s="44">
        <f>IF(PA[[#This Row],[Work Start time on Fault]]="NA","",(PA[[#This Row],[Work Start time on Fault]]-PA[[#This Row],[Fault Time]])*24)</f>
        <v>0</v>
      </c>
      <c r="AF229" s="45">
        <f>IF(PA[[#This Row],[Status]]="Open","",(PA[[#This Row],[Work Completion time on fault]]-PA[[#This Row],[Fault Time]])*24)</f>
        <v>0</v>
      </c>
      <c r="AG229" s="44">
        <f>IFERROR((PA[[#This Row],[Work Completion time on fault]]-PA[[#This Row],[Fault Time]])*24,"")</f>
        <v>0</v>
      </c>
      <c r="AH229" s="36"/>
      <c r="AI229" s="33"/>
      <c r="AJ229" s="35" t="str">
        <f>IFERROR(PA[[#This Row],[Breakdown Time]]*PA[[#This Row],[Plant Equivalent Weightage]],"")</f>
        <v/>
      </c>
      <c r="AK229" s="36"/>
      <c r="AL229" s="51" t="str">
        <f>IFERROR((_xlfn.XLOOKUP($G229,'Modelling New'!D:D,'Modelling New'!$O:$O)*PA[[#This Row],[Lost PoA(kWh/m2)]]*PA[[#This Row],[DC Capacity Affected (kW)]]),"")</f>
        <v/>
      </c>
      <c r="AM229" s="33"/>
      <c r="AN229" s="33"/>
      <c r="AO229" s="33"/>
      <c r="AP229" s="33"/>
    </row>
    <row r="230" spans="1:42">
      <c r="A230" s="30">
        <f t="shared" si="1"/>
        <v>229</v>
      </c>
      <c r="B230" s="165"/>
      <c r="C230" s="32">
        <f>YEAR(PA[[#This Row],[Date]])+IF(MONTH(PA[[#This Row],[Date]])&gt;=4,1,0)</f>
        <v>1900</v>
      </c>
      <c r="D230" s="32">
        <f>YEAR(PA[[#This Row],[Date]])</f>
        <v>1900</v>
      </c>
      <c r="E230" s="33" t="s">
        <v>157</v>
      </c>
      <c r="F230" s="33" t="s">
        <v>157</v>
      </c>
      <c r="G230" s="194">
        <f>PA[[#This Row],[Date]]-DAY(PA[[#This Row],[Date]])+1</f>
        <v>1</v>
      </c>
      <c r="H230" s="32">
        <f>DAY(EOMONTH(PA[[#This Row],[Month Year]],0))</f>
        <v>31</v>
      </c>
      <c r="I230" s="34"/>
      <c r="J230" s="34"/>
      <c r="K230" s="35">
        <f>IFERROR((PA[[#This Row],[Sunset Time (POA&lt;20 W/m2)]]-PA[[#This Row],[Sunrise Time (POA&gt;20 W/m2)]])*24,"")</f>
        <v>0</v>
      </c>
      <c r="L230" s="33"/>
      <c r="M230" s="37"/>
      <c r="N230" s="33"/>
      <c r="O230" s="36"/>
      <c r="P230" s="36"/>
      <c r="Q230" s="33"/>
      <c r="R230" s="32">
        <f>IF((PA[[#This Row],[String Type(If String BD)]]&amp;PA[[#This Row],[Equipment (If any BD other than PV  array and inv)]])="",1,0)</f>
        <v>1</v>
      </c>
      <c r="S230" s="32">
        <f>IF(PA[[#This Row],[String Type(If String BD)]]="",1,0)</f>
        <v>1</v>
      </c>
      <c r="T2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0" s="35" t="str">
        <f>IFERROR(_xlfn.XLOOKUP(PA[[#This Row],[Affected Equipment ]],'Basic Data'!N:N,'Basic Data'!Q:Q),"")</f>
        <v/>
      </c>
      <c r="V230" s="207" t="str">
        <f>IFERROR(_xlfn.XLOOKUP(PA[[#This Row],[Affected Equipment ]],'Basic Data'!N:N,'Basic Data'!R:R),"")</f>
        <v/>
      </c>
      <c r="W230" s="38"/>
      <c r="X230" s="40"/>
      <c r="Y230" s="40"/>
      <c r="Z230" s="46"/>
      <c r="AA230" s="46"/>
      <c r="AB230" s="46"/>
      <c r="AC230" s="46"/>
      <c r="AD230" s="44">
        <f>IF(PA[[#This Row],[Acknowledgement Time ]]="NA","",(PA[[#This Row],[Acknowledgement Time ]]-PA[[#This Row],[Fault Time]])*24)</f>
        <v>0</v>
      </c>
      <c r="AE230" s="44">
        <f>IF(PA[[#This Row],[Work Start time on Fault]]="NA","",(PA[[#This Row],[Work Start time on Fault]]-PA[[#This Row],[Fault Time]])*24)</f>
        <v>0</v>
      </c>
      <c r="AF230" s="45">
        <f>IF(PA[[#This Row],[Status]]="Open","",(PA[[#This Row],[Work Completion time on fault]]-PA[[#This Row],[Fault Time]])*24)</f>
        <v>0</v>
      </c>
      <c r="AG230" s="44">
        <f>IFERROR((PA[[#This Row],[Work Completion time on fault]]-PA[[#This Row],[Fault Time]])*24,"")</f>
        <v>0</v>
      </c>
      <c r="AH230" s="282"/>
      <c r="AI230" s="33"/>
      <c r="AJ230" s="35" t="str">
        <f>IFERROR(PA[[#This Row],[Breakdown Time]]*PA[[#This Row],[Plant Equivalent Weightage]],"")</f>
        <v/>
      </c>
      <c r="AK230" s="36"/>
      <c r="AL230" s="51" t="str">
        <f>IFERROR((_xlfn.XLOOKUP($G230,'Modelling New'!D:D,'Modelling New'!$O:$O)*PA[[#This Row],[Lost PoA(kWh/m2)]]*PA[[#This Row],[DC Capacity Affected (kW)]]),"")</f>
        <v/>
      </c>
      <c r="AM230" s="33"/>
      <c r="AN230" s="33"/>
      <c r="AO230" s="33"/>
      <c r="AP230" s="33"/>
    </row>
    <row r="231" spans="1:42">
      <c r="A231" s="30">
        <f t="shared" si="1"/>
        <v>230</v>
      </c>
      <c r="B231" s="165"/>
      <c r="C231" s="32">
        <f>YEAR(PA[[#This Row],[Date]])+IF(MONTH(PA[[#This Row],[Date]])&gt;=4,1,0)</f>
        <v>1900</v>
      </c>
      <c r="D231" s="32">
        <f>YEAR(PA[[#This Row],[Date]])</f>
        <v>1900</v>
      </c>
      <c r="E231" s="33" t="s">
        <v>157</v>
      </c>
      <c r="F231" s="33" t="s">
        <v>157</v>
      </c>
      <c r="G231" s="194">
        <f>PA[[#This Row],[Date]]-DAY(PA[[#This Row],[Date]])+1</f>
        <v>1</v>
      </c>
      <c r="H231" s="32">
        <f>DAY(EOMONTH(PA[[#This Row],[Month Year]],0))</f>
        <v>31</v>
      </c>
      <c r="I231" s="34"/>
      <c r="J231" s="34"/>
      <c r="K231" s="35">
        <f>IFERROR((PA[[#This Row],[Sunset Time (POA&lt;20 W/m2)]]-PA[[#This Row],[Sunrise Time (POA&gt;20 W/m2)]])*24,"")</f>
        <v>0</v>
      </c>
      <c r="L231" s="33"/>
      <c r="M231" s="37"/>
      <c r="N231" s="33"/>
      <c r="O231" s="36"/>
      <c r="P231" s="36"/>
      <c r="Q231" s="33"/>
      <c r="R231" s="32">
        <f>IF((PA[[#This Row],[String Type(If String BD)]]&amp;PA[[#This Row],[Equipment (If any BD other than PV  array and inv)]])="",1,0)</f>
        <v>1</v>
      </c>
      <c r="S231" s="32">
        <f>IF(PA[[#This Row],[String Type(If String BD)]]="",1,0)</f>
        <v>1</v>
      </c>
      <c r="T2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1" s="35" t="str">
        <f>IFERROR(_xlfn.XLOOKUP(PA[[#This Row],[Affected Equipment ]],'Basic Data'!N:N,'Basic Data'!Q:Q),"")</f>
        <v/>
      </c>
      <c r="V231" s="207" t="str">
        <f>IFERROR(_xlfn.XLOOKUP(PA[[#This Row],[Affected Equipment ]],'Basic Data'!N:N,'Basic Data'!R:R),"")</f>
        <v/>
      </c>
      <c r="W231" s="38"/>
      <c r="X231" s="40"/>
      <c r="Y231" s="40"/>
      <c r="Z231" s="46"/>
      <c r="AA231" s="46"/>
      <c r="AB231" s="46"/>
      <c r="AC231" s="46"/>
      <c r="AD231" s="44">
        <f>IF(PA[[#This Row],[Acknowledgement Time ]]="NA","",(PA[[#This Row],[Acknowledgement Time ]]-PA[[#This Row],[Fault Time]])*24)</f>
        <v>0</v>
      </c>
      <c r="AE231" s="44">
        <f>IF(PA[[#This Row],[Work Start time on Fault]]="NA","",(PA[[#This Row],[Work Start time on Fault]]-PA[[#This Row],[Fault Time]])*24)</f>
        <v>0</v>
      </c>
      <c r="AF231" s="45">
        <f>IF(PA[[#This Row],[Status]]="Open","",(PA[[#This Row],[Work Completion time on fault]]-PA[[#This Row],[Fault Time]])*24)</f>
        <v>0</v>
      </c>
      <c r="AG231" s="44">
        <f>IFERROR((PA[[#This Row],[Work Completion time on fault]]-PA[[#This Row],[Fault Time]])*24,"")</f>
        <v>0</v>
      </c>
      <c r="AH231" s="282"/>
      <c r="AI231" s="33"/>
      <c r="AJ231" s="35" t="str">
        <f>IFERROR(PA[[#This Row],[Breakdown Time]]*PA[[#This Row],[Plant Equivalent Weightage]],"")</f>
        <v/>
      </c>
      <c r="AK231" s="36"/>
      <c r="AL231" s="51" t="str">
        <f>IFERROR((_xlfn.XLOOKUP($G231,'Modelling New'!D:D,'Modelling New'!$O:$O)*PA[[#This Row],[Lost PoA(kWh/m2)]]*PA[[#This Row],[DC Capacity Affected (kW)]]),"")</f>
        <v/>
      </c>
      <c r="AM231" s="33"/>
      <c r="AN231" s="33"/>
      <c r="AO231" s="33"/>
      <c r="AP231" s="33"/>
    </row>
    <row r="232" spans="1:42">
      <c r="A232" s="30">
        <f t="shared" si="1"/>
        <v>231</v>
      </c>
      <c r="B232" s="165"/>
      <c r="C232" s="32">
        <f>YEAR(PA[[#This Row],[Date]])+IF(MONTH(PA[[#This Row],[Date]])&gt;=4,1,0)</f>
        <v>1900</v>
      </c>
      <c r="D232" s="32">
        <f>YEAR(PA[[#This Row],[Date]])</f>
        <v>1900</v>
      </c>
      <c r="E232" s="33" t="s">
        <v>157</v>
      </c>
      <c r="F232" s="33" t="s">
        <v>157</v>
      </c>
      <c r="G232" s="194">
        <f>PA[[#This Row],[Date]]-DAY(PA[[#This Row],[Date]])+1</f>
        <v>1</v>
      </c>
      <c r="H232" s="32">
        <f>DAY(EOMONTH(PA[[#This Row],[Month Year]],0))</f>
        <v>31</v>
      </c>
      <c r="I232" s="34"/>
      <c r="J232" s="34"/>
      <c r="K232" s="35">
        <f>IFERROR((PA[[#This Row],[Sunset Time (POA&lt;20 W/m2)]]-PA[[#This Row],[Sunrise Time (POA&gt;20 W/m2)]])*24,"")</f>
        <v>0</v>
      </c>
      <c r="L232" s="33"/>
      <c r="M232" s="37"/>
      <c r="N232" s="33"/>
      <c r="O232" s="36"/>
      <c r="P232" s="36"/>
      <c r="Q232" s="33"/>
      <c r="R232" s="32">
        <f>IF((PA[[#This Row],[String Type(If String BD)]]&amp;PA[[#This Row],[Equipment (If any BD other than PV  array and inv)]])="",1,0)</f>
        <v>1</v>
      </c>
      <c r="S232" s="32">
        <f>IF(PA[[#This Row],[String Type(If String BD)]]="",1,0)</f>
        <v>1</v>
      </c>
      <c r="T2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2" s="35" t="str">
        <f>IFERROR(_xlfn.XLOOKUP(PA[[#This Row],[Affected Equipment ]],'Basic Data'!N:N,'Basic Data'!Q:Q),"")</f>
        <v/>
      </c>
      <c r="V232" s="207" t="str">
        <f>IFERROR(_xlfn.XLOOKUP(PA[[#This Row],[Affected Equipment ]],'Basic Data'!N:N,'Basic Data'!R:R),"")</f>
        <v/>
      </c>
      <c r="W232" s="36"/>
      <c r="X232" s="40"/>
      <c r="Y232" s="40"/>
      <c r="Z232" s="46"/>
      <c r="AA232" s="46"/>
      <c r="AB232" s="46"/>
      <c r="AC232" s="46"/>
      <c r="AD232" s="44">
        <f>IF(PA[[#This Row],[Acknowledgement Time ]]="NA","",(PA[[#This Row],[Acknowledgement Time ]]-PA[[#This Row],[Fault Time]])*24)</f>
        <v>0</v>
      </c>
      <c r="AE232" s="44">
        <f>IF(PA[[#This Row],[Work Start time on Fault]]="NA","",(PA[[#This Row],[Work Start time on Fault]]-PA[[#This Row],[Fault Time]])*24)</f>
        <v>0</v>
      </c>
      <c r="AF232" s="45">
        <f>IF(PA[[#This Row],[Status]]="Open","",(PA[[#This Row],[Work Completion time on fault]]-PA[[#This Row],[Fault Time]])*24)</f>
        <v>0</v>
      </c>
      <c r="AG232" s="44">
        <f>IFERROR((PA[[#This Row],[Work Completion time on fault]]-PA[[#This Row],[Fault Time]])*24,"")</f>
        <v>0</v>
      </c>
      <c r="AH232" s="36"/>
      <c r="AI232" s="33"/>
      <c r="AJ232" s="35" t="str">
        <f>IFERROR(PA[[#This Row],[Breakdown Time]]*PA[[#This Row],[Plant Equivalent Weightage]],"")</f>
        <v/>
      </c>
      <c r="AK232" s="36"/>
      <c r="AL232" s="51" t="str">
        <f>IFERROR((_xlfn.XLOOKUP($G232,'Modelling New'!D:D,'Modelling New'!$O:$O)*PA[[#This Row],[Lost PoA(kWh/m2)]]*PA[[#This Row],[DC Capacity Affected (kW)]]),"")</f>
        <v/>
      </c>
      <c r="AM232" s="33"/>
      <c r="AN232" s="33"/>
      <c r="AO232" s="33"/>
      <c r="AP232" s="33"/>
    </row>
    <row r="233" spans="1:42">
      <c r="A233" s="30">
        <f t="shared" si="1"/>
        <v>232</v>
      </c>
      <c r="B233" s="165"/>
      <c r="C233" s="32">
        <f>YEAR(PA[[#This Row],[Date]])+IF(MONTH(PA[[#This Row],[Date]])&gt;=4,1,0)</f>
        <v>1900</v>
      </c>
      <c r="D233" s="32">
        <f>YEAR(PA[[#This Row],[Date]])</f>
        <v>1900</v>
      </c>
      <c r="E233" s="33" t="s">
        <v>157</v>
      </c>
      <c r="F233" s="33" t="s">
        <v>157</v>
      </c>
      <c r="G233" s="194">
        <f>PA[[#This Row],[Date]]-DAY(PA[[#This Row],[Date]])+1</f>
        <v>1</v>
      </c>
      <c r="H233" s="32">
        <f>DAY(EOMONTH(PA[[#This Row],[Month Year]],0))</f>
        <v>31</v>
      </c>
      <c r="I233" s="34"/>
      <c r="J233" s="34"/>
      <c r="K233" s="35">
        <f>IFERROR((PA[[#This Row],[Sunset Time (POA&lt;20 W/m2)]]-PA[[#This Row],[Sunrise Time (POA&gt;20 W/m2)]])*24,"")</f>
        <v>0</v>
      </c>
      <c r="L233" s="33"/>
      <c r="M233" s="33"/>
      <c r="N233" s="33"/>
      <c r="O233" s="36"/>
      <c r="P233" s="36"/>
      <c r="Q233" s="33"/>
      <c r="R233" s="32">
        <f>IF((PA[[#This Row],[String Type(If String BD)]]&amp;PA[[#This Row],[Equipment (If any BD other than PV  array and inv)]])="",1,0)</f>
        <v>1</v>
      </c>
      <c r="S233" s="32">
        <f>IF(PA[[#This Row],[String Type(If String BD)]]="",1,0)</f>
        <v>1</v>
      </c>
      <c r="T2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3" s="35" t="str">
        <f>IFERROR(_xlfn.XLOOKUP(PA[[#This Row],[Affected Equipment ]],'Basic Data'!N:N,'Basic Data'!Q:Q),"")</f>
        <v/>
      </c>
      <c r="V233" s="207" t="str">
        <f>IFERROR(_xlfn.XLOOKUP(PA[[#This Row],[Affected Equipment ]],'Basic Data'!N:N,'Basic Data'!R:R),"")</f>
        <v/>
      </c>
      <c r="W233" s="36"/>
      <c r="X233" s="40"/>
      <c r="Y233" s="40"/>
      <c r="Z233" s="46"/>
      <c r="AA233" s="46"/>
      <c r="AB233" s="46"/>
      <c r="AC233" s="46"/>
      <c r="AD233" s="44">
        <f>IF(PA[[#This Row],[Acknowledgement Time ]]="NA","",(PA[[#This Row],[Acknowledgement Time ]]-PA[[#This Row],[Fault Time]])*24)</f>
        <v>0</v>
      </c>
      <c r="AE233" s="44">
        <f>IF(PA[[#This Row],[Work Start time on Fault]]="NA","",(PA[[#This Row],[Work Start time on Fault]]-PA[[#This Row],[Fault Time]])*24)</f>
        <v>0</v>
      </c>
      <c r="AF233" s="45">
        <f>IF(PA[[#This Row],[Status]]="Open","",(PA[[#This Row],[Work Completion time on fault]]-PA[[#This Row],[Fault Time]])*24)</f>
        <v>0</v>
      </c>
      <c r="AG233" s="44">
        <f>IFERROR((PA[[#This Row],[Work Completion time on fault]]-PA[[#This Row],[Fault Time]])*24,"")</f>
        <v>0</v>
      </c>
      <c r="AH233" s="36"/>
      <c r="AI233" s="33"/>
      <c r="AJ233" s="35" t="str">
        <f>IFERROR(PA[[#This Row],[Breakdown Time]]*PA[[#This Row],[Plant Equivalent Weightage]],"")</f>
        <v/>
      </c>
      <c r="AK233" s="36"/>
      <c r="AL233" s="51" t="str">
        <f>IFERROR((_xlfn.XLOOKUP($G233,'Modelling New'!D:D,'Modelling New'!$O:$O)*PA[[#This Row],[Lost PoA(kWh/m2)]]*PA[[#This Row],[DC Capacity Affected (kW)]]),"")</f>
        <v/>
      </c>
      <c r="AM233" s="33"/>
      <c r="AN233" s="33"/>
      <c r="AO233" s="33"/>
      <c r="AP233" s="33"/>
    </row>
    <row r="234" spans="1:42">
      <c r="A234" s="30">
        <f t="shared" si="1"/>
        <v>233</v>
      </c>
      <c r="B234" s="165"/>
      <c r="C234" s="32">
        <f>YEAR(PA[[#This Row],[Date]])+IF(MONTH(PA[[#This Row],[Date]])&gt;=4,1,0)</f>
        <v>1900</v>
      </c>
      <c r="D234" s="32">
        <f>YEAR(PA[[#This Row],[Date]])</f>
        <v>1900</v>
      </c>
      <c r="E234" s="33" t="s">
        <v>157</v>
      </c>
      <c r="F234" s="33" t="s">
        <v>157</v>
      </c>
      <c r="G234" s="194">
        <f>PA[[#This Row],[Date]]-DAY(PA[[#This Row],[Date]])+1</f>
        <v>1</v>
      </c>
      <c r="H234" s="32">
        <f>DAY(EOMONTH(PA[[#This Row],[Month Year]],0))</f>
        <v>31</v>
      </c>
      <c r="I234" s="34"/>
      <c r="J234" s="34"/>
      <c r="K234" s="35">
        <f>IFERROR((PA[[#This Row],[Sunset Time (POA&lt;20 W/m2)]]-PA[[#This Row],[Sunrise Time (POA&gt;20 W/m2)]])*24,"")</f>
        <v>0</v>
      </c>
      <c r="L234" s="33"/>
      <c r="M234" s="37"/>
      <c r="N234" s="33"/>
      <c r="O234" s="36"/>
      <c r="P234" s="36"/>
      <c r="Q234" s="33"/>
      <c r="R234" s="32">
        <f>IF((PA[[#This Row],[String Type(If String BD)]]&amp;PA[[#This Row],[Equipment (If any BD other than PV  array and inv)]])="",1,0)</f>
        <v>1</v>
      </c>
      <c r="S234" s="32">
        <f>IF(PA[[#This Row],[String Type(If String BD)]]="",1,0)</f>
        <v>1</v>
      </c>
      <c r="T2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4" s="35" t="str">
        <f>IFERROR(_xlfn.XLOOKUP(PA[[#This Row],[Affected Equipment ]],'Basic Data'!N:N,'Basic Data'!Q:Q),"")</f>
        <v/>
      </c>
      <c r="V234" s="207" t="str">
        <f>IFERROR(_xlfn.XLOOKUP(PA[[#This Row],[Affected Equipment ]],'Basic Data'!N:N,'Basic Data'!R:R),"")</f>
        <v/>
      </c>
      <c r="W234" s="36"/>
      <c r="X234" s="40"/>
      <c r="Y234" s="40"/>
      <c r="Z234" s="46"/>
      <c r="AA234" s="46"/>
      <c r="AB234" s="46"/>
      <c r="AC234" s="46"/>
      <c r="AD234" s="44">
        <f>IF(PA[[#This Row],[Acknowledgement Time ]]="NA","",(PA[[#This Row],[Acknowledgement Time ]]-PA[[#This Row],[Fault Time]])*24)</f>
        <v>0</v>
      </c>
      <c r="AE234" s="44">
        <f>IF(PA[[#This Row],[Work Start time on Fault]]="NA","",(PA[[#This Row],[Work Start time on Fault]]-PA[[#This Row],[Fault Time]])*24)</f>
        <v>0</v>
      </c>
      <c r="AF234" s="45">
        <f>IF(PA[[#This Row],[Status]]="Open","",(PA[[#This Row],[Work Completion time on fault]]-PA[[#This Row],[Fault Time]])*24)</f>
        <v>0</v>
      </c>
      <c r="AG234" s="44">
        <f>IFERROR((PA[[#This Row],[Work Completion time on fault]]-PA[[#This Row],[Fault Time]])*24,"")</f>
        <v>0</v>
      </c>
      <c r="AH234" s="36"/>
      <c r="AI234" s="33"/>
      <c r="AJ234" s="35" t="str">
        <f>IFERROR(PA[[#This Row],[Breakdown Time]]*PA[[#This Row],[Plant Equivalent Weightage]],"")</f>
        <v/>
      </c>
      <c r="AK234" s="36"/>
      <c r="AL234" s="51" t="str">
        <f>IFERROR((_xlfn.XLOOKUP($G234,'Modelling New'!D:D,'Modelling New'!$O:$O)*PA[[#This Row],[Lost PoA(kWh/m2)]]*PA[[#This Row],[DC Capacity Affected (kW)]]),"")</f>
        <v/>
      </c>
      <c r="AM234" s="33"/>
      <c r="AN234" s="33"/>
      <c r="AO234" s="33"/>
      <c r="AP234" s="33"/>
    </row>
    <row r="235" spans="1:42">
      <c r="A235" s="30">
        <f t="shared" si="1"/>
        <v>234</v>
      </c>
      <c r="B235" s="165"/>
      <c r="C235" s="32">
        <f>YEAR(PA[[#This Row],[Date]])+IF(MONTH(PA[[#This Row],[Date]])&gt;=4,1,0)</f>
        <v>1900</v>
      </c>
      <c r="D235" s="32">
        <f>YEAR(PA[[#This Row],[Date]])</f>
        <v>1900</v>
      </c>
      <c r="E235" s="33" t="s">
        <v>157</v>
      </c>
      <c r="F235" s="33" t="s">
        <v>157</v>
      </c>
      <c r="G235" s="194">
        <f>PA[[#This Row],[Date]]-DAY(PA[[#This Row],[Date]])+1</f>
        <v>1</v>
      </c>
      <c r="H235" s="32">
        <f>DAY(EOMONTH(PA[[#This Row],[Month Year]],0))</f>
        <v>31</v>
      </c>
      <c r="I235" s="34"/>
      <c r="J235" s="34"/>
      <c r="K235" s="35">
        <f>IFERROR((PA[[#This Row],[Sunset Time (POA&lt;20 W/m2)]]-PA[[#This Row],[Sunrise Time (POA&gt;20 W/m2)]])*24,"")</f>
        <v>0</v>
      </c>
      <c r="L235" s="37"/>
      <c r="M235" s="37"/>
      <c r="N235" s="33"/>
      <c r="O235" s="36"/>
      <c r="P235" s="36"/>
      <c r="Q235" s="33"/>
      <c r="R235" s="32">
        <f>IF((PA[[#This Row],[String Type(If String BD)]]&amp;PA[[#This Row],[Equipment (If any BD other than PV  array and inv)]])="",1,0)</f>
        <v>1</v>
      </c>
      <c r="S235" s="32">
        <f>IF(PA[[#This Row],[String Type(If String BD)]]="",1,0)</f>
        <v>1</v>
      </c>
      <c r="T23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5" s="35" t="str">
        <f>IFERROR(_xlfn.XLOOKUP(PA[[#This Row],[Affected Equipment ]],'Basic Data'!N:N,'Basic Data'!Q:Q),"")</f>
        <v/>
      </c>
      <c r="V235" s="207" t="str">
        <f>IFERROR(_xlfn.XLOOKUP(PA[[#This Row],[Affected Equipment ]],'Basic Data'!N:N,'Basic Data'!R:R),"")</f>
        <v/>
      </c>
      <c r="W235" s="36"/>
      <c r="X235" s="40"/>
      <c r="Y235" s="286"/>
      <c r="Z235" s="43"/>
      <c r="AA235" s="43"/>
      <c r="AB235" s="43"/>
      <c r="AC235" s="46"/>
      <c r="AD235" s="44">
        <f>IF(PA[[#This Row],[Acknowledgement Time ]]="NA","",(PA[[#This Row],[Acknowledgement Time ]]-PA[[#This Row],[Fault Time]])*24)</f>
        <v>0</v>
      </c>
      <c r="AE235" s="44">
        <f>IF(PA[[#This Row],[Work Start time on Fault]]="NA","",(PA[[#This Row],[Work Start time on Fault]]-PA[[#This Row],[Fault Time]])*24)</f>
        <v>0</v>
      </c>
      <c r="AF235" s="45">
        <f>IF(PA[[#This Row],[Status]]="Open","",(PA[[#This Row],[Work Completion time on fault]]-PA[[#This Row],[Fault Time]])*24)</f>
        <v>0</v>
      </c>
      <c r="AG235" s="44">
        <f>IFERROR((PA[[#This Row],[Work Completion time on fault]]-PA[[#This Row],[Fault Time]])*24,"")</f>
        <v>0</v>
      </c>
      <c r="AH235" s="36"/>
      <c r="AI235" s="33"/>
      <c r="AJ235" s="35" t="str">
        <f>IFERROR(PA[[#This Row],[Breakdown Time]]*PA[[#This Row],[Plant Equivalent Weightage]],"")</f>
        <v/>
      </c>
      <c r="AK235" s="36"/>
      <c r="AL235" s="51" t="str">
        <f>IFERROR((_xlfn.XLOOKUP($G235,'Modelling New'!D:D,'Modelling New'!$O:$O)*PA[[#This Row],[Lost PoA(kWh/m2)]]*PA[[#This Row],[DC Capacity Affected (kW)]]),"")</f>
        <v/>
      </c>
      <c r="AM235" s="33"/>
      <c r="AN235" s="33"/>
      <c r="AO235" s="33"/>
      <c r="AP235" s="33"/>
    </row>
    <row r="236" spans="1:42">
      <c r="A236" s="30">
        <f t="shared" si="1"/>
        <v>235</v>
      </c>
      <c r="B236" s="165"/>
      <c r="C236" s="32">
        <f>YEAR(PA[[#This Row],[Date]])+IF(MONTH(PA[[#This Row],[Date]])&gt;=4,1,0)</f>
        <v>1900</v>
      </c>
      <c r="D236" s="32">
        <f>YEAR(PA[[#This Row],[Date]])</f>
        <v>1900</v>
      </c>
      <c r="E236" s="33" t="s">
        <v>157</v>
      </c>
      <c r="F236" s="33" t="s">
        <v>157</v>
      </c>
      <c r="G236" s="194">
        <f>PA[[#This Row],[Date]]-DAY(PA[[#This Row],[Date]])+1</f>
        <v>1</v>
      </c>
      <c r="H236" s="32">
        <f>DAY(EOMONTH(PA[[#This Row],[Month Year]],0))</f>
        <v>31</v>
      </c>
      <c r="I236" s="34"/>
      <c r="J236" s="34"/>
      <c r="K236" s="35">
        <f>IFERROR((PA[[#This Row],[Sunset Time (POA&lt;20 W/m2)]]-PA[[#This Row],[Sunrise Time (POA&gt;20 W/m2)]])*24,"")</f>
        <v>0</v>
      </c>
      <c r="L236" s="37"/>
      <c r="M236" s="37"/>
      <c r="N236" s="33"/>
      <c r="O236" s="36"/>
      <c r="P236" s="36"/>
      <c r="Q236" s="33"/>
      <c r="R236" s="32">
        <f>IF((PA[[#This Row],[String Type(If String BD)]]&amp;PA[[#This Row],[Equipment (If any BD other than PV  array and inv)]])="",1,0)</f>
        <v>1</v>
      </c>
      <c r="S236" s="32">
        <f>IF(PA[[#This Row],[String Type(If String BD)]]="",1,0)</f>
        <v>1</v>
      </c>
      <c r="T2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6" s="35" t="str">
        <f>IFERROR(_xlfn.XLOOKUP(PA[[#This Row],[Affected Equipment ]],'Basic Data'!N:N,'Basic Data'!Q:Q),"")</f>
        <v/>
      </c>
      <c r="V236" s="207" t="str">
        <f>IFERROR(_xlfn.XLOOKUP(PA[[#This Row],[Affected Equipment ]],'Basic Data'!N:N,'Basic Data'!R:R),"")</f>
        <v/>
      </c>
      <c r="W236" s="36"/>
      <c r="X236" s="40"/>
      <c r="Y236" s="286"/>
      <c r="Z236" s="43"/>
      <c r="AA236" s="43"/>
      <c r="AB236" s="43"/>
      <c r="AC236" s="46"/>
      <c r="AD236" s="44">
        <f>IF(PA[[#This Row],[Acknowledgement Time ]]="NA","",(PA[[#This Row],[Acknowledgement Time ]]-PA[[#This Row],[Fault Time]])*24)</f>
        <v>0</v>
      </c>
      <c r="AE236" s="44">
        <f>IF(PA[[#This Row],[Work Start time on Fault]]="NA","",(PA[[#This Row],[Work Start time on Fault]]-PA[[#This Row],[Fault Time]])*24)</f>
        <v>0</v>
      </c>
      <c r="AF236" s="45">
        <f>IF(PA[[#This Row],[Status]]="Open","",(PA[[#This Row],[Work Completion time on fault]]-PA[[#This Row],[Fault Time]])*24)</f>
        <v>0</v>
      </c>
      <c r="AG236" s="44">
        <f>IFERROR((PA[[#This Row],[Work Completion time on fault]]-PA[[#This Row],[Fault Time]])*24,"")</f>
        <v>0</v>
      </c>
      <c r="AH236" s="36"/>
      <c r="AI236" s="33"/>
      <c r="AJ236" s="35" t="str">
        <f>IFERROR(PA[[#This Row],[Breakdown Time]]*PA[[#This Row],[Plant Equivalent Weightage]],"")</f>
        <v/>
      </c>
      <c r="AK236" s="36"/>
      <c r="AL236" s="51" t="str">
        <f>IFERROR((_xlfn.XLOOKUP($G236,'Modelling New'!D:D,'Modelling New'!$O:$O)*PA[[#This Row],[Lost PoA(kWh/m2)]]*PA[[#This Row],[DC Capacity Affected (kW)]]),"")</f>
        <v/>
      </c>
      <c r="AM236" s="33"/>
      <c r="AN236" s="33"/>
      <c r="AO236" s="33"/>
      <c r="AP236" s="33"/>
    </row>
    <row r="237" spans="1:42">
      <c r="A237" s="30">
        <f t="shared" si="1"/>
        <v>236</v>
      </c>
      <c r="B237" s="165"/>
      <c r="C237" s="32">
        <f>YEAR(PA[[#This Row],[Date]])+IF(MONTH(PA[[#This Row],[Date]])&gt;=4,1,0)</f>
        <v>1900</v>
      </c>
      <c r="D237" s="32">
        <f>YEAR(PA[[#This Row],[Date]])</f>
        <v>1900</v>
      </c>
      <c r="E237" s="33" t="s">
        <v>157</v>
      </c>
      <c r="F237" s="33" t="s">
        <v>157</v>
      </c>
      <c r="G237" s="194">
        <f>PA[[#This Row],[Date]]-DAY(PA[[#This Row],[Date]])+1</f>
        <v>1</v>
      </c>
      <c r="H237" s="32">
        <f>DAY(EOMONTH(PA[[#This Row],[Month Year]],0))</f>
        <v>31</v>
      </c>
      <c r="I237" s="34"/>
      <c r="J237" s="34"/>
      <c r="K237" s="35">
        <f>IFERROR((PA[[#This Row],[Sunset Time (POA&lt;20 W/m2)]]-PA[[#This Row],[Sunrise Time (POA&gt;20 W/m2)]])*24,"")</f>
        <v>0</v>
      </c>
      <c r="L237" s="33"/>
      <c r="M237" s="33"/>
      <c r="N237" s="33"/>
      <c r="O237" s="36"/>
      <c r="P237" s="36"/>
      <c r="Q237" s="33"/>
      <c r="R237" s="32">
        <f>IF((PA[[#This Row],[String Type(If String BD)]]&amp;PA[[#This Row],[Equipment (If any BD other than PV  array and inv)]])="",1,0)</f>
        <v>1</v>
      </c>
      <c r="S237" s="32">
        <f>IF(PA[[#This Row],[String Type(If String BD)]]="",1,0)</f>
        <v>1</v>
      </c>
      <c r="T2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7" s="35" t="str">
        <f>IFERROR(_xlfn.XLOOKUP(PA[[#This Row],[Affected Equipment ]],'Basic Data'!N:N,'Basic Data'!Q:Q),"")</f>
        <v/>
      </c>
      <c r="V237" s="207" t="str">
        <f>IFERROR(_xlfn.XLOOKUP(PA[[#This Row],[Affected Equipment ]],'Basic Data'!N:N,'Basic Data'!R:R),"")</f>
        <v/>
      </c>
      <c r="W237" s="36"/>
      <c r="X237" s="40"/>
      <c r="Y237" s="286"/>
      <c r="Z237" s="43"/>
      <c r="AA237" s="43"/>
      <c r="AB237" s="43"/>
      <c r="AC237" s="46"/>
      <c r="AD237" s="44">
        <f>IF(PA[[#This Row],[Acknowledgement Time ]]="NA","",(PA[[#This Row],[Acknowledgement Time ]]-PA[[#This Row],[Fault Time]])*24)</f>
        <v>0</v>
      </c>
      <c r="AE237" s="44">
        <f>IF(PA[[#This Row],[Work Start time on Fault]]="NA","",(PA[[#This Row],[Work Start time on Fault]]-PA[[#This Row],[Fault Time]])*24)</f>
        <v>0</v>
      </c>
      <c r="AF237" s="45">
        <f>IF(PA[[#This Row],[Status]]="Open","",(PA[[#This Row],[Work Completion time on fault]]-PA[[#This Row],[Fault Time]])*24)</f>
        <v>0</v>
      </c>
      <c r="AG237" s="44">
        <f>IFERROR((PA[[#This Row],[Work Completion time on fault]]-PA[[#This Row],[Fault Time]])*24,"")</f>
        <v>0</v>
      </c>
      <c r="AH237" s="36"/>
      <c r="AI237" s="33"/>
      <c r="AJ237" s="35" t="str">
        <f>IFERROR(PA[[#This Row],[Breakdown Time]]*PA[[#This Row],[Plant Equivalent Weightage]],"")</f>
        <v/>
      </c>
      <c r="AK237" s="36"/>
      <c r="AL237" s="51" t="str">
        <f>IFERROR((_xlfn.XLOOKUP($G237,'Modelling New'!D:D,'Modelling New'!$O:$O)*PA[[#This Row],[Lost PoA(kWh/m2)]]*PA[[#This Row],[DC Capacity Affected (kW)]]),"")</f>
        <v/>
      </c>
      <c r="AM237" s="33"/>
      <c r="AN237" s="33"/>
      <c r="AO237" s="33"/>
      <c r="AP237" s="33"/>
    </row>
    <row r="238" spans="1:42">
      <c r="A238" s="30">
        <f t="shared" si="1"/>
        <v>237</v>
      </c>
      <c r="B238" s="165"/>
      <c r="C238" s="32">
        <f>YEAR(PA[[#This Row],[Date]])+IF(MONTH(PA[[#This Row],[Date]])&gt;=4,1,0)</f>
        <v>1900</v>
      </c>
      <c r="D238" s="32">
        <f>YEAR(PA[[#This Row],[Date]])</f>
        <v>1900</v>
      </c>
      <c r="E238" s="33" t="s">
        <v>157</v>
      </c>
      <c r="F238" s="33" t="s">
        <v>157</v>
      </c>
      <c r="G238" s="194">
        <f>PA[[#This Row],[Date]]-DAY(PA[[#This Row],[Date]])+1</f>
        <v>1</v>
      </c>
      <c r="H238" s="32">
        <f>DAY(EOMONTH(PA[[#This Row],[Month Year]],0))</f>
        <v>31</v>
      </c>
      <c r="I238" s="34"/>
      <c r="J238" s="34"/>
      <c r="K238" s="35">
        <f>IFERROR((PA[[#This Row],[Sunset Time (POA&lt;20 W/m2)]]-PA[[#This Row],[Sunrise Time (POA&gt;20 W/m2)]])*24,"")</f>
        <v>0</v>
      </c>
      <c r="L238" s="37"/>
      <c r="M238" s="37"/>
      <c r="N238" s="33"/>
      <c r="O238" s="36"/>
      <c r="P238" s="36"/>
      <c r="Q238" s="33"/>
      <c r="R238" s="32">
        <f>IF((PA[[#This Row],[String Type(If String BD)]]&amp;PA[[#This Row],[Equipment (If any BD other than PV  array and inv)]])="",1,0)</f>
        <v>1</v>
      </c>
      <c r="S238" s="32">
        <f>IF(PA[[#This Row],[String Type(If String BD)]]="",1,0)</f>
        <v>1</v>
      </c>
      <c r="T2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8" s="35" t="str">
        <f>IFERROR(_xlfn.XLOOKUP(PA[[#This Row],[Affected Equipment ]],'Basic Data'!N:N,'Basic Data'!Q:Q),"")</f>
        <v/>
      </c>
      <c r="V238" s="207" t="str">
        <f>IFERROR(_xlfn.XLOOKUP(PA[[#This Row],[Affected Equipment ]],'Basic Data'!N:N,'Basic Data'!R:R),"")</f>
        <v/>
      </c>
      <c r="W238" s="36"/>
      <c r="X238" s="40"/>
      <c r="Y238" s="286"/>
      <c r="Z238" s="43"/>
      <c r="AA238" s="43"/>
      <c r="AB238" s="43"/>
      <c r="AC238" s="46"/>
      <c r="AD238" s="44">
        <f>IF(PA[[#This Row],[Acknowledgement Time ]]="NA","",(PA[[#This Row],[Acknowledgement Time ]]-PA[[#This Row],[Fault Time]])*24)</f>
        <v>0</v>
      </c>
      <c r="AE238" s="44">
        <f>IF(PA[[#This Row],[Work Start time on Fault]]="NA","",(PA[[#This Row],[Work Start time on Fault]]-PA[[#This Row],[Fault Time]])*24)</f>
        <v>0</v>
      </c>
      <c r="AF238" s="45">
        <f>IF(PA[[#This Row],[Status]]="Open","",(PA[[#This Row],[Work Completion time on fault]]-PA[[#This Row],[Fault Time]])*24)</f>
        <v>0</v>
      </c>
      <c r="AG238" s="44">
        <f>IFERROR((PA[[#This Row],[Work Completion time on fault]]-PA[[#This Row],[Fault Time]])*24,"")</f>
        <v>0</v>
      </c>
      <c r="AH238" s="36"/>
      <c r="AI238" s="33"/>
      <c r="AJ238" s="35" t="str">
        <f>IFERROR(PA[[#This Row],[Breakdown Time]]*PA[[#This Row],[Plant Equivalent Weightage]],"")</f>
        <v/>
      </c>
      <c r="AK238" s="36"/>
      <c r="AL238" s="51" t="str">
        <f>IFERROR((_xlfn.XLOOKUP($G238,'Modelling New'!D:D,'Modelling New'!$O:$O)*PA[[#This Row],[Lost PoA(kWh/m2)]]*PA[[#This Row],[DC Capacity Affected (kW)]]),"")</f>
        <v/>
      </c>
      <c r="AM238" s="33"/>
      <c r="AN238" s="33"/>
      <c r="AO238" s="33"/>
      <c r="AP238" s="33"/>
    </row>
    <row r="239" spans="1:42">
      <c r="A239" s="30">
        <f t="shared" si="1"/>
        <v>238</v>
      </c>
      <c r="B239" s="165"/>
      <c r="C239" s="32">
        <f>YEAR(PA[[#This Row],[Date]])+IF(MONTH(PA[[#This Row],[Date]])&gt;=4,1,0)</f>
        <v>1900</v>
      </c>
      <c r="D239" s="32">
        <f>YEAR(PA[[#This Row],[Date]])</f>
        <v>1900</v>
      </c>
      <c r="E239" s="33" t="s">
        <v>157</v>
      </c>
      <c r="F239" s="33" t="s">
        <v>157</v>
      </c>
      <c r="G239" s="194">
        <f>PA[[#This Row],[Date]]-DAY(PA[[#This Row],[Date]])+1</f>
        <v>1</v>
      </c>
      <c r="H239" s="32">
        <f>DAY(EOMONTH(PA[[#This Row],[Month Year]],0))</f>
        <v>31</v>
      </c>
      <c r="I239" s="34"/>
      <c r="J239" s="34"/>
      <c r="K239" s="35">
        <f>IFERROR((PA[[#This Row],[Sunset Time (POA&lt;20 W/m2)]]-PA[[#This Row],[Sunrise Time (POA&gt;20 W/m2)]])*24,"")</f>
        <v>0</v>
      </c>
      <c r="L239" s="33"/>
      <c r="M239" s="37"/>
      <c r="N239" s="33"/>
      <c r="O239" s="36"/>
      <c r="P239" s="36"/>
      <c r="Q239" s="33"/>
      <c r="R239" s="32">
        <f>IF((PA[[#This Row],[String Type(If String BD)]]&amp;PA[[#This Row],[Equipment (If any BD other than PV  array and inv)]])="",1,0)</f>
        <v>1</v>
      </c>
      <c r="S239" s="32">
        <f>IF(PA[[#This Row],[String Type(If String BD)]]="",1,0)</f>
        <v>1</v>
      </c>
      <c r="T2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39" s="35" t="str">
        <f>IFERROR(_xlfn.XLOOKUP(PA[[#This Row],[Affected Equipment ]],'Basic Data'!N:N,'Basic Data'!Q:Q),"")</f>
        <v/>
      </c>
      <c r="V239" s="207" t="str">
        <f>IFERROR(_xlfn.XLOOKUP(PA[[#This Row],[Affected Equipment ]],'Basic Data'!N:N,'Basic Data'!R:R),"")</f>
        <v/>
      </c>
      <c r="W239" s="36"/>
      <c r="X239" s="40"/>
      <c r="Y239" s="286"/>
      <c r="Z239" s="46"/>
      <c r="AA239" s="46"/>
      <c r="AB239" s="46"/>
      <c r="AC239" s="46"/>
      <c r="AD239" s="44">
        <f>IF(PA[[#This Row],[Acknowledgement Time ]]="NA","",(PA[[#This Row],[Acknowledgement Time ]]-PA[[#This Row],[Fault Time]])*24)</f>
        <v>0</v>
      </c>
      <c r="AE239" s="44">
        <f>IF(PA[[#This Row],[Work Start time on Fault]]="NA","",(PA[[#This Row],[Work Start time on Fault]]-PA[[#This Row],[Fault Time]])*24)</f>
        <v>0</v>
      </c>
      <c r="AF239" s="45">
        <f>IF(PA[[#This Row],[Status]]="Open","",(PA[[#This Row],[Work Completion time on fault]]-PA[[#This Row],[Fault Time]])*24)</f>
        <v>0</v>
      </c>
      <c r="AG239" s="44">
        <f>IFERROR((PA[[#This Row],[Work Completion time on fault]]-PA[[#This Row],[Fault Time]])*24,"")</f>
        <v>0</v>
      </c>
      <c r="AH239" s="36"/>
      <c r="AI239" s="33"/>
      <c r="AJ239" s="35" t="str">
        <f>IFERROR(PA[[#This Row],[Breakdown Time]]*PA[[#This Row],[Plant Equivalent Weightage]],"")</f>
        <v/>
      </c>
      <c r="AK239" s="36"/>
      <c r="AL239" s="51" t="str">
        <f>IFERROR((_xlfn.XLOOKUP($G239,'Modelling New'!D:D,'Modelling New'!$O:$O)*PA[[#This Row],[Lost PoA(kWh/m2)]]*PA[[#This Row],[DC Capacity Affected (kW)]]),"")</f>
        <v/>
      </c>
      <c r="AM239" s="33"/>
      <c r="AN239" s="33"/>
      <c r="AO239" s="33"/>
      <c r="AP239" s="33"/>
    </row>
    <row r="240" spans="1:42">
      <c r="A240" s="30">
        <f t="shared" si="1"/>
        <v>239</v>
      </c>
      <c r="B240" s="165"/>
      <c r="C240" s="32">
        <f>YEAR(PA[[#This Row],[Date]])+IF(MONTH(PA[[#This Row],[Date]])&gt;=4,1,0)</f>
        <v>1900</v>
      </c>
      <c r="D240" s="32">
        <f>YEAR(PA[[#This Row],[Date]])</f>
        <v>1900</v>
      </c>
      <c r="E240" s="33" t="s">
        <v>157</v>
      </c>
      <c r="F240" s="33" t="s">
        <v>157</v>
      </c>
      <c r="G240" s="194">
        <f>PA[[#This Row],[Date]]-DAY(PA[[#This Row],[Date]])+1</f>
        <v>1</v>
      </c>
      <c r="H240" s="32">
        <f>DAY(EOMONTH(PA[[#This Row],[Month Year]],0))</f>
        <v>31</v>
      </c>
      <c r="I240" s="34"/>
      <c r="J240" s="34"/>
      <c r="K240" s="35">
        <f>IFERROR((PA[[#This Row],[Sunset Time (POA&lt;20 W/m2)]]-PA[[#This Row],[Sunrise Time (POA&gt;20 W/m2)]])*24,"")</f>
        <v>0</v>
      </c>
      <c r="L240" s="33"/>
      <c r="M240" s="33"/>
      <c r="N240" s="33"/>
      <c r="O240" s="36"/>
      <c r="P240" s="36"/>
      <c r="Q240" s="33"/>
      <c r="R240" s="32">
        <f>IF((PA[[#This Row],[String Type(If String BD)]]&amp;PA[[#This Row],[Equipment (If any BD other than PV  array and inv)]])="",1,0)</f>
        <v>1</v>
      </c>
      <c r="S240" s="32">
        <f>IF(PA[[#This Row],[String Type(If String BD)]]="",1,0)</f>
        <v>1</v>
      </c>
      <c r="T2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0" s="35" t="str">
        <f>IFERROR(_xlfn.XLOOKUP(PA[[#This Row],[Affected Equipment ]],'Basic Data'!N:N,'Basic Data'!Q:Q),"")</f>
        <v/>
      </c>
      <c r="V240" s="207" t="str">
        <f>IFERROR(_xlfn.XLOOKUP(PA[[#This Row],[Affected Equipment ]],'Basic Data'!N:N,'Basic Data'!R:R),"")</f>
        <v/>
      </c>
      <c r="W240" s="36"/>
      <c r="X240" s="40"/>
      <c r="Y240" s="286"/>
      <c r="Z240" s="46"/>
      <c r="AA240" s="46"/>
      <c r="AB240" s="46"/>
      <c r="AC240" s="46"/>
      <c r="AD240" s="44">
        <f>IF(PA[[#This Row],[Acknowledgement Time ]]="NA","",(PA[[#This Row],[Acknowledgement Time ]]-PA[[#This Row],[Fault Time]])*24)</f>
        <v>0</v>
      </c>
      <c r="AE240" s="44">
        <f>IF(PA[[#This Row],[Work Start time on Fault]]="NA","",(PA[[#This Row],[Work Start time on Fault]]-PA[[#This Row],[Fault Time]])*24)</f>
        <v>0</v>
      </c>
      <c r="AF240" s="45">
        <f>IF(PA[[#This Row],[Status]]="Open","",(PA[[#This Row],[Work Completion time on fault]]-PA[[#This Row],[Fault Time]])*24)</f>
        <v>0</v>
      </c>
      <c r="AG240" s="44">
        <f>IFERROR((PA[[#This Row],[Work Completion time on fault]]-PA[[#This Row],[Fault Time]])*24,"")</f>
        <v>0</v>
      </c>
      <c r="AH240" s="36"/>
      <c r="AI240" s="33"/>
      <c r="AJ240" s="35" t="str">
        <f>IFERROR(PA[[#This Row],[Breakdown Time]]*PA[[#This Row],[Plant Equivalent Weightage]],"")</f>
        <v/>
      </c>
      <c r="AK240" s="36"/>
      <c r="AL240" s="51" t="str">
        <f>IFERROR((_xlfn.XLOOKUP($G240,'Modelling New'!D:D,'Modelling New'!$O:$O)*PA[[#This Row],[Lost PoA(kWh/m2)]]*PA[[#This Row],[DC Capacity Affected (kW)]]),"")</f>
        <v/>
      </c>
      <c r="AM240" s="33"/>
      <c r="AN240" s="33"/>
      <c r="AO240" s="33"/>
      <c r="AP240" s="33"/>
    </row>
    <row r="241" spans="1:42">
      <c r="A241" s="30">
        <f t="shared" si="1"/>
        <v>240</v>
      </c>
      <c r="B241" s="31"/>
      <c r="C241" s="32">
        <f>YEAR(PA[[#This Row],[Date]])+IF(MONTH(PA[[#This Row],[Date]])&gt;=4,1,0)</f>
        <v>1900</v>
      </c>
      <c r="D241" s="32">
        <f>YEAR(PA[[#This Row],[Date]])</f>
        <v>1900</v>
      </c>
      <c r="E241" s="33" t="s">
        <v>157</v>
      </c>
      <c r="F241" s="33" t="s">
        <v>157</v>
      </c>
      <c r="G241" s="194">
        <f>PA[[#This Row],[Date]]-DAY(PA[[#This Row],[Date]])+1</f>
        <v>1</v>
      </c>
      <c r="H241" s="32">
        <f>DAY(EOMONTH(PA[[#This Row],[Month Year]],0))</f>
        <v>31</v>
      </c>
      <c r="I241" s="34"/>
      <c r="J241" s="34"/>
      <c r="K241" s="35">
        <f>IFERROR((PA[[#This Row],[Sunset Time (POA&lt;20 W/m2)]]-PA[[#This Row],[Sunrise Time (POA&gt;20 W/m2)]])*24,"")</f>
        <v>0</v>
      </c>
      <c r="L241" s="33"/>
      <c r="M241" s="33"/>
      <c r="N241" s="33"/>
      <c r="O241" s="36"/>
      <c r="P241" s="36"/>
      <c r="Q241" s="33"/>
      <c r="R241" s="32">
        <f>IF((PA[[#This Row],[String Type(If String BD)]]&amp;PA[[#This Row],[Equipment (If any BD other than PV  array and inv)]])="",1,0)</f>
        <v>1</v>
      </c>
      <c r="S241" s="32">
        <f>IF(PA[[#This Row],[String Type(If String BD)]]="",1,0)</f>
        <v>1</v>
      </c>
      <c r="T2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1" s="35" t="str">
        <f>IFERROR(_xlfn.XLOOKUP(PA[[#This Row],[Affected Equipment ]],'Basic Data'!N:N,'Basic Data'!Q:Q),"")</f>
        <v/>
      </c>
      <c r="V241" s="207" t="str">
        <f>IFERROR(_xlfn.XLOOKUP(PA[[#This Row],[Affected Equipment ]],'Basic Data'!N:N,'Basic Data'!R:R),"")</f>
        <v/>
      </c>
      <c r="W241" s="36"/>
      <c r="X241" s="40"/>
      <c r="Y241" s="40"/>
      <c r="Z241" s="46"/>
      <c r="AA241" s="46"/>
      <c r="AB241" s="46"/>
      <c r="AC241" s="46"/>
      <c r="AD241" s="44">
        <f>IF(PA[[#This Row],[Acknowledgement Time ]]="NA","",(PA[[#This Row],[Acknowledgement Time ]]-PA[[#This Row],[Fault Time]])*24)</f>
        <v>0</v>
      </c>
      <c r="AE241" s="44">
        <f>IF(PA[[#This Row],[Work Start time on Fault]]="NA","",(PA[[#This Row],[Work Start time on Fault]]-PA[[#This Row],[Fault Time]])*24)</f>
        <v>0</v>
      </c>
      <c r="AF241" s="45">
        <f>IF(PA[[#This Row],[Status]]="Open","",(PA[[#This Row],[Work Completion time on fault]]-PA[[#This Row],[Fault Time]])*24)</f>
        <v>0</v>
      </c>
      <c r="AG241" s="44">
        <f>IFERROR((PA[[#This Row],[Work Completion time on fault]]-PA[[#This Row],[Fault Time]])*24,"")</f>
        <v>0</v>
      </c>
      <c r="AH241" s="36"/>
      <c r="AI241" s="33"/>
      <c r="AJ241" s="35" t="str">
        <f>IFERROR(PA[[#This Row],[Breakdown Time]]*PA[[#This Row],[Plant Equivalent Weightage]],"")</f>
        <v/>
      </c>
      <c r="AK241" s="36"/>
      <c r="AL241" s="51" t="str">
        <f>IFERROR((_xlfn.XLOOKUP($G241,'Modelling New'!D:D,'Modelling New'!$O:$O)*PA[[#This Row],[Lost PoA(kWh/m2)]]*PA[[#This Row],[DC Capacity Affected (kW)]]),"")</f>
        <v/>
      </c>
      <c r="AM241" s="33"/>
      <c r="AN241" s="33"/>
      <c r="AO241" s="33"/>
      <c r="AP241" s="33"/>
    </row>
    <row r="242" spans="1:42">
      <c r="A242" s="30">
        <f t="shared" si="1"/>
        <v>241</v>
      </c>
      <c r="B242" s="165"/>
      <c r="C242" s="32">
        <f>YEAR(PA[[#This Row],[Date]])+IF(MONTH(PA[[#This Row],[Date]])&gt;=4,1,0)</f>
        <v>1900</v>
      </c>
      <c r="D242" s="32">
        <f>YEAR(PA[[#This Row],[Date]])</f>
        <v>1900</v>
      </c>
      <c r="E242" s="33" t="s">
        <v>157</v>
      </c>
      <c r="F242" s="33" t="s">
        <v>157</v>
      </c>
      <c r="G242" s="194">
        <f>PA[[#This Row],[Date]]-DAY(PA[[#This Row],[Date]])+1</f>
        <v>1</v>
      </c>
      <c r="H242" s="202">
        <f>DAY(EOMONTH(PA[[#This Row],[Month Year]],0))</f>
        <v>31</v>
      </c>
      <c r="I242" s="34"/>
      <c r="J242" s="34"/>
      <c r="K242" s="35">
        <f>IFERROR((PA[[#This Row],[Sunset Time (POA&lt;20 W/m2)]]-PA[[#This Row],[Sunrise Time (POA&gt;20 W/m2)]])*24,"")</f>
        <v>0</v>
      </c>
      <c r="L242" s="33"/>
      <c r="M242" s="33"/>
      <c r="N242" s="33"/>
      <c r="O242" s="38"/>
      <c r="P242" s="38"/>
      <c r="Q242" s="37"/>
      <c r="R242" s="202">
        <f>IF((PA[[#This Row],[String Type(If String BD)]]&amp;PA[[#This Row],[Equipment (If any BD other than PV  array and inv)]])="",1,0)</f>
        <v>1</v>
      </c>
      <c r="S242" s="202">
        <f>IF(PA[[#This Row],[String Type(If String BD)]]="",1,0)</f>
        <v>1</v>
      </c>
      <c r="T24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2" s="204" t="str">
        <f>IFERROR(_xlfn.XLOOKUP(PA[[#This Row],[Affected Equipment ]],'Basic Data'!N:N,'Basic Data'!Q:Q),"")</f>
        <v/>
      </c>
      <c r="V242" s="208" t="str">
        <f>IFERROR(_xlfn.XLOOKUP(PA[[#This Row],[Affected Equipment ]],'Basic Data'!N:N,'Basic Data'!R:R),"")</f>
        <v/>
      </c>
      <c r="W242" s="38"/>
      <c r="X242" s="41"/>
      <c r="Y242" s="40"/>
      <c r="Z242" s="46"/>
      <c r="AA242" s="46"/>
      <c r="AB242" s="46"/>
      <c r="AC242" s="46"/>
      <c r="AD242" s="205">
        <f>IF(PA[[#This Row],[Acknowledgement Time ]]="NA","",(PA[[#This Row],[Acknowledgement Time ]]-PA[[#This Row],[Fault Time]])*24)</f>
        <v>0</v>
      </c>
      <c r="AE242" s="205">
        <f>IF(PA[[#This Row],[Work Start time on Fault]]="NA","",(PA[[#This Row],[Work Start time on Fault]]-PA[[#This Row],[Fault Time]])*24)</f>
        <v>0</v>
      </c>
      <c r="AF242" s="206">
        <f>IF(PA[[#This Row],[Status]]="Open","",(PA[[#This Row],[Work Completion time on fault]]-PA[[#This Row],[Fault Time]])*24)</f>
        <v>0</v>
      </c>
      <c r="AG242" s="205">
        <f>IFERROR((PA[[#This Row],[Work Completion time on fault]]-PA[[#This Row],[Fault Time]])*24,"")</f>
        <v>0</v>
      </c>
      <c r="AH242" s="36"/>
      <c r="AI242" s="33"/>
      <c r="AJ242" s="204" t="str">
        <f>IFERROR(PA[[#This Row],[Breakdown Time]]*PA[[#This Row],[Plant Equivalent Weightage]],"")</f>
        <v/>
      </c>
      <c r="AK242" s="38"/>
      <c r="AL242" s="51" t="str">
        <f>IFERROR((_xlfn.XLOOKUP($G242,'Modelling New'!D:D,'Modelling New'!$O:$O)*PA[[#This Row],[Lost PoA(kWh/m2)]]*PA[[#This Row],[DC Capacity Affected (kW)]]),"")</f>
        <v/>
      </c>
      <c r="AM242" s="33"/>
      <c r="AN242" s="33"/>
      <c r="AO242" s="33"/>
      <c r="AP242" s="33"/>
    </row>
    <row r="243" spans="1:42">
      <c r="A243" s="30">
        <f t="shared" si="1"/>
        <v>242</v>
      </c>
      <c r="B243" s="31"/>
      <c r="C243" s="32">
        <f>YEAR(PA[[#This Row],[Date]])+IF(MONTH(PA[[#This Row],[Date]])&gt;=4,1,0)</f>
        <v>1900</v>
      </c>
      <c r="D243" s="32">
        <f>YEAR(PA[[#This Row],[Date]])</f>
        <v>1900</v>
      </c>
      <c r="E243" s="33" t="s">
        <v>157</v>
      </c>
      <c r="F243" s="33" t="s">
        <v>157</v>
      </c>
      <c r="G243" s="194">
        <f>PA[[#This Row],[Date]]-DAY(PA[[#This Row],[Date]])+1</f>
        <v>1</v>
      </c>
      <c r="H243" s="32">
        <f>DAY(EOMONTH(PA[[#This Row],[Month Year]],0))</f>
        <v>31</v>
      </c>
      <c r="I243" s="34"/>
      <c r="J243" s="34"/>
      <c r="K243" s="35">
        <f>IFERROR((PA[[#This Row],[Sunset Time (POA&lt;20 W/m2)]]-PA[[#This Row],[Sunrise Time (POA&gt;20 W/m2)]])*24,"")</f>
        <v>0</v>
      </c>
      <c r="L243" s="33"/>
      <c r="M243" s="33"/>
      <c r="N243" s="33"/>
      <c r="O243" s="36"/>
      <c r="P243" s="36"/>
      <c r="Q243" s="33"/>
      <c r="R243" s="32">
        <f>IF((PA[[#This Row],[String Type(If String BD)]]&amp;PA[[#This Row],[Equipment (If any BD other than PV  array and inv)]])="",1,0)</f>
        <v>1</v>
      </c>
      <c r="S243" s="32">
        <f>IF(PA[[#This Row],[String Type(If String BD)]]="",1,0)</f>
        <v>1</v>
      </c>
      <c r="T2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3" s="35" t="str">
        <f>IFERROR(_xlfn.XLOOKUP(PA[[#This Row],[Affected Equipment ]],'Basic Data'!N:N,'Basic Data'!Q:Q),"")</f>
        <v/>
      </c>
      <c r="V243" s="207" t="str">
        <f>IFERROR(_xlfn.XLOOKUP(PA[[#This Row],[Affected Equipment ]],'Basic Data'!N:N,'Basic Data'!R:R),"")</f>
        <v/>
      </c>
      <c r="W243" s="36"/>
      <c r="X243" s="40"/>
      <c r="Y243" s="40"/>
      <c r="Z243" s="46"/>
      <c r="AA243" s="46"/>
      <c r="AB243" s="46"/>
      <c r="AC243" s="46"/>
      <c r="AD243" s="44">
        <f>IF(PA[[#This Row],[Acknowledgement Time ]]="NA","",(PA[[#This Row],[Acknowledgement Time ]]-PA[[#This Row],[Fault Time]])*24)</f>
        <v>0</v>
      </c>
      <c r="AE243" s="44">
        <f>IF(PA[[#This Row],[Work Start time on Fault]]="NA","",(PA[[#This Row],[Work Start time on Fault]]-PA[[#This Row],[Fault Time]])*24)</f>
        <v>0</v>
      </c>
      <c r="AF243" s="45">
        <f>IF(PA[[#This Row],[Status]]="Open","",(PA[[#This Row],[Work Completion time on fault]]-PA[[#This Row],[Fault Time]])*24)</f>
        <v>0</v>
      </c>
      <c r="AG243" s="44">
        <f>IFERROR((PA[[#This Row],[Work Completion time on fault]]-PA[[#This Row],[Fault Time]])*24,"")</f>
        <v>0</v>
      </c>
      <c r="AH243" s="36"/>
      <c r="AI243" s="33"/>
      <c r="AJ243" s="35" t="str">
        <f>IFERROR(PA[[#This Row],[Breakdown Time]]*PA[[#This Row],[Plant Equivalent Weightage]],"")</f>
        <v/>
      </c>
      <c r="AK243" s="36"/>
      <c r="AL243" s="51" t="str">
        <f>IFERROR((_xlfn.XLOOKUP($G243,'Modelling New'!D:D,'Modelling New'!$O:$O)*PA[[#This Row],[Lost PoA(kWh/m2)]]*PA[[#This Row],[DC Capacity Affected (kW)]]),"")</f>
        <v/>
      </c>
      <c r="AM243" s="33"/>
      <c r="AN243" s="33"/>
      <c r="AO243" s="33"/>
      <c r="AP243" s="33"/>
    </row>
    <row r="244" spans="1:42">
      <c r="A244" s="30">
        <f t="shared" si="1"/>
        <v>243</v>
      </c>
      <c r="B244" s="31"/>
      <c r="C244" s="32">
        <f>YEAR(PA[[#This Row],[Date]])+IF(MONTH(PA[[#This Row],[Date]])&gt;=4,1,0)</f>
        <v>1900</v>
      </c>
      <c r="D244" s="32">
        <f>YEAR(PA[[#This Row],[Date]])</f>
        <v>1900</v>
      </c>
      <c r="E244" s="33" t="s">
        <v>157</v>
      </c>
      <c r="F244" s="33" t="s">
        <v>157</v>
      </c>
      <c r="G244" s="194">
        <f>PA[[#This Row],[Date]]-DAY(PA[[#This Row],[Date]])+1</f>
        <v>1</v>
      </c>
      <c r="H244" s="32">
        <f>DAY(EOMONTH(PA[[#This Row],[Month Year]],0))</f>
        <v>31</v>
      </c>
      <c r="I244" s="34"/>
      <c r="J244" s="34"/>
      <c r="K244" s="35">
        <f>IFERROR((PA[[#This Row],[Sunset Time (POA&lt;20 W/m2)]]-PA[[#This Row],[Sunrise Time (POA&gt;20 W/m2)]])*24,"")</f>
        <v>0</v>
      </c>
      <c r="L244" s="33"/>
      <c r="M244" s="33"/>
      <c r="N244" s="33"/>
      <c r="O244" s="36"/>
      <c r="P244" s="36"/>
      <c r="Q244" s="33"/>
      <c r="R244" s="32">
        <f>IF((PA[[#This Row],[String Type(If String BD)]]&amp;PA[[#This Row],[Equipment (If any BD other than PV  array and inv)]])="",1,0)</f>
        <v>1</v>
      </c>
      <c r="S244" s="32">
        <f>IF(PA[[#This Row],[String Type(If String BD)]]="",1,0)</f>
        <v>1</v>
      </c>
      <c r="T2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4" s="35" t="str">
        <f>IFERROR(_xlfn.XLOOKUP(PA[[#This Row],[Affected Equipment ]],'Basic Data'!N:N,'Basic Data'!Q:Q),"")</f>
        <v/>
      </c>
      <c r="V244" s="207" t="str">
        <f>IFERROR(_xlfn.XLOOKUP(PA[[#This Row],[Affected Equipment ]],'Basic Data'!N:N,'Basic Data'!R:R),"")</f>
        <v/>
      </c>
      <c r="W244" s="36"/>
      <c r="X244" s="40"/>
      <c r="Y244" s="40"/>
      <c r="Z244" s="46"/>
      <c r="AA244" s="46"/>
      <c r="AB244" s="46"/>
      <c r="AC244" s="46"/>
      <c r="AD244" s="44">
        <f>IF(PA[[#This Row],[Acknowledgement Time ]]="NA","",(PA[[#This Row],[Acknowledgement Time ]]-PA[[#This Row],[Fault Time]])*24)</f>
        <v>0</v>
      </c>
      <c r="AE244" s="44">
        <f>IF(PA[[#This Row],[Work Start time on Fault]]="NA","",(PA[[#This Row],[Work Start time on Fault]]-PA[[#This Row],[Fault Time]])*24)</f>
        <v>0</v>
      </c>
      <c r="AF244" s="45">
        <f>IF(PA[[#This Row],[Status]]="Open","",(PA[[#This Row],[Work Completion time on fault]]-PA[[#This Row],[Fault Time]])*24)</f>
        <v>0</v>
      </c>
      <c r="AG244" s="44">
        <f>IFERROR((PA[[#This Row],[Work Completion time on fault]]-PA[[#This Row],[Fault Time]])*24,"")</f>
        <v>0</v>
      </c>
      <c r="AH244" s="36"/>
      <c r="AI244" s="33"/>
      <c r="AJ244" s="35" t="str">
        <f>IFERROR(PA[[#This Row],[Breakdown Time]]*PA[[#This Row],[Plant Equivalent Weightage]],"")</f>
        <v/>
      </c>
      <c r="AK244" s="36"/>
      <c r="AL244" s="51" t="str">
        <f>IFERROR((_xlfn.XLOOKUP($G244,'Modelling New'!D:D,'Modelling New'!$O:$O)*PA[[#This Row],[Lost PoA(kWh/m2)]]*PA[[#This Row],[DC Capacity Affected (kW)]]),"")</f>
        <v/>
      </c>
      <c r="AM244" s="33"/>
      <c r="AN244" s="33"/>
      <c r="AO244" s="33"/>
      <c r="AP244" s="33"/>
    </row>
    <row r="245" spans="1:42">
      <c r="A245" s="30">
        <f t="shared" si="1"/>
        <v>244</v>
      </c>
      <c r="B245" s="31"/>
      <c r="C245" s="32">
        <f>YEAR(PA[[#This Row],[Date]])+IF(MONTH(PA[[#This Row],[Date]])&gt;=4,1,0)</f>
        <v>1900</v>
      </c>
      <c r="D245" s="32">
        <f>YEAR(PA[[#This Row],[Date]])</f>
        <v>1900</v>
      </c>
      <c r="E245" s="33" t="s">
        <v>157</v>
      </c>
      <c r="F245" s="33" t="s">
        <v>157</v>
      </c>
      <c r="G245" s="194">
        <f>PA[[#This Row],[Date]]-DAY(PA[[#This Row],[Date]])+1</f>
        <v>1</v>
      </c>
      <c r="H245" s="32">
        <f>DAY(EOMONTH(PA[[#This Row],[Month Year]],0))</f>
        <v>31</v>
      </c>
      <c r="I245" s="34"/>
      <c r="J245" s="34"/>
      <c r="K245" s="35">
        <f>IFERROR((PA[[#This Row],[Sunset Time (POA&lt;20 W/m2)]]-PA[[#This Row],[Sunrise Time (POA&gt;20 W/m2)]])*24,"")</f>
        <v>0</v>
      </c>
      <c r="L245" s="33"/>
      <c r="M245" s="33"/>
      <c r="N245" s="33"/>
      <c r="O245" s="36"/>
      <c r="P245" s="36"/>
      <c r="Q245" s="33"/>
      <c r="R245" s="32">
        <f>IF((PA[[#This Row],[String Type(If String BD)]]&amp;PA[[#This Row],[Equipment (If any BD other than PV  array and inv)]])="",1,0)</f>
        <v>1</v>
      </c>
      <c r="S245" s="32">
        <f>IF(PA[[#This Row],[String Type(If String BD)]]="",1,0)</f>
        <v>1</v>
      </c>
      <c r="T24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5" s="35" t="str">
        <f>IFERROR(_xlfn.XLOOKUP(PA[[#This Row],[Affected Equipment ]],'Basic Data'!N:N,'Basic Data'!Q:Q),"")</f>
        <v/>
      </c>
      <c r="V245" s="207" t="str">
        <f>IFERROR(_xlfn.XLOOKUP(PA[[#This Row],[Affected Equipment ]],'Basic Data'!N:N,'Basic Data'!R:R),"")</f>
        <v/>
      </c>
      <c r="W245" s="36"/>
      <c r="X245" s="40"/>
      <c r="Y245" s="40"/>
      <c r="Z245" s="46"/>
      <c r="AA245" s="46"/>
      <c r="AB245" s="46"/>
      <c r="AC245" s="46"/>
      <c r="AD245" s="44">
        <f>IF(PA[[#This Row],[Acknowledgement Time ]]="NA","",(PA[[#This Row],[Acknowledgement Time ]]-PA[[#This Row],[Fault Time]])*24)</f>
        <v>0</v>
      </c>
      <c r="AE245" s="44">
        <f>IF(PA[[#This Row],[Work Start time on Fault]]="NA","",(PA[[#This Row],[Work Start time on Fault]]-PA[[#This Row],[Fault Time]])*24)</f>
        <v>0</v>
      </c>
      <c r="AF245" s="45">
        <f>IF(PA[[#This Row],[Status]]="Open","",(PA[[#This Row],[Work Completion time on fault]]-PA[[#This Row],[Fault Time]])*24)</f>
        <v>0</v>
      </c>
      <c r="AG245" s="44">
        <f>IFERROR((PA[[#This Row],[Work Completion time on fault]]-PA[[#This Row],[Fault Time]])*24,"")</f>
        <v>0</v>
      </c>
      <c r="AH245" s="36"/>
      <c r="AI245" s="33"/>
      <c r="AJ245" s="35" t="str">
        <f>IFERROR(PA[[#This Row],[Breakdown Time]]*PA[[#This Row],[Plant Equivalent Weightage]],"")</f>
        <v/>
      </c>
      <c r="AK245" s="36"/>
      <c r="AL245" s="51" t="str">
        <f>IFERROR((_xlfn.XLOOKUP($G245,'Modelling New'!D:D,'Modelling New'!$O:$O)*PA[[#This Row],[Lost PoA(kWh/m2)]]*PA[[#This Row],[DC Capacity Affected (kW)]]),"")</f>
        <v/>
      </c>
      <c r="AM245" s="33"/>
      <c r="AN245" s="33"/>
      <c r="AO245" s="33"/>
      <c r="AP245" s="33"/>
    </row>
    <row r="246" spans="1:42">
      <c r="A246" s="30">
        <f t="shared" si="1"/>
        <v>245</v>
      </c>
      <c r="B246" s="31"/>
      <c r="C246" s="32">
        <f>YEAR(PA[[#This Row],[Date]])+IF(MONTH(PA[[#This Row],[Date]])&gt;=4,1,0)</f>
        <v>1900</v>
      </c>
      <c r="D246" s="32">
        <f>YEAR(PA[[#This Row],[Date]])</f>
        <v>1900</v>
      </c>
      <c r="E246" s="33" t="s">
        <v>157</v>
      </c>
      <c r="F246" s="33" t="s">
        <v>157</v>
      </c>
      <c r="G246" s="194">
        <f>PA[[#This Row],[Date]]-DAY(PA[[#This Row],[Date]])+1</f>
        <v>1</v>
      </c>
      <c r="H246" s="32">
        <f>DAY(EOMONTH(PA[[#This Row],[Month Year]],0))</f>
        <v>31</v>
      </c>
      <c r="I246" s="34"/>
      <c r="J246" s="34"/>
      <c r="K246" s="35">
        <f>IFERROR((PA[[#This Row],[Sunset Time (POA&lt;20 W/m2)]]-PA[[#This Row],[Sunrise Time (POA&gt;20 W/m2)]])*24,"")</f>
        <v>0</v>
      </c>
      <c r="L246" s="33"/>
      <c r="M246" s="33"/>
      <c r="N246" s="33"/>
      <c r="O246" s="36"/>
      <c r="P246" s="36"/>
      <c r="Q246" s="33"/>
      <c r="R246" s="32">
        <f>IF((PA[[#This Row],[String Type(If String BD)]]&amp;PA[[#This Row],[Equipment (If any BD other than PV  array and inv)]])="",1,0)</f>
        <v>1</v>
      </c>
      <c r="S246" s="32">
        <f>IF(PA[[#This Row],[String Type(If String BD)]]="",1,0)</f>
        <v>1</v>
      </c>
      <c r="T2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6" s="35" t="str">
        <f>IFERROR(_xlfn.XLOOKUP(PA[[#This Row],[Affected Equipment ]],'Basic Data'!N:N,'Basic Data'!Q:Q),"")</f>
        <v/>
      </c>
      <c r="V246" s="207" t="str">
        <f>IFERROR(_xlfn.XLOOKUP(PA[[#This Row],[Affected Equipment ]],'Basic Data'!N:N,'Basic Data'!R:R),"")</f>
        <v/>
      </c>
      <c r="W246" s="36"/>
      <c r="X246" s="40"/>
      <c r="Y246" s="40"/>
      <c r="Z246" s="46"/>
      <c r="AA246" s="46"/>
      <c r="AB246" s="46"/>
      <c r="AC246" s="46"/>
      <c r="AD246" s="44">
        <f>IF(PA[[#This Row],[Acknowledgement Time ]]="NA","",(PA[[#This Row],[Acknowledgement Time ]]-PA[[#This Row],[Fault Time]])*24)</f>
        <v>0</v>
      </c>
      <c r="AE246" s="44">
        <f>IF(PA[[#This Row],[Work Start time on Fault]]="NA","",(PA[[#This Row],[Work Start time on Fault]]-PA[[#This Row],[Fault Time]])*24)</f>
        <v>0</v>
      </c>
      <c r="AF246" s="45">
        <f>IF(PA[[#This Row],[Status]]="Open","",(PA[[#This Row],[Work Completion time on fault]]-PA[[#This Row],[Fault Time]])*24)</f>
        <v>0</v>
      </c>
      <c r="AG246" s="44">
        <f>IFERROR((PA[[#This Row],[Work Completion time on fault]]-PA[[#This Row],[Fault Time]])*24,"")</f>
        <v>0</v>
      </c>
      <c r="AH246" s="36"/>
      <c r="AI246" s="33"/>
      <c r="AJ246" s="35" t="str">
        <f>IFERROR(PA[[#This Row],[Breakdown Time]]*PA[[#This Row],[Plant Equivalent Weightage]],"")</f>
        <v/>
      </c>
      <c r="AK246" s="36"/>
      <c r="AL246" s="51" t="str">
        <f>IFERROR((_xlfn.XLOOKUP($G246,'Modelling New'!D:D,'Modelling New'!$O:$O)*PA[[#This Row],[Lost PoA(kWh/m2)]]*PA[[#This Row],[DC Capacity Affected (kW)]]),"")</f>
        <v/>
      </c>
      <c r="AM246" s="33"/>
      <c r="AN246" s="33"/>
      <c r="AO246" s="33"/>
      <c r="AP246" s="33"/>
    </row>
    <row r="247" spans="1:42">
      <c r="A247" s="30">
        <f t="shared" si="1"/>
        <v>246</v>
      </c>
      <c r="B247" s="31"/>
      <c r="C247" s="32">
        <f>YEAR(PA[[#This Row],[Date]])+IF(MONTH(PA[[#This Row],[Date]])&gt;=4,1,0)</f>
        <v>1900</v>
      </c>
      <c r="D247" s="32">
        <f>YEAR(PA[[#This Row],[Date]])</f>
        <v>1900</v>
      </c>
      <c r="E247" s="33" t="s">
        <v>157</v>
      </c>
      <c r="F247" s="33" t="s">
        <v>157</v>
      </c>
      <c r="G247" s="194">
        <f>PA[[#This Row],[Date]]-DAY(PA[[#This Row],[Date]])+1</f>
        <v>1</v>
      </c>
      <c r="H247" s="32">
        <f>DAY(EOMONTH(PA[[#This Row],[Month Year]],0))</f>
        <v>31</v>
      </c>
      <c r="I247" s="34"/>
      <c r="J247" s="34"/>
      <c r="K247" s="35">
        <f>IFERROR((PA[[#This Row],[Sunset Time (POA&lt;20 W/m2)]]-PA[[#This Row],[Sunrise Time (POA&gt;20 W/m2)]])*24,"")</f>
        <v>0</v>
      </c>
      <c r="L247" s="33"/>
      <c r="M247" s="37"/>
      <c r="N247" s="33"/>
      <c r="O247" s="36"/>
      <c r="P247" s="36"/>
      <c r="Q247" s="33"/>
      <c r="R247" s="32">
        <f>IF((PA[[#This Row],[String Type(If String BD)]]&amp;PA[[#This Row],[Equipment (If any BD other than PV  array and inv)]])="",1,0)</f>
        <v>1</v>
      </c>
      <c r="S247" s="32">
        <f>IF(PA[[#This Row],[String Type(If String BD)]]="",1,0)</f>
        <v>1</v>
      </c>
      <c r="T2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7" s="35" t="str">
        <f>IFERROR(_xlfn.XLOOKUP(PA[[#This Row],[Affected Equipment ]],'Basic Data'!N:N,'Basic Data'!Q:Q),"")</f>
        <v/>
      </c>
      <c r="V247" s="207" t="str">
        <f>IFERROR(_xlfn.XLOOKUP(PA[[#This Row],[Affected Equipment ]],'Basic Data'!N:N,'Basic Data'!R:R),"")</f>
        <v/>
      </c>
      <c r="W247" s="36"/>
      <c r="X247" s="40"/>
      <c r="Y247" s="40"/>
      <c r="Z247" s="46"/>
      <c r="AA247" s="46"/>
      <c r="AB247" s="46"/>
      <c r="AC247" s="47"/>
      <c r="AD247" s="44">
        <f>IF(PA[[#This Row],[Acknowledgement Time ]]="NA","",(PA[[#This Row],[Acknowledgement Time ]]-PA[[#This Row],[Fault Time]])*24)</f>
        <v>0</v>
      </c>
      <c r="AE247" s="44">
        <f>IF(PA[[#This Row],[Work Start time on Fault]]="NA","",(PA[[#This Row],[Work Start time on Fault]]-PA[[#This Row],[Fault Time]])*24)</f>
        <v>0</v>
      </c>
      <c r="AF247" s="45">
        <f>IF(PA[[#This Row],[Status]]="Open","",(PA[[#This Row],[Work Completion time on fault]]-PA[[#This Row],[Fault Time]])*24)</f>
        <v>0</v>
      </c>
      <c r="AG247" s="44">
        <f>IFERROR((PA[[#This Row],[Work Completion time on fault]]-PA[[#This Row],[Fault Time]])*24,"")</f>
        <v>0</v>
      </c>
      <c r="AH247" s="36"/>
      <c r="AI247" s="33"/>
      <c r="AJ247" s="35" t="str">
        <f>IFERROR(PA[[#This Row],[Breakdown Time]]*PA[[#This Row],[Plant Equivalent Weightage]],"")</f>
        <v/>
      </c>
      <c r="AK247" s="36"/>
      <c r="AL247" s="51" t="str">
        <f>IFERROR((_xlfn.XLOOKUP($G247,'Modelling New'!D:D,'Modelling New'!$O:$O)*PA[[#This Row],[Lost PoA(kWh/m2)]]*PA[[#This Row],[DC Capacity Affected (kW)]]),"")</f>
        <v/>
      </c>
      <c r="AM247" s="33"/>
      <c r="AN247" s="33"/>
      <c r="AO247" s="33"/>
      <c r="AP247" s="33"/>
    </row>
    <row r="248" spans="1:42">
      <c r="A248" s="30">
        <f t="shared" si="1"/>
        <v>247</v>
      </c>
      <c r="B248" s="165"/>
      <c r="C248" s="32">
        <f>YEAR(PA[[#This Row],[Date]])+IF(MONTH(PA[[#This Row],[Date]])&gt;=4,1,0)</f>
        <v>1900</v>
      </c>
      <c r="D248" s="32">
        <f>YEAR(PA[[#This Row],[Date]])</f>
        <v>1900</v>
      </c>
      <c r="E248" s="33" t="s">
        <v>157</v>
      </c>
      <c r="F248" s="33" t="s">
        <v>157</v>
      </c>
      <c r="G248" s="194">
        <f>PA[[#This Row],[Date]]-DAY(PA[[#This Row],[Date]])+1</f>
        <v>1</v>
      </c>
      <c r="H248" s="202">
        <f>DAY(EOMONTH(PA[[#This Row],[Month Year]],0))</f>
        <v>31</v>
      </c>
      <c r="I248" s="34"/>
      <c r="J248" s="34"/>
      <c r="K248" s="35">
        <f>IFERROR((PA[[#This Row],[Sunset Time (POA&lt;20 W/m2)]]-PA[[#This Row],[Sunrise Time (POA&gt;20 W/m2)]])*24,"")</f>
        <v>0</v>
      </c>
      <c r="L248" s="33"/>
      <c r="M248" s="37"/>
      <c r="N248" s="33"/>
      <c r="O248" s="38"/>
      <c r="P248" s="38"/>
      <c r="Q248" s="37"/>
      <c r="R248" s="202">
        <f>IF((PA[[#This Row],[String Type(If String BD)]]&amp;PA[[#This Row],[Equipment (If any BD other than PV  array and inv)]])="",1,0)</f>
        <v>1</v>
      </c>
      <c r="S248" s="202">
        <f>IF(PA[[#This Row],[String Type(If String BD)]]="",1,0)</f>
        <v>1</v>
      </c>
      <c r="T2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8" s="204" t="str">
        <f>IFERROR(_xlfn.XLOOKUP(PA[[#This Row],[Affected Equipment ]],'Basic Data'!N:N,'Basic Data'!Q:Q),"")</f>
        <v/>
      </c>
      <c r="V248" s="208" t="str">
        <f>IFERROR(_xlfn.XLOOKUP(PA[[#This Row],[Affected Equipment ]],'Basic Data'!N:N,'Basic Data'!R:R),"")</f>
        <v/>
      </c>
      <c r="W248" s="38"/>
      <c r="X248" s="41"/>
      <c r="Y248" s="40"/>
      <c r="Z248" s="46"/>
      <c r="AA248" s="46"/>
      <c r="AB248" s="46"/>
      <c r="AC248" s="47"/>
      <c r="AD248" s="205">
        <f>IF(PA[[#This Row],[Acknowledgement Time ]]="NA","",(PA[[#This Row],[Acknowledgement Time ]]-PA[[#This Row],[Fault Time]])*24)</f>
        <v>0</v>
      </c>
      <c r="AE248" s="205">
        <f>IF(PA[[#This Row],[Work Start time on Fault]]="NA","",(PA[[#This Row],[Work Start time on Fault]]-PA[[#This Row],[Fault Time]])*24)</f>
        <v>0</v>
      </c>
      <c r="AF248" s="206">
        <f>IF(PA[[#This Row],[Status]]="Open","",(PA[[#This Row],[Work Completion time on fault]]-PA[[#This Row],[Fault Time]])*24)</f>
        <v>0</v>
      </c>
      <c r="AG248" s="205">
        <f>IFERROR((PA[[#This Row],[Work Completion time on fault]]-PA[[#This Row],[Fault Time]])*24,"")</f>
        <v>0</v>
      </c>
      <c r="AH248" s="36"/>
      <c r="AI248" s="33"/>
      <c r="AJ248" s="204" t="str">
        <f>IFERROR(PA[[#This Row],[Breakdown Time]]*PA[[#This Row],[Plant Equivalent Weightage]],"")</f>
        <v/>
      </c>
      <c r="AK248" s="38"/>
      <c r="AL248" s="51" t="str">
        <f>IFERROR((_xlfn.XLOOKUP($G248,'Modelling New'!D:D,'Modelling New'!$O:$O)*PA[[#This Row],[Lost PoA(kWh/m2)]]*PA[[#This Row],[DC Capacity Affected (kW)]]),"")</f>
        <v/>
      </c>
      <c r="AM248" s="33"/>
      <c r="AN248" s="33"/>
      <c r="AO248" s="33"/>
      <c r="AP248" s="33"/>
    </row>
    <row r="249" spans="1:42">
      <c r="A249" s="30">
        <f t="shared" si="1"/>
        <v>248</v>
      </c>
      <c r="B249" s="165"/>
      <c r="C249" s="32">
        <f>YEAR(PA[[#This Row],[Date]])+IF(MONTH(PA[[#This Row],[Date]])&gt;=4,1,0)</f>
        <v>1900</v>
      </c>
      <c r="D249" s="32">
        <f>YEAR(PA[[#This Row],[Date]])</f>
        <v>1900</v>
      </c>
      <c r="E249" s="33" t="s">
        <v>157</v>
      </c>
      <c r="F249" s="33" t="s">
        <v>157</v>
      </c>
      <c r="G249" s="194">
        <f>PA[[#This Row],[Date]]-DAY(PA[[#This Row],[Date]])+1</f>
        <v>1</v>
      </c>
      <c r="H249" s="32">
        <f>DAY(EOMONTH(PA[[#This Row],[Month Year]],0))</f>
        <v>31</v>
      </c>
      <c r="I249" s="34"/>
      <c r="J249" s="34"/>
      <c r="K249" s="35">
        <f>IFERROR((PA[[#This Row],[Sunset Time (POA&lt;20 W/m2)]]-PA[[#This Row],[Sunrise Time (POA&gt;20 W/m2)]])*24,"")</f>
        <v>0</v>
      </c>
      <c r="L249" s="33"/>
      <c r="M249" s="33"/>
      <c r="N249" s="33"/>
      <c r="O249" s="36"/>
      <c r="P249" s="36"/>
      <c r="Q249" s="33"/>
      <c r="R249" s="32">
        <f>IF((PA[[#This Row],[String Type(If String BD)]]&amp;PA[[#This Row],[Equipment (If any BD other than PV  array and inv)]])="",1,0)</f>
        <v>1</v>
      </c>
      <c r="S249" s="32">
        <f>IF(PA[[#This Row],[String Type(If String BD)]]="",1,0)</f>
        <v>1</v>
      </c>
      <c r="T2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49" s="35" t="str">
        <f>IFERROR(_xlfn.XLOOKUP(PA[[#This Row],[Affected Equipment ]],'Basic Data'!N:N,'Basic Data'!Q:Q),"")</f>
        <v/>
      </c>
      <c r="V249" s="207" t="str">
        <f>IFERROR(_xlfn.XLOOKUP(PA[[#This Row],[Affected Equipment ]],'Basic Data'!N:N,'Basic Data'!R:R),"")</f>
        <v/>
      </c>
      <c r="W249" s="36"/>
      <c r="X249" s="40"/>
      <c r="Y249" s="40"/>
      <c r="Z249" s="46"/>
      <c r="AA249" s="46"/>
      <c r="AB249" s="46"/>
      <c r="AC249" s="46"/>
      <c r="AD249" s="44">
        <f>IF(PA[[#This Row],[Acknowledgement Time ]]="NA","",(PA[[#This Row],[Acknowledgement Time ]]-PA[[#This Row],[Fault Time]])*24)</f>
        <v>0</v>
      </c>
      <c r="AE249" s="44">
        <f>IF(PA[[#This Row],[Work Start time on Fault]]="NA","",(PA[[#This Row],[Work Start time on Fault]]-PA[[#This Row],[Fault Time]])*24)</f>
        <v>0</v>
      </c>
      <c r="AF249" s="45">
        <f>IF(PA[[#This Row],[Status]]="Open","",(PA[[#This Row],[Work Completion time on fault]]-PA[[#This Row],[Fault Time]])*24)</f>
        <v>0</v>
      </c>
      <c r="AG249" s="44">
        <f>IFERROR((PA[[#This Row],[Work Completion time on fault]]-PA[[#This Row],[Fault Time]])*24,"")</f>
        <v>0</v>
      </c>
      <c r="AH249" s="36"/>
      <c r="AI249" s="33"/>
      <c r="AJ249" s="35" t="str">
        <f>IFERROR(PA[[#This Row],[Breakdown Time]]*PA[[#This Row],[Plant Equivalent Weightage]],"")</f>
        <v/>
      </c>
      <c r="AK249" s="36"/>
      <c r="AL249" s="51" t="str">
        <f>IFERROR((_xlfn.XLOOKUP($G249,'Modelling New'!D:D,'Modelling New'!$O:$O)*PA[[#This Row],[Lost PoA(kWh/m2)]]*PA[[#This Row],[DC Capacity Affected (kW)]]),"")</f>
        <v/>
      </c>
      <c r="AM249" s="33"/>
      <c r="AN249" s="33"/>
      <c r="AO249" s="33"/>
      <c r="AP249" s="33"/>
    </row>
    <row r="250" spans="1:42">
      <c r="A250" s="30">
        <f t="shared" si="1"/>
        <v>249</v>
      </c>
      <c r="B250" s="31"/>
      <c r="C250" s="32">
        <f>YEAR(PA[[#This Row],[Date]])+IF(MONTH(PA[[#This Row],[Date]])&gt;=4,1,0)</f>
        <v>1900</v>
      </c>
      <c r="D250" s="32">
        <f>YEAR(PA[[#This Row],[Date]])</f>
        <v>1900</v>
      </c>
      <c r="E250" s="33" t="s">
        <v>157</v>
      </c>
      <c r="F250" s="33" t="s">
        <v>157</v>
      </c>
      <c r="G250" s="194">
        <f>PA[[#This Row],[Date]]-DAY(PA[[#This Row],[Date]])+1</f>
        <v>1</v>
      </c>
      <c r="H250" s="32">
        <f>DAY(EOMONTH(PA[[#This Row],[Month Year]],0))</f>
        <v>31</v>
      </c>
      <c r="I250" s="34"/>
      <c r="J250" s="34"/>
      <c r="K250" s="35">
        <f>IFERROR((PA[[#This Row],[Sunset Time (POA&lt;20 W/m2)]]-PA[[#This Row],[Sunrise Time (POA&gt;20 W/m2)]])*24,"")</f>
        <v>0</v>
      </c>
      <c r="L250" s="33"/>
      <c r="M250" s="37"/>
      <c r="N250" s="33"/>
      <c r="O250" s="36"/>
      <c r="P250" s="36"/>
      <c r="Q250" s="33"/>
      <c r="R250" s="32">
        <f>IF((PA[[#This Row],[String Type(If String BD)]]&amp;PA[[#This Row],[Equipment (If any BD other than PV  array and inv)]])="",1,0)</f>
        <v>1</v>
      </c>
      <c r="S250" s="32">
        <f>IF(PA[[#This Row],[String Type(If String BD)]]="",1,0)</f>
        <v>1</v>
      </c>
      <c r="T2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0" s="35" t="str">
        <f>IFERROR(_xlfn.XLOOKUP(PA[[#This Row],[Affected Equipment ]],'Basic Data'!N:N,'Basic Data'!Q:Q),"")</f>
        <v/>
      </c>
      <c r="V250" s="207" t="str">
        <f>IFERROR(_xlfn.XLOOKUP(PA[[#This Row],[Affected Equipment ]],'Basic Data'!N:N,'Basic Data'!R:R),"")</f>
        <v/>
      </c>
      <c r="W250" s="36"/>
      <c r="X250" s="40"/>
      <c r="Y250" s="40"/>
      <c r="Z250" s="46"/>
      <c r="AA250" s="46"/>
      <c r="AB250" s="46"/>
      <c r="AC250" s="46"/>
      <c r="AD250" s="44">
        <f>IF(PA[[#This Row],[Acknowledgement Time ]]="NA","",(PA[[#This Row],[Acknowledgement Time ]]-PA[[#This Row],[Fault Time]])*24)</f>
        <v>0</v>
      </c>
      <c r="AE250" s="44">
        <f>IF(PA[[#This Row],[Work Start time on Fault]]="NA","",(PA[[#This Row],[Work Start time on Fault]]-PA[[#This Row],[Fault Time]])*24)</f>
        <v>0</v>
      </c>
      <c r="AF250" s="45">
        <f>IF(PA[[#This Row],[Status]]="Open","",(PA[[#This Row],[Work Completion time on fault]]-PA[[#This Row],[Fault Time]])*24)</f>
        <v>0</v>
      </c>
      <c r="AG250" s="44">
        <f>IFERROR((PA[[#This Row],[Work Completion time on fault]]-PA[[#This Row],[Fault Time]])*24,"")</f>
        <v>0</v>
      </c>
      <c r="AH250" s="36"/>
      <c r="AI250" s="33"/>
      <c r="AJ250" s="35" t="str">
        <f>IFERROR(PA[[#This Row],[Breakdown Time]]*PA[[#This Row],[Plant Equivalent Weightage]],"")</f>
        <v/>
      </c>
      <c r="AK250" s="36"/>
      <c r="AL250" s="51" t="str">
        <f>IFERROR((_xlfn.XLOOKUP($G250,'Modelling New'!D:D,'Modelling New'!$O:$O)*PA[[#This Row],[Lost PoA(kWh/m2)]]*PA[[#This Row],[DC Capacity Affected (kW)]]),"")</f>
        <v/>
      </c>
      <c r="AM250" s="33"/>
      <c r="AN250" s="33"/>
      <c r="AO250" s="33"/>
      <c r="AP250" s="33"/>
    </row>
    <row r="251" spans="1:42">
      <c r="A251" s="30">
        <f t="shared" si="1"/>
        <v>250</v>
      </c>
      <c r="B251" s="165"/>
      <c r="C251" s="32">
        <f>YEAR(PA[[#This Row],[Date]])+IF(MONTH(PA[[#This Row],[Date]])&gt;=4,1,0)</f>
        <v>1900</v>
      </c>
      <c r="D251" s="32">
        <f>YEAR(PA[[#This Row],[Date]])</f>
        <v>1900</v>
      </c>
      <c r="E251" s="33" t="s">
        <v>157</v>
      </c>
      <c r="F251" s="33" t="s">
        <v>157</v>
      </c>
      <c r="G251" s="194">
        <f>PA[[#This Row],[Date]]-DAY(PA[[#This Row],[Date]])+1</f>
        <v>1</v>
      </c>
      <c r="H251" s="202">
        <f>DAY(EOMONTH(PA[[#This Row],[Month Year]],0))</f>
        <v>31</v>
      </c>
      <c r="I251" s="34"/>
      <c r="J251" s="34"/>
      <c r="K251" s="35">
        <f>IFERROR((PA[[#This Row],[Sunset Time (POA&lt;20 W/m2)]]-PA[[#This Row],[Sunrise Time (POA&gt;20 W/m2)]])*24,"")</f>
        <v>0</v>
      </c>
      <c r="L251" s="33"/>
      <c r="M251" s="37"/>
      <c r="N251" s="33"/>
      <c r="O251" s="38"/>
      <c r="P251" s="38"/>
      <c r="Q251" s="37"/>
      <c r="R251" s="202">
        <f>IF((PA[[#This Row],[String Type(If String BD)]]&amp;PA[[#This Row],[Equipment (If any BD other than PV  array and inv)]])="",1,0)</f>
        <v>1</v>
      </c>
      <c r="S251" s="202">
        <f>IF(PA[[#This Row],[String Type(If String BD)]]="",1,0)</f>
        <v>1</v>
      </c>
      <c r="T25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1" s="204" t="str">
        <f>IFERROR(_xlfn.XLOOKUP(PA[[#This Row],[Affected Equipment ]],'Basic Data'!N:N,'Basic Data'!Q:Q),"")</f>
        <v/>
      </c>
      <c r="V251" s="208" t="str">
        <f>IFERROR(_xlfn.XLOOKUP(PA[[#This Row],[Affected Equipment ]],'Basic Data'!N:N,'Basic Data'!R:R),"")</f>
        <v/>
      </c>
      <c r="W251" s="38"/>
      <c r="X251" s="41"/>
      <c r="Y251" s="40"/>
      <c r="Z251" s="47"/>
      <c r="AA251" s="47"/>
      <c r="AB251" s="47"/>
      <c r="AC251" s="47"/>
      <c r="AD251" s="205">
        <f>IF(PA[[#This Row],[Acknowledgement Time ]]="NA","",(PA[[#This Row],[Acknowledgement Time ]]-PA[[#This Row],[Fault Time]])*24)</f>
        <v>0</v>
      </c>
      <c r="AE251" s="205">
        <f>IF(PA[[#This Row],[Work Start time on Fault]]="NA","",(PA[[#This Row],[Work Start time on Fault]]-PA[[#This Row],[Fault Time]])*24)</f>
        <v>0</v>
      </c>
      <c r="AF251" s="206">
        <f>IF(PA[[#This Row],[Status]]="Open","",(PA[[#This Row],[Work Completion time on fault]]-PA[[#This Row],[Fault Time]])*24)</f>
        <v>0</v>
      </c>
      <c r="AG251" s="205">
        <f>IFERROR((PA[[#This Row],[Work Completion time on fault]]-PA[[#This Row],[Fault Time]])*24,"")</f>
        <v>0</v>
      </c>
      <c r="AH251" s="36"/>
      <c r="AI251" s="33"/>
      <c r="AJ251" s="204" t="str">
        <f>IFERROR(PA[[#This Row],[Breakdown Time]]*PA[[#This Row],[Plant Equivalent Weightage]],"")</f>
        <v/>
      </c>
      <c r="AK251" s="38"/>
      <c r="AL251" s="51" t="str">
        <f>IFERROR((_xlfn.XLOOKUP($G251,'Modelling New'!D:D,'Modelling New'!$O:$O)*PA[[#This Row],[Lost PoA(kWh/m2)]]*PA[[#This Row],[DC Capacity Affected (kW)]]),"")</f>
        <v/>
      </c>
      <c r="AM251" s="33"/>
      <c r="AN251" s="33"/>
      <c r="AO251" s="33"/>
      <c r="AP251" s="33"/>
    </row>
    <row r="252" spans="1:42">
      <c r="A252" s="30">
        <f t="shared" si="1"/>
        <v>251</v>
      </c>
      <c r="B252" s="31"/>
      <c r="C252" s="32">
        <f>YEAR(PA[[#This Row],[Date]])+IF(MONTH(PA[[#This Row],[Date]])&gt;=4,1,0)</f>
        <v>1900</v>
      </c>
      <c r="D252" s="32">
        <f>YEAR(PA[[#This Row],[Date]])</f>
        <v>1900</v>
      </c>
      <c r="E252" s="33" t="s">
        <v>157</v>
      </c>
      <c r="F252" s="33" t="s">
        <v>157</v>
      </c>
      <c r="G252" s="194">
        <f>PA[[#This Row],[Date]]-DAY(PA[[#This Row],[Date]])+1</f>
        <v>1</v>
      </c>
      <c r="H252" s="32">
        <f>DAY(EOMONTH(PA[[#This Row],[Month Year]],0))</f>
        <v>31</v>
      </c>
      <c r="I252" s="34"/>
      <c r="J252" s="34"/>
      <c r="K252" s="35">
        <f>IFERROR((PA[[#This Row],[Sunset Time (POA&lt;20 W/m2)]]-PA[[#This Row],[Sunrise Time (POA&gt;20 W/m2)]])*24,"")</f>
        <v>0</v>
      </c>
      <c r="L252" s="33"/>
      <c r="M252" s="33"/>
      <c r="N252" s="33"/>
      <c r="O252" s="36"/>
      <c r="P252" s="36"/>
      <c r="Q252" s="33"/>
      <c r="R252" s="32">
        <f>IF((PA[[#This Row],[String Type(If String BD)]]&amp;PA[[#This Row],[Equipment (If any BD other than PV  array and inv)]])="",1,0)</f>
        <v>1</v>
      </c>
      <c r="S252" s="32">
        <f>IF(PA[[#This Row],[String Type(If String BD)]]="",1,0)</f>
        <v>1</v>
      </c>
      <c r="T25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2" s="35" t="str">
        <f>IFERROR(_xlfn.XLOOKUP(PA[[#This Row],[Affected Equipment ]],'Basic Data'!N:N,'Basic Data'!Q:Q),"")</f>
        <v/>
      </c>
      <c r="V252" s="207" t="str">
        <f>IFERROR(_xlfn.XLOOKUP(PA[[#This Row],[Affected Equipment ]],'Basic Data'!N:N,'Basic Data'!R:R),"")</f>
        <v/>
      </c>
      <c r="W252" s="36"/>
      <c r="X252" s="40"/>
      <c r="Y252" s="40"/>
      <c r="Z252" s="46"/>
      <c r="AA252" s="46"/>
      <c r="AB252" s="46"/>
      <c r="AC252" s="46"/>
      <c r="AD252" s="44">
        <f>IF(PA[[#This Row],[Acknowledgement Time ]]="NA","",(PA[[#This Row],[Acknowledgement Time ]]-PA[[#This Row],[Fault Time]])*24)</f>
        <v>0</v>
      </c>
      <c r="AE252" s="44">
        <f>IF(PA[[#This Row],[Work Start time on Fault]]="NA","",(PA[[#This Row],[Work Start time on Fault]]-PA[[#This Row],[Fault Time]])*24)</f>
        <v>0</v>
      </c>
      <c r="AF252" s="45">
        <f>IF(PA[[#This Row],[Status]]="Open","",(PA[[#This Row],[Work Completion time on fault]]-PA[[#This Row],[Fault Time]])*24)</f>
        <v>0</v>
      </c>
      <c r="AG252" s="44">
        <f>IFERROR((PA[[#This Row],[Work Completion time on fault]]-PA[[#This Row],[Fault Time]])*24,"")</f>
        <v>0</v>
      </c>
      <c r="AH252" s="36"/>
      <c r="AI252" s="33"/>
      <c r="AJ252" s="35" t="str">
        <f>IFERROR(PA[[#This Row],[Breakdown Time]]*PA[[#This Row],[Plant Equivalent Weightage]],"")</f>
        <v/>
      </c>
      <c r="AK252" s="36"/>
      <c r="AL252" s="51" t="str">
        <f>IFERROR((_xlfn.XLOOKUP($G252,'Modelling New'!D:D,'Modelling New'!$O:$O)*PA[[#This Row],[Lost PoA(kWh/m2)]]*PA[[#This Row],[DC Capacity Affected (kW)]]),"")</f>
        <v/>
      </c>
      <c r="AM252" s="33"/>
      <c r="AN252" s="33"/>
      <c r="AO252" s="33"/>
      <c r="AP252" s="33"/>
    </row>
    <row r="253" spans="1:42">
      <c r="A253" s="30">
        <f t="shared" si="1"/>
        <v>252</v>
      </c>
      <c r="B253" s="31"/>
      <c r="C253" s="32">
        <f>YEAR(PA[[#This Row],[Date]])+IF(MONTH(PA[[#This Row],[Date]])&gt;=4,1,0)</f>
        <v>1900</v>
      </c>
      <c r="D253" s="32">
        <f>YEAR(PA[[#This Row],[Date]])</f>
        <v>1900</v>
      </c>
      <c r="E253" s="33" t="s">
        <v>157</v>
      </c>
      <c r="F253" s="33" t="s">
        <v>157</v>
      </c>
      <c r="G253" s="194">
        <f>PA[[#This Row],[Date]]-DAY(PA[[#This Row],[Date]])+1</f>
        <v>1</v>
      </c>
      <c r="H253" s="32">
        <f>DAY(EOMONTH(PA[[#This Row],[Month Year]],0))</f>
        <v>31</v>
      </c>
      <c r="I253" s="34"/>
      <c r="J253" s="34"/>
      <c r="K253" s="35">
        <f>IFERROR((PA[[#This Row],[Sunset Time (POA&lt;20 W/m2)]]-PA[[#This Row],[Sunrise Time (POA&gt;20 W/m2)]])*24,"")</f>
        <v>0</v>
      </c>
      <c r="L253" s="33"/>
      <c r="M253" s="33"/>
      <c r="N253" s="33"/>
      <c r="O253" s="36"/>
      <c r="P253" s="36"/>
      <c r="Q253" s="33"/>
      <c r="R253" s="32">
        <f>IF((PA[[#This Row],[String Type(If String BD)]]&amp;PA[[#This Row],[Equipment (If any BD other than PV  array and inv)]])="",1,0)</f>
        <v>1</v>
      </c>
      <c r="S253" s="32">
        <f>IF(PA[[#This Row],[String Type(If String BD)]]="",1,0)</f>
        <v>1</v>
      </c>
      <c r="T2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3" s="35" t="str">
        <f>IFERROR(_xlfn.XLOOKUP(PA[[#This Row],[Affected Equipment ]],'Basic Data'!N:N,'Basic Data'!Q:Q),"")</f>
        <v/>
      </c>
      <c r="V253" s="207" t="str">
        <f>IFERROR(_xlfn.XLOOKUP(PA[[#This Row],[Affected Equipment ]],'Basic Data'!N:N,'Basic Data'!R:R),"")</f>
        <v/>
      </c>
      <c r="W253" s="36"/>
      <c r="X253" s="40"/>
      <c r="Y253" s="40"/>
      <c r="Z253" s="46"/>
      <c r="AA253" s="46"/>
      <c r="AB253" s="46"/>
      <c r="AC253" s="46"/>
      <c r="AD253" s="44">
        <f>IF(PA[[#This Row],[Acknowledgement Time ]]="NA","",(PA[[#This Row],[Acknowledgement Time ]]-PA[[#This Row],[Fault Time]])*24)</f>
        <v>0</v>
      </c>
      <c r="AE253" s="44">
        <f>IF(PA[[#This Row],[Work Start time on Fault]]="NA","",(PA[[#This Row],[Work Start time on Fault]]-PA[[#This Row],[Fault Time]])*24)</f>
        <v>0</v>
      </c>
      <c r="AF253" s="45">
        <f>IF(PA[[#This Row],[Status]]="Open","",(PA[[#This Row],[Work Completion time on fault]]-PA[[#This Row],[Fault Time]])*24)</f>
        <v>0</v>
      </c>
      <c r="AG253" s="44">
        <f>IFERROR((PA[[#This Row],[Work Completion time on fault]]-PA[[#This Row],[Fault Time]])*24,"")</f>
        <v>0</v>
      </c>
      <c r="AH253" s="36"/>
      <c r="AI253" s="33"/>
      <c r="AJ253" s="35" t="str">
        <f>IFERROR(PA[[#This Row],[Breakdown Time]]*PA[[#This Row],[Plant Equivalent Weightage]],"")</f>
        <v/>
      </c>
      <c r="AK253" s="36"/>
      <c r="AL253" s="51" t="str">
        <f>IFERROR((_xlfn.XLOOKUP($G253,'Modelling New'!D:D,'Modelling New'!$O:$O)*PA[[#This Row],[Lost PoA(kWh/m2)]]*PA[[#This Row],[DC Capacity Affected (kW)]]),"")</f>
        <v/>
      </c>
      <c r="AM253" s="33"/>
      <c r="AN253" s="33"/>
      <c r="AO253" s="33"/>
      <c r="AP253" s="33"/>
    </row>
    <row r="254" spans="1:42">
      <c r="A254" s="30">
        <f t="shared" si="1"/>
        <v>253</v>
      </c>
      <c r="B254" s="165"/>
      <c r="C254" s="32">
        <f>YEAR(PA[[#This Row],[Date]])+IF(MONTH(PA[[#This Row],[Date]])&gt;=4,1,0)</f>
        <v>1900</v>
      </c>
      <c r="D254" s="32">
        <f>YEAR(PA[[#This Row],[Date]])</f>
        <v>1900</v>
      </c>
      <c r="E254" s="33" t="s">
        <v>157</v>
      </c>
      <c r="F254" s="33" t="s">
        <v>157</v>
      </c>
      <c r="G254" s="194">
        <f>PA[[#This Row],[Date]]-DAY(PA[[#This Row],[Date]])+1</f>
        <v>1</v>
      </c>
      <c r="H254" s="202">
        <f>DAY(EOMONTH(PA[[#This Row],[Month Year]],0))</f>
        <v>31</v>
      </c>
      <c r="I254" s="34"/>
      <c r="J254" s="34"/>
      <c r="K254" s="35">
        <f>IFERROR((PA[[#This Row],[Sunset Time (POA&lt;20 W/m2)]]-PA[[#This Row],[Sunrise Time (POA&gt;20 W/m2)]])*24,"")</f>
        <v>0</v>
      </c>
      <c r="L254" s="33"/>
      <c r="M254" s="33"/>
      <c r="N254" s="33"/>
      <c r="O254" s="38"/>
      <c r="P254" s="38"/>
      <c r="Q254" s="37"/>
      <c r="R254" s="202">
        <f>IF((PA[[#This Row],[String Type(If String BD)]]&amp;PA[[#This Row],[Equipment (If any BD other than PV  array and inv)]])="",1,0)</f>
        <v>1</v>
      </c>
      <c r="S254" s="202">
        <f>IF(PA[[#This Row],[String Type(If String BD)]]="",1,0)</f>
        <v>1</v>
      </c>
      <c r="T25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4" s="204" t="str">
        <f>IFERROR(_xlfn.XLOOKUP(PA[[#This Row],[Affected Equipment ]],'Basic Data'!N:N,'Basic Data'!Q:Q),"")</f>
        <v/>
      </c>
      <c r="V254" s="208" t="str">
        <f>IFERROR(_xlfn.XLOOKUP(PA[[#This Row],[Affected Equipment ]],'Basic Data'!N:N,'Basic Data'!R:R),"")</f>
        <v/>
      </c>
      <c r="W254" s="38"/>
      <c r="X254" s="41"/>
      <c r="Y254" s="40"/>
      <c r="Z254" s="47"/>
      <c r="AA254" s="47"/>
      <c r="AB254" s="47"/>
      <c r="AC254" s="47"/>
      <c r="AD254" s="205">
        <f>IF(PA[[#This Row],[Acknowledgement Time ]]="NA","",(PA[[#This Row],[Acknowledgement Time ]]-PA[[#This Row],[Fault Time]])*24)</f>
        <v>0</v>
      </c>
      <c r="AE254" s="205">
        <f>IF(PA[[#This Row],[Work Start time on Fault]]="NA","",(PA[[#This Row],[Work Start time on Fault]]-PA[[#This Row],[Fault Time]])*24)</f>
        <v>0</v>
      </c>
      <c r="AF254" s="206">
        <f>IF(PA[[#This Row],[Status]]="Open","",(PA[[#This Row],[Work Completion time on fault]]-PA[[#This Row],[Fault Time]])*24)</f>
        <v>0</v>
      </c>
      <c r="AG254" s="205">
        <f>IFERROR((PA[[#This Row],[Work Completion time on fault]]-PA[[#This Row],[Fault Time]])*24,"")</f>
        <v>0</v>
      </c>
      <c r="AH254" s="36"/>
      <c r="AI254" s="33"/>
      <c r="AJ254" s="204" t="str">
        <f>IFERROR(PA[[#This Row],[Breakdown Time]]*PA[[#This Row],[Plant Equivalent Weightage]],"")</f>
        <v/>
      </c>
      <c r="AK254" s="38"/>
      <c r="AL254" s="51" t="str">
        <f>IFERROR((_xlfn.XLOOKUP($G254,'Modelling New'!D:D,'Modelling New'!$O:$O)*PA[[#This Row],[Lost PoA(kWh/m2)]]*PA[[#This Row],[DC Capacity Affected (kW)]]),"")</f>
        <v/>
      </c>
      <c r="AM254" s="33"/>
      <c r="AN254" s="33"/>
      <c r="AO254" s="33"/>
      <c r="AP254" s="33"/>
    </row>
    <row r="255" spans="1:42">
      <c r="A255" s="30">
        <f t="shared" si="1"/>
        <v>254</v>
      </c>
      <c r="B255" s="165"/>
      <c r="C255" s="32">
        <f>YEAR(PA[[#This Row],[Date]])+IF(MONTH(PA[[#This Row],[Date]])&gt;=4,1,0)</f>
        <v>1900</v>
      </c>
      <c r="D255" s="32">
        <f>YEAR(PA[[#This Row],[Date]])</f>
        <v>1900</v>
      </c>
      <c r="E255" s="33" t="s">
        <v>157</v>
      </c>
      <c r="F255" s="33" t="s">
        <v>157</v>
      </c>
      <c r="G255" s="194">
        <f>PA[[#This Row],[Date]]-DAY(PA[[#This Row],[Date]])+1</f>
        <v>1</v>
      </c>
      <c r="H255" s="202">
        <f>DAY(EOMONTH(PA[[#This Row],[Month Year]],0))</f>
        <v>31</v>
      </c>
      <c r="I255" s="34"/>
      <c r="J255" s="34"/>
      <c r="K255" s="35">
        <f>IFERROR((PA[[#This Row],[Sunset Time (POA&lt;20 W/m2)]]-PA[[#This Row],[Sunrise Time (POA&gt;20 W/m2)]])*24,"")</f>
        <v>0</v>
      </c>
      <c r="L255" s="37"/>
      <c r="M255" s="37"/>
      <c r="N255" s="33"/>
      <c r="O255" s="36"/>
      <c r="P255" s="36"/>
      <c r="Q255" s="37"/>
      <c r="R255" s="202">
        <f>IF((PA[[#This Row],[String Type(If String BD)]]&amp;PA[[#This Row],[Equipment (If any BD other than PV  array and inv)]])="",1,0)</f>
        <v>1</v>
      </c>
      <c r="S255" s="202">
        <f>IF(PA[[#This Row],[String Type(If String BD)]]="",1,0)</f>
        <v>1</v>
      </c>
      <c r="T25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5" s="204" t="str">
        <f>IFERROR(_xlfn.XLOOKUP(PA[[#This Row],[Affected Equipment ]],'Basic Data'!N:N,'Basic Data'!Q:Q),"")</f>
        <v/>
      </c>
      <c r="V255" s="208" t="str">
        <f>IFERROR(_xlfn.XLOOKUP(PA[[#This Row],[Affected Equipment ]],'Basic Data'!N:N,'Basic Data'!R:R),"")</f>
        <v/>
      </c>
      <c r="W255" s="38"/>
      <c r="X255" s="41"/>
      <c r="Y255" s="40"/>
      <c r="Z255" s="49"/>
      <c r="AA255" s="49"/>
      <c r="AB255" s="49"/>
      <c r="AC255" s="47"/>
      <c r="AD255" s="205">
        <f>IF(PA[[#This Row],[Acknowledgement Time ]]="NA","",(PA[[#This Row],[Acknowledgement Time ]]-PA[[#This Row],[Fault Time]])*24)</f>
        <v>0</v>
      </c>
      <c r="AE255" s="205">
        <f>IF(PA[[#This Row],[Work Start time on Fault]]="NA","",(PA[[#This Row],[Work Start time on Fault]]-PA[[#This Row],[Fault Time]])*24)</f>
        <v>0</v>
      </c>
      <c r="AF255" s="206">
        <f>IF(PA[[#This Row],[Status]]="Open","",(PA[[#This Row],[Work Completion time on fault]]-PA[[#This Row],[Fault Time]])*24)</f>
        <v>0</v>
      </c>
      <c r="AG255" s="205">
        <f>IFERROR((PA[[#This Row],[Work Completion time on fault]]-PA[[#This Row],[Fault Time]])*24,"")</f>
        <v>0</v>
      </c>
      <c r="AH255" s="282"/>
      <c r="AI255" s="33"/>
      <c r="AJ255" s="204" t="str">
        <f>IFERROR(PA[[#This Row],[Breakdown Time]]*PA[[#This Row],[Plant Equivalent Weightage]],"")</f>
        <v/>
      </c>
      <c r="AK255" s="38"/>
      <c r="AL255" s="51" t="str">
        <f>IFERROR((_xlfn.XLOOKUP($G255,'Modelling New'!D:D,'Modelling New'!$O:$O)*PA[[#This Row],[Lost PoA(kWh/m2)]]*PA[[#This Row],[DC Capacity Affected (kW)]]),"")</f>
        <v/>
      </c>
      <c r="AM255" s="33"/>
      <c r="AN255" s="33"/>
      <c r="AO255" s="33"/>
      <c r="AP255" s="33"/>
    </row>
    <row r="256" spans="1:42">
      <c r="A256" s="30">
        <f t="shared" si="1"/>
        <v>255</v>
      </c>
      <c r="B256" s="165"/>
      <c r="C256" s="212">
        <f>YEAR(PA[[#This Row],[Date]])+IF(MONTH(PA[[#This Row],[Date]])&gt;=4,1,0)</f>
        <v>1900</v>
      </c>
      <c r="D256" s="212">
        <f>YEAR(PA[[#This Row],[Date]])</f>
        <v>1900</v>
      </c>
      <c r="E256" s="33" t="s">
        <v>157</v>
      </c>
      <c r="F256" s="33" t="s">
        <v>157</v>
      </c>
      <c r="G256" s="194">
        <f>PA[[#This Row],[Date]]-DAY(PA[[#This Row],[Date]])+1</f>
        <v>1</v>
      </c>
      <c r="H256" s="32">
        <f>DAY(EOMONTH(PA[[#This Row],[Month Year]],0))</f>
        <v>31</v>
      </c>
      <c r="I256" s="34"/>
      <c r="J256" s="34"/>
      <c r="K256" s="35">
        <f>IFERROR((PA[[#This Row],[Sunset Time (POA&lt;20 W/m2)]]-PA[[#This Row],[Sunrise Time (POA&gt;20 W/m2)]])*24,"")</f>
        <v>0</v>
      </c>
      <c r="L256" s="33"/>
      <c r="M256" s="33"/>
      <c r="N256" s="33"/>
      <c r="O256" s="36"/>
      <c r="P256" s="36"/>
      <c r="Q256" s="33"/>
      <c r="R256" s="32">
        <f>IF((PA[[#This Row],[String Type(If String BD)]]&amp;PA[[#This Row],[Equipment (If any BD other than PV  array and inv)]])="",1,0)</f>
        <v>1</v>
      </c>
      <c r="S256" s="32">
        <f>IF(PA[[#This Row],[String Type(If String BD)]]="",1,0)</f>
        <v>1</v>
      </c>
      <c r="T2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6" s="35" t="str">
        <f>IFERROR(_xlfn.XLOOKUP(PA[[#This Row],[Affected Equipment ]],'Basic Data'!N:N,'Basic Data'!Q:Q),"")</f>
        <v/>
      </c>
      <c r="V256" s="207" t="str">
        <f>IFERROR(_xlfn.XLOOKUP(PA[[#This Row],[Affected Equipment ]],'Basic Data'!N:N,'Basic Data'!R:R),"")</f>
        <v/>
      </c>
      <c r="W256" s="36"/>
      <c r="X256" s="40"/>
      <c r="Y256" s="40"/>
      <c r="Z256" s="46"/>
      <c r="AA256" s="46"/>
      <c r="AB256" s="46"/>
      <c r="AC256" s="46"/>
      <c r="AD256" s="44">
        <f>IF(PA[[#This Row],[Acknowledgement Time ]]="NA","",(PA[[#This Row],[Acknowledgement Time ]]-PA[[#This Row],[Fault Time]])*24)</f>
        <v>0</v>
      </c>
      <c r="AE256" s="44">
        <f>IF(PA[[#This Row],[Work Start time on Fault]]="NA","",(PA[[#This Row],[Work Start time on Fault]]-PA[[#This Row],[Fault Time]])*24)</f>
        <v>0</v>
      </c>
      <c r="AF256" s="45">
        <f>IF(PA[[#This Row],[Status]]="Open","",(PA[[#This Row],[Work Completion time on fault]]-PA[[#This Row],[Fault Time]])*24)</f>
        <v>0</v>
      </c>
      <c r="AG256" s="44">
        <f>IFERROR((PA[[#This Row],[Work Completion time on fault]]-PA[[#This Row],[Fault Time]])*24,"")</f>
        <v>0</v>
      </c>
      <c r="AH256" s="36"/>
      <c r="AI256" s="33"/>
      <c r="AJ256" s="35" t="str">
        <f>IFERROR(PA[[#This Row],[Breakdown Time]]*PA[[#This Row],[Plant Equivalent Weightage]],"")</f>
        <v/>
      </c>
      <c r="AK256" s="36"/>
      <c r="AL256" s="51" t="str">
        <f>IFERROR((_xlfn.XLOOKUP($G256,'Modelling New'!D:D,'Modelling New'!$O:$O)*PA[[#This Row],[Lost PoA(kWh/m2)]]*PA[[#This Row],[DC Capacity Affected (kW)]]),"")</f>
        <v/>
      </c>
      <c r="AM256" s="33"/>
      <c r="AN256" s="33"/>
      <c r="AO256" s="33"/>
      <c r="AP256" s="33"/>
    </row>
    <row r="257" spans="1:42">
      <c r="A257" s="30">
        <f t="shared" si="1"/>
        <v>256</v>
      </c>
      <c r="B257" s="165"/>
      <c r="C257" s="211">
        <f>YEAR(PA[[#This Row],[Date]])+IF(MONTH(PA[[#This Row],[Date]])&gt;=4,1,0)</f>
        <v>1900</v>
      </c>
      <c r="D257" s="211">
        <f>YEAR(PA[[#This Row],[Date]])</f>
        <v>1900</v>
      </c>
      <c r="E257" s="33" t="s">
        <v>157</v>
      </c>
      <c r="F257" s="33" t="s">
        <v>157</v>
      </c>
      <c r="G257" s="194">
        <f>PA[[#This Row],[Date]]-DAY(PA[[#This Row],[Date]])+1</f>
        <v>1</v>
      </c>
      <c r="H257" s="202">
        <f>DAY(EOMONTH(PA[[#This Row],[Month Year]],0))</f>
        <v>31</v>
      </c>
      <c r="I257" s="34"/>
      <c r="J257" s="34"/>
      <c r="K257" s="35">
        <f>IFERROR((PA[[#This Row],[Sunset Time (POA&lt;20 W/m2)]]-PA[[#This Row],[Sunrise Time (POA&gt;20 W/m2)]])*24,"")</f>
        <v>0</v>
      </c>
      <c r="L257" s="37"/>
      <c r="M257" s="37"/>
      <c r="N257" s="37"/>
      <c r="O257" s="38"/>
      <c r="P257" s="38"/>
      <c r="Q257" s="37"/>
      <c r="R257" s="202">
        <f>IF((PA[[#This Row],[String Type(If String BD)]]&amp;PA[[#This Row],[Equipment (If any BD other than PV  array and inv)]])="",1,0)</f>
        <v>1</v>
      </c>
      <c r="S257" s="202">
        <f>IF(PA[[#This Row],[String Type(If String BD)]]="",1,0)</f>
        <v>1</v>
      </c>
      <c r="T25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7" s="204" t="str">
        <f>IFERROR(_xlfn.XLOOKUP(PA[[#This Row],[Affected Equipment ]],'Basic Data'!N:N,'Basic Data'!Q:Q),"")</f>
        <v/>
      </c>
      <c r="V257" s="208" t="str">
        <f>IFERROR(_xlfn.XLOOKUP(PA[[#This Row],[Affected Equipment ]],'Basic Data'!N:N,'Basic Data'!R:R),"")</f>
        <v/>
      </c>
      <c r="W257" s="38"/>
      <c r="X257" s="41"/>
      <c r="Y257" s="40"/>
      <c r="Z257" s="47"/>
      <c r="AA257" s="47"/>
      <c r="AB257" s="47"/>
      <c r="AC257" s="47"/>
      <c r="AD257" s="205">
        <f>IF(PA[[#This Row],[Acknowledgement Time ]]="NA","",(PA[[#This Row],[Acknowledgement Time ]]-PA[[#This Row],[Fault Time]])*24)</f>
        <v>0</v>
      </c>
      <c r="AE257" s="205">
        <f>IF(PA[[#This Row],[Work Start time on Fault]]="NA","",(PA[[#This Row],[Work Start time on Fault]]-PA[[#This Row],[Fault Time]])*24)</f>
        <v>0</v>
      </c>
      <c r="AF257" s="206">
        <f>IF(PA[[#This Row],[Status]]="Open","",(PA[[#This Row],[Work Completion time on fault]]-PA[[#This Row],[Fault Time]])*24)</f>
        <v>0</v>
      </c>
      <c r="AG257" s="205">
        <f>IFERROR((PA[[#This Row],[Work Completion time on fault]]-PA[[#This Row],[Fault Time]])*24,"")</f>
        <v>0</v>
      </c>
      <c r="AH257" s="36"/>
      <c r="AI257" s="33"/>
      <c r="AJ257" s="204" t="str">
        <f>IFERROR(PA[[#This Row],[Breakdown Time]]*PA[[#This Row],[Plant Equivalent Weightage]],"")</f>
        <v/>
      </c>
      <c r="AK257" s="38"/>
      <c r="AL257" s="51" t="str">
        <f>IFERROR((_xlfn.XLOOKUP($G257,'Modelling New'!D:D,'Modelling New'!$O:$O)*PA[[#This Row],[Lost PoA(kWh/m2)]]*PA[[#This Row],[DC Capacity Affected (kW)]]),"")</f>
        <v/>
      </c>
      <c r="AM257" s="33"/>
      <c r="AN257" s="33"/>
      <c r="AO257" s="33"/>
      <c r="AP257" s="33"/>
    </row>
    <row r="258" spans="1:42">
      <c r="A258" s="30">
        <f t="shared" si="1"/>
        <v>257</v>
      </c>
      <c r="B258" s="165"/>
      <c r="C258" s="211">
        <f>YEAR(PA[[#This Row],[Date]])+IF(MONTH(PA[[#This Row],[Date]])&gt;=4,1,0)</f>
        <v>1900</v>
      </c>
      <c r="D258" s="211">
        <f>YEAR(PA[[#This Row],[Date]])</f>
        <v>1900</v>
      </c>
      <c r="E258" s="33" t="s">
        <v>157</v>
      </c>
      <c r="F258" s="33" t="s">
        <v>157</v>
      </c>
      <c r="G258" s="194">
        <f>PA[[#This Row],[Date]]-DAY(PA[[#This Row],[Date]])+1</f>
        <v>1</v>
      </c>
      <c r="H258" s="202">
        <f>DAY(EOMONTH(PA[[#This Row],[Month Year]],0))</f>
        <v>31</v>
      </c>
      <c r="I258" s="34"/>
      <c r="J258" s="34"/>
      <c r="K258" s="35">
        <f>IFERROR((PA[[#This Row],[Sunset Time (POA&lt;20 W/m2)]]-PA[[#This Row],[Sunrise Time (POA&gt;20 W/m2)]])*24,"")</f>
        <v>0</v>
      </c>
      <c r="L258" s="37"/>
      <c r="M258" s="37"/>
      <c r="N258" s="33"/>
      <c r="O258" s="38"/>
      <c r="P258" s="38"/>
      <c r="Q258" s="37"/>
      <c r="R258" s="202">
        <f>IF((PA[[#This Row],[String Type(If String BD)]]&amp;PA[[#This Row],[Equipment (If any BD other than PV  array and inv)]])="",1,0)</f>
        <v>1</v>
      </c>
      <c r="S258" s="202">
        <f>IF(PA[[#This Row],[String Type(If String BD)]]="",1,0)</f>
        <v>1</v>
      </c>
      <c r="T25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8" s="204" t="str">
        <f>IFERROR(_xlfn.XLOOKUP(PA[[#This Row],[Affected Equipment ]],'Basic Data'!N:N,'Basic Data'!Q:Q),"")</f>
        <v/>
      </c>
      <c r="V258" s="208" t="str">
        <f>IFERROR(_xlfn.XLOOKUP(PA[[#This Row],[Affected Equipment ]],'Basic Data'!N:N,'Basic Data'!R:R),"")</f>
        <v/>
      </c>
      <c r="W258" s="38"/>
      <c r="X258" s="41"/>
      <c r="Y258" s="40"/>
      <c r="Z258" s="47"/>
      <c r="AA258" s="47"/>
      <c r="AB258" s="47"/>
      <c r="AC258" s="47"/>
      <c r="AD258" s="205">
        <f>IF(PA[[#This Row],[Acknowledgement Time ]]="NA","",(PA[[#This Row],[Acknowledgement Time ]]-PA[[#This Row],[Fault Time]])*24)</f>
        <v>0</v>
      </c>
      <c r="AE258" s="205">
        <f>IF(PA[[#This Row],[Work Start time on Fault]]="NA","",(PA[[#This Row],[Work Start time on Fault]]-PA[[#This Row],[Fault Time]])*24)</f>
        <v>0</v>
      </c>
      <c r="AF258" s="206">
        <f>IF(PA[[#This Row],[Status]]="Open","",(PA[[#This Row],[Work Completion time on fault]]-PA[[#This Row],[Fault Time]])*24)</f>
        <v>0</v>
      </c>
      <c r="AG258" s="205">
        <f>IFERROR((PA[[#This Row],[Work Completion time on fault]]-PA[[#This Row],[Fault Time]])*24,"")</f>
        <v>0</v>
      </c>
      <c r="AH258" s="36"/>
      <c r="AI258" s="33"/>
      <c r="AJ258" s="204" t="str">
        <f>IFERROR(PA[[#This Row],[Breakdown Time]]*PA[[#This Row],[Plant Equivalent Weightage]],"")</f>
        <v/>
      </c>
      <c r="AK258" s="38"/>
      <c r="AL258" s="51" t="str">
        <f>IFERROR((_xlfn.XLOOKUP($G258,'Modelling New'!D:D,'Modelling New'!$O:$O)*PA[[#This Row],[Lost PoA(kWh/m2)]]*PA[[#This Row],[DC Capacity Affected (kW)]]),"")</f>
        <v/>
      </c>
      <c r="AM258" s="33"/>
      <c r="AN258" s="33"/>
      <c r="AO258" s="33"/>
      <c r="AP258" s="33"/>
    </row>
    <row r="259" spans="1:42">
      <c r="A259" s="30">
        <f t="shared" si="1"/>
        <v>258</v>
      </c>
      <c r="B259" s="165"/>
      <c r="C259" s="212">
        <f>YEAR(PA[[#This Row],[Date]])+IF(MONTH(PA[[#This Row],[Date]])&gt;=4,1,0)</f>
        <v>1900</v>
      </c>
      <c r="D259" s="212">
        <f>YEAR(PA[[#This Row],[Date]])</f>
        <v>1900</v>
      </c>
      <c r="E259" s="33" t="s">
        <v>157</v>
      </c>
      <c r="F259" s="33" t="s">
        <v>157</v>
      </c>
      <c r="G259" s="194">
        <f>PA[[#This Row],[Date]]-DAY(PA[[#This Row],[Date]])+1</f>
        <v>1</v>
      </c>
      <c r="H259" s="32">
        <f>DAY(EOMONTH(PA[[#This Row],[Month Year]],0))</f>
        <v>31</v>
      </c>
      <c r="I259" s="34"/>
      <c r="J259" s="34"/>
      <c r="K259" s="35">
        <f>IFERROR((PA[[#This Row],[Sunset Time (POA&lt;20 W/m2)]]-PA[[#This Row],[Sunrise Time (POA&gt;20 W/m2)]])*24,"")</f>
        <v>0</v>
      </c>
      <c r="L259" s="33"/>
      <c r="M259" s="33"/>
      <c r="N259" s="33"/>
      <c r="O259" s="36"/>
      <c r="P259" s="36"/>
      <c r="Q259" s="33"/>
      <c r="R259" s="32">
        <f>IF((PA[[#This Row],[String Type(If String BD)]]&amp;PA[[#This Row],[Equipment (If any BD other than PV  array and inv)]])="",1,0)</f>
        <v>1</v>
      </c>
      <c r="S259" s="32">
        <f>IF(PA[[#This Row],[String Type(If String BD)]]="",1,0)</f>
        <v>1</v>
      </c>
      <c r="T2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59" s="35" t="str">
        <f>IFERROR(_xlfn.XLOOKUP(PA[[#This Row],[Affected Equipment ]],'Basic Data'!N:N,'Basic Data'!Q:Q),"")</f>
        <v/>
      </c>
      <c r="V259" s="207" t="str">
        <f>IFERROR(_xlfn.XLOOKUP(PA[[#This Row],[Affected Equipment ]],'Basic Data'!N:N,'Basic Data'!R:R),"")</f>
        <v/>
      </c>
      <c r="W259" s="36"/>
      <c r="X259" s="40"/>
      <c r="Y259" s="40"/>
      <c r="Z259" s="46"/>
      <c r="AA259" s="46"/>
      <c r="AB259" s="46"/>
      <c r="AC259" s="46"/>
      <c r="AD259" s="44">
        <f>IF(PA[[#This Row],[Acknowledgement Time ]]="NA","",(PA[[#This Row],[Acknowledgement Time ]]-PA[[#This Row],[Fault Time]])*24)</f>
        <v>0</v>
      </c>
      <c r="AE259" s="44">
        <f>IF(PA[[#This Row],[Work Start time on Fault]]="NA","",(PA[[#This Row],[Work Start time on Fault]]-PA[[#This Row],[Fault Time]])*24)</f>
        <v>0</v>
      </c>
      <c r="AF259" s="45">
        <f>IF(PA[[#This Row],[Status]]="Open","",(PA[[#This Row],[Work Completion time on fault]]-PA[[#This Row],[Fault Time]])*24)</f>
        <v>0</v>
      </c>
      <c r="AG259" s="44">
        <f>IFERROR((PA[[#This Row],[Work Completion time on fault]]-PA[[#This Row],[Fault Time]])*24,"")</f>
        <v>0</v>
      </c>
      <c r="AH259" s="36"/>
      <c r="AI259" s="33"/>
      <c r="AJ259" s="35" t="str">
        <f>IFERROR(PA[[#This Row],[Breakdown Time]]*PA[[#This Row],[Plant Equivalent Weightage]],"")</f>
        <v/>
      </c>
      <c r="AK259" s="36"/>
      <c r="AL259" s="51" t="str">
        <f>IFERROR((_xlfn.XLOOKUP($G259,'Modelling New'!D:D,'Modelling New'!$O:$O)*PA[[#This Row],[Lost PoA(kWh/m2)]]*PA[[#This Row],[DC Capacity Affected (kW)]]),"")</f>
        <v/>
      </c>
      <c r="AM259" s="33"/>
      <c r="AN259" s="33"/>
      <c r="AO259" s="33"/>
      <c r="AP259" s="33"/>
    </row>
    <row r="260" spans="1:42">
      <c r="A260" s="30">
        <f t="shared" si="1"/>
        <v>259</v>
      </c>
      <c r="B260" s="165"/>
      <c r="C260" s="212">
        <f>YEAR(PA[[#This Row],[Date]])+IF(MONTH(PA[[#This Row],[Date]])&gt;=4,1,0)</f>
        <v>1900</v>
      </c>
      <c r="D260" s="212">
        <f>YEAR(PA[[#This Row],[Date]])</f>
        <v>1900</v>
      </c>
      <c r="E260" s="33" t="s">
        <v>157</v>
      </c>
      <c r="F260" s="33" t="s">
        <v>157</v>
      </c>
      <c r="G260" s="194">
        <f>PA[[#This Row],[Date]]-DAY(PA[[#This Row],[Date]])+1</f>
        <v>1</v>
      </c>
      <c r="H260" s="32">
        <f>DAY(EOMONTH(PA[[#This Row],[Month Year]],0))</f>
        <v>31</v>
      </c>
      <c r="I260" s="34"/>
      <c r="J260" s="34"/>
      <c r="K260" s="35">
        <f>IFERROR((PA[[#This Row],[Sunset Time (POA&lt;20 W/m2)]]-PA[[#This Row],[Sunrise Time (POA&gt;20 W/m2)]])*24,"")</f>
        <v>0</v>
      </c>
      <c r="L260" s="33"/>
      <c r="M260" s="37"/>
      <c r="N260" s="33"/>
      <c r="O260" s="36"/>
      <c r="P260" s="36"/>
      <c r="Q260" s="33"/>
      <c r="R260" s="32">
        <f>IF((PA[[#This Row],[String Type(If String BD)]]&amp;PA[[#This Row],[Equipment (If any BD other than PV  array and inv)]])="",1,0)</f>
        <v>1</v>
      </c>
      <c r="S260" s="32">
        <f>IF(PA[[#This Row],[String Type(If String BD)]]="",1,0)</f>
        <v>1</v>
      </c>
      <c r="T26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0" s="35" t="str">
        <f>IFERROR(_xlfn.XLOOKUP(PA[[#This Row],[Affected Equipment ]],'Basic Data'!N:N,'Basic Data'!Q:Q),"")</f>
        <v/>
      </c>
      <c r="V260" s="207" t="str">
        <f>IFERROR(_xlfn.XLOOKUP(PA[[#This Row],[Affected Equipment ]],'Basic Data'!N:N,'Basic Data'!R:R),"")</f>
        <v/>
      </c>
      <c r="W260" s="36"/>
      <c r="X260" s="40"/>
      <c r="Y260" s="40"/>
      <c r="Z260" s="46"/>
      <c r="AA260" s="46"/>
      <c r="AB260" s="46"/>
      <c r="AC260" s="46"/>
      <c r="AD260" s="44">
        <f>IF(PA[[#This Row],[Acknowledgement Time ]]="NA","",(PA[[#This Row],[Acknowledgement Time ]]-PA[[#This Row],[Fault Time]])*24)</f>
        <v>0</v>
      </c>
      <c r="AE260" s="44">
        <f>IF(PA[[#This Row],[Work Start time on Fault]]="NA","",(PA[[#This Row],[Work Start time on Fault]]-PA[[#This Row],[Fault Time]])*24)</f>
        <v>0</v>
      </c>
      <c r="AF260" s="45">
        <f>IF(PA[[#This Row],[Status]]="Open","",(PA[[#This Row],[Work Completion time on fault]]-PA[[#This Row],[Fault Time]])*24)</f>
        <v>0</v>
      </c>
      <c r="AG260" s="44">
        <f>IFERROR((PA[[#This Row],[Work Completion time on fault]]-PA[[#This Row],[Fault Time]])*24,"")</f>
        <v>0</v>
      </c>
      <c r="AH260" s="36"/>
      <c r="AI260" s="33"/>
      <c r="AJ260" s="35" t="str">
        <f>IFERROR(PA[[#This Row],[Breakdown Time]]*PA[[#This Row],[Plant Equivalent Weightage]],"")</f>
        <v/>
      </c>
      <c r="AK260" s="36"/>
      <c r="AL260" s="51" t="str">
        <f>IFERROR((_xlfn.XLOOKUP($G260,'Modelling New'!D:D,'Modelling New'!$O:$O)*PA[[#This Row],[Lost PoA(kWh/m2)]]*PA[[#This Row],[DC Capacity Affected (kW)]]),"")</f>
        <v/>
      </c>
      <c r="AM260" s="33"/>
      <c r="AN260" s="33"/>
      <c r="AO260" s="33"/>
      <c r="AP260" s="33"/>
    </row>
    <row r="261" spans="1:42">
      <c r="A261" s="30">
        <f t="shared" si="1"/>
        <v>260</v>
      </c>
      <c r="B261" s="165"/>
      <c r="C261" s="212">
        <f>YEAR(PA[[#This Row],[Date]])+IF(MONTH(PA[[#This Row],[Date]])&gt;=4,1,0)</f>
        <v>1900</v>
      </c>
      <c r="D261" s="212">
        <f>YEAR(PA[[#This Row],[Date]])</f>
        <v>1900</v>
      </c>
      <c r="E261" s="33" t="s">
        <v>157</v>
      </c>
      <c r="F261" s="33" t="s">
        <v>157</v>
      </c>
      <c r="G261" s="194">
        <f>PA[[#This Row],[Date]]-DAY(PA[[#This Row],[Date]])+1</f>
        <v>1</v>
      </c>
      <c r="H261" s="32">
        <f>DAY(EOMONTH(PA[[#This Row],[Month Year]],0))</f>
        <v>31</v>
      </c>
      <c r="I261" s="34"/>
      <c r="J261" s="34"/>
      <c r="K261" s="35">
        <f>IFERROR((PA[[#This Row],[Sunset Time (POA&lt;20 W/m2)]]-PA[[#This Row],[Sunrise Time (POA&gt;20 W/m2)]])*24,"")</f>
        <v>0</v>
      </c>
      <c r="L261" s="33"/>
      <c r="M261" s="37"/>
      <c r="N261" s="33"/>
      <c r="O261" s="36"/>
      <c r="P261" s="36"/>
      <c r="Q261" s="33"/>
      <c r="R261" s="32">
        <f>IF((PA[[#This Row],[String Type(If String BD)]]&amp;PA[[#This Row],[Equipment (If any BD other than PV  array and inv)]])="",1,0)</f>
        <v>1</v>
      </c>
      <c r="S261" s="32">
        <f>IF(PA[[#This Row],[String Type(If String BD)]]="",1,0)</f>
        <v>1</v>
      </c>
      <c r="T2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1" s="35" t="str">
        <f>IFERROR(_xlfn.XLOOKUP(PA[[#This Row],[Affected Equipment ]],'Basic Data'!N:N,'Basic Data'!Q:Q),"")</f>
        <v/>
      </c>
      <c r="V261" s="207" t="str">
        <f>IFERROR(_xlfn.XLOOKUP(PA[[#This Row],[Affected Equipment ]],'Basic Data'!N:N,'Basic Data'!R:R),"")</f>
        <v/>
      </c>
      <c r="W261" s="36"/>
      <c r="X261" s="40"/>
      <c r="Y261" s="40"/>
      <c r="Z261" s="46"/>
      <c r="AA261" s="46"/>
      <c r="AB261" s="46"/>
      <c r="AC261" s="46"/>
      <c r="AD261" s="44">
        <f>IF(PA[[#This Row],[Acknowledgement Time ]]="NA","",(PA[[#This Row],[Acknowledgement Time ]]-PA[[#This Row],[Fault Time]])*24)</f>
        <v>0</v>
      </c>
      <c r="AE261" s="44">
        <f>IF(PA[[#This Row],[Work Start time on Fault]]="NA","",(PA[[#This Row],[Work Start time on Fault]]-PA[[#This Row],[Fault Time]])*24)</f>
        <v>0</v>
      </c>
      <c r="AF261" s="45">
        <f>IF(PA[[#This Row],[Status]]="Open","",(PA[[#This Row],[Work Completion time on fault]]-PA[[#This Row],[Fault Time]])*24)</f>
        <v>0</v>
      </c>
      <c r="AG261" s="44">
        <f>IFERROR((PA[[#This Row],[Work Completion time on fault]]-PA[[#This Row],[Fault Time]])*24,"")</f>
        <v>0</v>
      </c>
      <c r="AH261" s="36"/>
      <c r="AI261" s="33"/>
      <c r="AJ261" s="35" t="str">
        <f>IFERROR(PA[[#This Row],[Breakdown Time]]*PA[[#This Row],[Plant Equivalent Weightage]],"")</f>
        <v/>
      </c>
      <c r="AK261" s="36"/>
      <c r="AL261" s="51" t="str">
        <f>IFERROR((_xlfn.XLOOKUP($G261,'Modelling New'!D:D,'Modelling New'!$O:$O)*PA[[#This Row],[Lost PoA(kWh/m2)]]*PA[[#This Row],[DC Capacity Affected (kW)]]),"")</f>
        <v/>
      </c>
      <c r="AM261" s="33"/>
      <c r="AN261" s="33"/>
      <c r="AO261" s="33"/>
      <c r="AP261" s="33"/>
    </row>
    <row r="262" spans="1:42">
      <c r="A262" s="30">
        <f t="shared" si="1"/>
        <v>261</v>
      </c>
      <c r="B262" s="165"/>
      <c r="C262" s="212">
        <f>YEAR(PA[[#This Row],[Date]])+IF(MONTH(PA[[#This Row],[Date]])&gt;=4,1,0)</f>
        <v>1900</v>
      </c>
      <c r="D262" s="212">
        <f>YEAR(PA[[#This Row],[Date]])</f>
        <v>1900</v>
      </c>
      <c r="E262" s="33" t="s">
        <v>157</v>
      </c>
      <c r="F262" s="33" t="s">
        <v>157</v>
      </c>
      <c r="G262" s="194">
        <f>PA[[#This Row],[Date]]-DAY(PA[[#This Row],[Date]])+1</f>
        <v>1</v>
      </c>
      <c r="H262" s="32">
        <f>DAY(EOMONTH(PA[[#This Row],[Month Year]],0))</f>
        <v>31</v>
      </c>
      <c r="I262" s="34"/>
      <c r="J262" s="34"/>
      <c r="K262" s="35">
        <f>IFERROR((PA[[#This Row],[Sunset Time (POA&lt;20 W/m2)]]-PA[[#This Row],[Sunrise Time (POA&gt;20 W/m2)]])*24,"")</f>
        <v>0</v>
      </c>
      <c r="L262" s="33"/>
      <c r="M262" s="33"/>
      <c r="N262" s="33"/>
      <c r="O262" s="36"/>
      <c r="P262" s="36"/>
      <c r="Q262" s="33"/>
      <c r="R262" s="32">
        <f>IF((PA[[#This Row],[String Type(If String BD)]]&amp;PA[[#This Row],[Equipment (If any BD other than PV  array and inv)]])="",1,0)</f>
        <v>1</v>
      </c>
      <c r="S262" s="32">
        <f>IF(PA[[#This Row],[String Type(If String BD)]]="",1,0)</f>
        <v>1</v>
      </c>
      <c r="T2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2" s="35" t="str">
        <f>IFERROR(_xlfn.XLOOKUP(PA[[#This Row],[Affected Equipment ]],'Basic Data'!N:N,'Basic Data'!Q:Q),"")</f>
        <v/>
      </c>
      <c r="V262" s="207" t="str">
        <f>IFERROR(_xlfn.XLOOKUP(PA[[#This Row],[Affected Equipment ]],'Basic Data'!N:N,'Basic Data'!R:R),"")</f>
        <v/>
      </c>
      <c r="W262" s="36"/>
      <c r="X262" s="40"/>
      <c r="Y262" s="40"/>
      <c r="Z262" s="46"/>
      <c r="AA262" s="46"/>
      <c r="AB262" s="46"/>
      <c r="AC262" s="46"/>
      <c r="AD262" s="44">
        <f>IF(PA[[#This Row],[Acknowledgement Time ]]="NA","",(PA[[#This Row],[Acknowledgement Time ]]-PA[[#This Row],[Fault Time]])*24)</f>
        <v>0</v>
      </c>
      <c r="AE262" s="44">
        <f>IF(PA[[#This Row],[Work Start time on Fault]]="NA","",(PA[[#This Row],[Work Start time on Fault]]-PA[[#This Row],[Fault Time]])*24)</f>
        <v>0</v>
      </c>
      <c r="AF262" s="45">
        <f>IF(PA[[#This Row],[Status]]="Open","",(PA[[#This Row],[Work Completion time on fault]]-PA[[#This Row],[Fault Time]])*24)</f>
        <v>0</v>
      </c>
      <c r="AG262" s="44">
        <f>IFERROR((PA[[#This Row],[Work Completion time on fault]]-PA[[#This Row],[Fault Time]])*24,"")</f>
        <v>0</v>
      </c>
      <c r="AH262" s="36"/>
      <c r="AI262" s="33"/>
      <c r="AJ262" s="35" t="str">
        <f>IFERROR(PA[[#This Row],[Breakdown Time]]*PA[[#This Row],[Plant Equivalent Weightage]],"")</f>
        <v/>
      </c>
      <c r="AK262" s="36"/>
      <c r="AL262" s="51" t="str">
        <f>IFERROR((_xlfn.XLOOKUP($G262,'Modelling New'!D:D,'Modelling New'!$O:$O)*PA[[#This Row],[Lost PoA(kWh/m2)]]*PA[[#This Row],[DC Capacity Affected (kW)]]),"")</f>
        <v/>
      </c>
      <c r="AM262" s="33"/>
      <c r="AN262" s="33"/>
      <c r="AO262" s="33"/>
      <c r="AP262" s="33"/>
    </row>
    <row r="263" spans="1:42">
      <c r="A263" s="30">
        <f t="shared" si="1"/>
        <v>262</v>
      </c>
      <c r="B263" s="165"/>
      <c r="C263" s="211">
        <f>YEAR(PA[[#This Row],[Date]])+IF(MONTH(PA[[#This Row],[Date]])&gt;=4,1,0)</f>
        <v>1900</v>
      </c>
      <c r="D263" s="211">
        <f>YEAR(PA[[#This Row],[Date]])</f>
        <v>1900</v>
      </c>
      <c r="E263" s="33" t="s">
        <v>157</v>
      </c>
      <c r="F263" s="33" t="s">
        <v>157</v>
      </c>
      <c r="G263" s="194">
        <f>PA[[#This Row],[Date]]-DAY(PA[[#This Row],[Date]])+1</f>
        <v>1</v>
      </c>
      <c r="H263" s="202">
        <f>DAY(EOMONTH(PA[[#This Row],[Month Year]],0))</f>
        <v>31</v>
      </c>
      <c r="I263" s="34"/>
      <c r="J263" s="34"/>
      <c r="K263" s="35">
        <f>IFERROR((PA[[#This Row],[Sunset Time (POA&lt;20 W/m2)]]-PA[[#This Row],[Sunrise Time (POA&gt;20 W/m2)]])*24,"")</f>
        <v>0</v>
      </c>
      <c r="L263" s="33"/>
      <c r="M263" s="33"/>
      <c r="N263" s="33"/>
      <c r="O263" s="38"/>
      <c r="P263" s="38"/>
      <c r="Q263" s="37"/>
      <c r="R263" s="202">
        <f>IF((PA[[#This Row],[String Type(If String BD)]]&amp;PA[[#This Row],[Equipment (If any BD other than PV  array and inv)]])="",1,0)</f>
        <v>1</v>
      </c>
      <c r="S263" s="202">
        <f>IF(PA[[#This Row],[String Type(If String BD)]]="",1,0)</f>
        <v>1</v>
      </c>
      <c r="T26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3" s="204" t="str">
        <f>IFERROR(_xlfn.XLOOKUP(PA[[#This Row],[Affected Equipment ]],'Basic Data'!N:N,'Basic Data'!Q:Q),"")</f>
        <v/>
      </c>
      <c r="V263" s="208" t="str">
        <f>IFERROR(_xlfn.XLOOKUP(PA[[#This Row],[Affected Equipment ]],'Basic Data'!N:N,'Basic Data'!R:R),"")</f>
        <v/>
      </c>
      <c r="W263" s="38"/>
      <c r="X263" s="41"/>
      <c r="Y263" s="41"/>
      <c r="Z263" s="46"/>
      <c r="AA263" s="46"/>
      <c r="AB263" s="46"/>
      <c r="AC263" s="46"/>
      <c r="AD263" s="205">
        <f>IF(PA[[#This Row],[Acknowledgement Time ]]="NA","",(PA[[#This Row],[Acknowledgement Time ]]-PA[[#This Row],[Fault Time]])*24)</f>
        <v>0</v>
      </c>
      <c r="AE263" s="205">
        <f>IF(PA[[#This Row],[Work Start time on Fault]]="NA","",(PA[[#This Row],[Work Start time on Fault]]-PA[[#This Row],[Fault Time]])*24)</f>
        <v>0</v>
      </c>
      <c r="AF263" s="206">
        <f>IF(PA[[#This Row],[Status]]="Open","",(PA[[#This Row],[Work Completion time on fault]]-PA[[#This Row],[Fault Time]])*24)</f>
        <v>0</v>
      </c>
      <c r="AG263" s="205">
        <f>IFERROR((PA[[#This Row],[Work Completion time on fault]]-PA[[#This Row],[Fault Time]])*24,"")</f>
        <v>0</v>
      </c>
      <c r="AH263" s="36"/>
      <c r="AI263" s="33"/>
      <c r="AJ263" s="204" t="str">
        <f>IFERROR(PA[[#This Row],[Breakdown Time]]*PA[[#This Row],[Plant Equivalent Weightage]],"")</f>
        <v/>
      </c>
      <c r="AK263" s="38"/>
      <c r="AL263" s="51" t="str">
        <f>IFERROR((_xlfn.XLOOKUP($G263,'Modelling New'!D:D,'Modelling New'!$O:$O)*PA[[#This Row],[Lost PoA(kWh/m2)]]*PA[[#This Row],[DC Capacity Affected (kW)]]),"")</f>
        <v/>
      </c>
      <c r="AM263" s="33"/>
      <c r="AN263" s="33"/>
      <c r="AO263" s="33"/>
      <c r="AP263" s="33"/>
    </row>
    <row r="264" spans="1:42">
      <c r="A264" s="30">
        <f t="shared" si="1"/>
        <v>263</v>
      </c>
      <c r="B264" s="165"/>
      <c r="C264" s="212">
        <f>YEAR(PA[[#This Row],[Date]])+IF(MONTH(PA[[#This Row],[Date]])&gt;=4,1,0)</f>
        <v>1900</v>
      </c>
      <c r="D264" s="212">
        <f>YEAR(PA[[#This Row],[Date]])</f>
        <v>1900</v>
      </c>
      <c r="E264" s="33" t="s">
        <v>157</v>
      </c>
      <c r="F264" s="33" t="s">
        <v>157</v>
      </c>
      <c r="G264" s="194">
        <f>PA[[#This Row],[Date]]-DAY(PA[[#This Row],[Date]])+1</f>
        <v>1</v>
      </c>
      <c r="H264" s="32">
        <f>DAY(EOMONTH(PA[[#This Row],[Month Year]],0))</f>
        <v>31</v>
      </c>
      <c r="I264" s="34"/>
      <c r="J264" s="34"/>
      <c r="K264" s="35">
        <f>IFERROR((PA[[#This Row],[Sunset Time (POA&lt;20 W/m2)]]-PA[[#This Row],[Sunrise Time (POA&gt;20 W/m2)]])*24,"")</f>
        <v>0</v>
      </c>
      <c r="L264" s="33"/>
      <c r="M264" s="37"/>
      <c r="N264" s="33"/>
      <c r="O264" s="36"/>
      <c r="P264" s="36"/>
      <c r="Q264" s="33"/>
      <c r="R264" s="32">
        <f>IF((PA[[#This Row],[String Type(If String BD)]]&amp;PA[[#This Row],[Equipment (If any BD other than PV  array and inv)]])="",1,0)</f>
        <v>1</v>
      </c>
      <c r="S264" s="32">
        <f>IF(PA[[#This Row],[String Type(If String BD)]]="",1,0)</f>
        <v>1</v>
      </c>
      <c r="T2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4" s="35" t="str">
        <f>IFERROR(_xlfn.XLOOKUP(PA[[#This Row],[Affected Equipment ]],'Basic Data'!N:N,'Basic Data'!Q:Q),"")</f>
        <v/>
      </c>
      <c r="V264" s="207" t="str">
        <f>IFERROR(_xlfn.XLOOKUP(PA[[#This Row],[Affected Equipment ]],'Basic Data'!N:N,'Basic Data'!R:R),"")</f>
        <v/>
      </c>
      <c r="W264" s="36"/>
      <c r="X264" s="40"/>
      <c r="Y264" s="41"/>
      <c r="Z264" s="46"/>
      <c r="AA264" s="46"/>
      <c r="AB264" s="46"/>
      <c r="AC264" s="46"/>
      <c r="AD264" s="44">
        <f>IF(PA[[#This Row],[Acknowledgement Time ]]="NA","",(PA[[#This Row],[Acknowledgement Time ]]-PA[[#This Row],[Fault Time]])*24)</f>
        <v>0</v>
      </c>
      <c r="AE264" s="44">
        <f>IF(PA[[#This Row],[Work Start time on Fault]]="NA","",(PA[[#This Row],[Work Start time on Fault]]-PA[[#This Row],[Fault Time]])*24)</f>
        <v>0</v>
      </c>
      <c r="AF264" s="45">
        <f>IF(PA[[#This Row],[Status]]="Open","",(PA[[#This Row],[Work Completion time on fault]]-PA[[#This Row],[Fault Time]])*24)</f>
        <v>0</v>
      </c>
      <c r="AG264" s="44">
        <f>IFERROR((PA[[#This Row],[Work Completion time on fault]]-PA[[#This Row],[Fault Time]])*24,"")</f>
        <v>0</v>
      </c>
      <c r="AH264" s="36"/>
      <c r="AI264" s="33"/>
      <c r="AJ264" s="35" t="str">
        <f>IFERROR(PA[[#This Row],[Breakdown Time]]*PA[[#This Row],[Plant Equivalent Weightage]],"")</f>
        <v/>
      </c>
      <c r="AK264" s="36"/>
      <c r="AL264" s="51" t="str">
        <f>IFERROR((_xlfn.XLOOKUP($G264,'Modelling New'!D:D,'Modelling New'!$O:$O)*PA[[#This Row],[Lost PoA(kWh/m2)]]*PA[[#This Row],[DC Capacity Affected (kW)]]),"")</f>
        <v/>
      </c>
      <c r="AM264" s="33"/>
      <c r="AN264" s="33"/>
      <c r="AO264" s="33"/>
      <c r="AP264" s="33"/>
    </row>
    <row r="265" spans="1:42">
      <c r="A265" s="30">
        <f t="shared" si="1"/>
        <v>264</v>
      </c>
      <c r="B265" s="165"/>
      <c r="C265" s="212">
        <f>YEAR(PA[[#This Row],[Date]])+IF(MONTH(PA[[#This Row],[Date]])&gt;=4,1,0)</f>
        <v>1900</v>
      </c>
      <c r="D265" s="212">
        <f>YEAR(PA[[#This Row],[Date]])</f>
        <v>1900</v>
      </c>
      <c r="E265" s="33" t="s">
        <v>157</v>
      </c>
      <c r="F265" s="33" t="s">
        <v>157</v>
      </c>
      <c r="G265" s="194">
        <f>PA[[#This Row],[Date]]-DAY(PA[[#This Row],[Date]])+1</f>
        <v>1</v>
      </c>
      <c r="H265" s="32">
        <f>DAY(EOMONTH(PA[[#This Row],[Month Year]],0))</f>
        <v>31</v>
      </c>
      <c r="I265" s="34"/>
      <c r="J265" s="34"/>
      <c r="K265" s="35">
        <f>IFERROR((PA[[#This Row],[Sunset Time (POA&lt;20 W/m2)]]-PA[[#This Row],[Sunrise Time (POA&gt;20 W/m2)]])*24,"")</f>
        <v>0</v>
      </c>
      <c r="L265" s="33"/>
      <c r="M265" s="33"/>
      <c r="N265" s="33"/>
      <c r="O265" s="36"/>
      <c r="P265" s="36"/>
      <c r="Q265" s="33"/>
      <c r="R265" s="32">
        <f>IF((PA[[#This Row],[String Type(If String BD)]]&amp;PA[[#This Row],[Equipment (If any BD other than PV  array and inv)]])="",1,0)</f>
        <v>1</v>
      </c>
      <c r="S265" s="32">
        <f>IF(PA[[#This Row],[String Type(If String BD)]]="",1,0)</f>
        <v>1</v>
      </c>
      <c r="T2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5" s="35" t="str">
        <f>IFERROR(_xlfn.XLOOKUP(PA[[#This Row],[Affected Equipment ]],'Basic Data'!N:N,'Basic Data'!Q:Q),"")</f>
        <v/>
      </c>
      <c r="V265" s="207" t="str">
        <f>IFERROR(_xlfn.XLOOKUP(PA[[#This Row],[Affected Equipment ]],'Basic Data'!N:N,'Basic Data'!R:R),"")</f>
        <v/>
      </c>
      <c r="W265" s="36"/>
      <c r="X265" s="40"/>
      <c r="Y265" s="41"/>
      <c r="Z265" s="46"/>
      <c r="AA265" s="46"/>
      <c r="AB265" s="46"/>
      <c r="AC265" s="46"/>
      <c r="AD265" s="44">
        <f>IF(PA[[#This Row],[Acknowledgement Time ]]="NA","",(PA[[#This Row],[Acknowledgement Time ]]-PA[[#This Row],[Fault Time]])*24)</f>
        <v>0</v>
      </c>
      <c r="AE265" s="44">
        <f>IF(PA[[#This Row],[Work Start time on Fault]]="NA","",(PA[[#This Row],[Work Start time on Fault]]-PA[[#This Row],[Fault Time]])*24)</f>
        <v>0</v>
      </c>
      <c r="AF265" s="45">
        <f>IF(PA[[#This Row],[Status]]="Open","",(PA[[#This Row],[Work Completion time on fault]]-PA[[#This Row],[Fault Time]])*24)</f>
        <v>0</v>
      </c>
      <c r="AG265" s="44">
        <f>IFERROR((PA[[#This Row],[Work Completion time on fault]]-PA[[#This Row],[Fault Time]])*24,"")</f>
        <v>0</v>
      </c>
      <c r="AH265" s="36"/>
      <c r="AI265" s="33"/>
      <c r="AJ265" s="35" t="str">
        <f>IFERROR(PA[[#This Row],[Breakdown Time]]*PA[[#This Row],[Plant Equivalent Weightage]],"")</f>
        <v/>
      </c>
      <c r="AK265" s="36"/>
      <c r="AL265" s="51" t="str">
        <f>IFERROR((_xlfn.XLOOKUP($G265,'Modelling New'!D:D,'Modelling New'!$O:$O)*PA[[#This Row],[Lost PoA(kWh/m2)]]*PA[[#This Row],[DC Capacity Affected (kW)]]),"")</f>
        <v/>
      </c>
      <c r="AM265" s="33"/>
      <c r="AN265" s="33"/>
      <c r="AO265" s="33"/>
      <c r="AP265" s="33"/>
    </row>
    <row r="266" spans="1:42">
      <c r="A266" s="30">
        <f t="shared" si="1"/>
        <v>265</v>
      </c>
      <c r="B266" s="165"/>
      <c r="C266" s="212">
        <f>YEAR(PA[[#This Row],[Date]])+IF(MONTH(PA[[#This Row],[Date]])&gt;=4,1,0)</f>
        <v>1900</v>
      </c>
      <c r="D266" s="212">
        <f>YEAR(PA[[#This Row],[Date]])</f>
        <v>1900</v>
      </c>
      <c r="E266" s="33" t="s">
        <v>157</v>
      </c>
      <c r="F266" s="33" t="s">
        <v>157</v>
      </c>
      <c r="G266" s="194">
        <f>PA[[#This Row],[Date]]-DAY(PA[[#This Row],[Date]])+1</f>
        <v>1</v>
      </c>
      <c r="H266" s="32">
        <f>DAY(EOMONTH(PA[[#This Row],[Month Year]],0))</f>
        <v>31</v>
      </c>
      <c r="I266" s="34"/>
      <c r="J266" s="34"/>
      <c r="K266" s="35">
        <f>IFERROR((PA[[#This Row],[Sunset Time (POA&lt;20 W/m2)]]-PA[[#This Row],[Sunrise Time (POA&gt;20 W/m2)]])*24,"")</f>
        <v>0</v>
      </c>
      <c r="L266" s="33"/>
      <c r="M266" s="33"/>
      <c r="N266" s="33"/>
      <c r="O266" s="36"/>
      <c r="P266" s="36"/>
      <c r="Q266" s="33"/>
      <c r="R266" s="32">
        <f>IF((PA[[#This Row],[String Type(If String BD)]]&amp;PA[[#This Row],[Equipment (If any BD other than PV  array and inv)]])="",1,0)</f>
        <v>1</v>
      </c>
      <c r="S266" s="32">
        <f>IF(PA[[#This Row],[String Type(If String BD)]]="",1,0)</f>
        <v>1</v>
      </c>
      <c r="T2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6" s="35" t="str">
        <f>IFERROR(_xlfn.XLOOKUP(PA[[#This Row],[Affected Equipment ]],'Basic Data'!N:N,'Basic Data'!Q:Q),"")</f>
        <v/>
      </c>
      <c r="V266" s="207" t="str">
        <f>IFERROR(_xlfn.XLOOKUP(PA[[#This Row],[Affected Equipment ]],'Basic Data'!N:N,'Basic Data'!R:R),"")</f>
        <v/>
      </c>
      <c r="W266" s="36"/>
      <c r="X266" s="40"/>
      <c r="Y266" s="40"/>
      <c r="Z266" s="46"/>
      <c r="AA266" s="46"/>
      <c r="AB266" s="46"/>
      <c r="AC266" s="46"/>
      <c r="AD266" s="44">
        <f>IF(PA[[#This Row],[Acknowledgement Time ]]="NA","",(PA[[#This Row],[Acknowledgement Time ]]-PA[[#This Row],[Fault Time]])*24)</f>
        <v>0</v>
      </c>
      <c r="AE266" s="44">
        <f>IF(PA[[#This Row],[Work Start time on Fault]]="NA","",(PA[[#This Row],[Work Start time on Fault]]-PA[[#This Row],[Fault Time]])*24)</f>
        <v>0</v>
      </c>
      <c r="AF266" s="45">
        <f>IF(PA[[#This Row],[Status]]="Open","",(PA[[#This Row],[Work Completion time on fault]]-PA[[#This Row],[Fault Time]])*24)</f>
        <v>0</v>
      </c>
      <c r="AG266" s="44">
        <f>IFERROR((PA[[#This Row],[Work Completion time on fault]]-PA[[#This Row],[Fault Time]])*24,"")</f>
        <v>0</v>
      </c>
      <c r="AH266" s="282"/>
      <c r="AI266" s="33"/>
      <c r="AJ266" s="35" t="str">
        <f>IFERROR(PA[[#This Row],[Breakdown Time]]*PA[[#This Row],[Plant Equivalent Weightage]],"")</f>
        <v/>
      </c>
      <c r="AK266" s="36"/>
      <c r="AL266" s="51" t="str">
        <f>IFERROR((_xlfn.XLOOKUP($G266,'Modelling New'!D:D,'Modelling New'!$O:$O)*PA[[#This Row],[Lost PoA(kWh/m2)]]*PA[[#This Row],[DC Capacity Affected (kW)]]),"")</f>
        <v/>
      </c>
      <c r="AM266" s="33"/>
      <c r="AN266" s="33"/>
      <c r="AO266" s="33"/>
      <c r="AP266" s="33"/>
    </row>
    <row r="267" spans="1:42">
      <c r="A267" s="30">
        <f t="shared" si="1"/>
        <v>266</v>
      </c>
      <c r="B267" s="165"/>
      <c r="C267" s="212">
        <f>YEAR(PA[[#This Row],[Date]])+IF(MONTH(PA[[#This Row],[Date]])&gt;=4,1,0)</f>
        <v>1900</v>
      </c>
      <c r="D267" s="212">
        <f>YEAR(PA[[#This Row],[Date]])</f>
        <v>1900</v>
      </c>
      <c r="E267" s="33" t="s">
        <v>157</v>
      </c>
      <c r="F267" s="33" t="s">
        <v>157</v>
      </c>
      <c r="G267" s="194">
        <f>PA[[#This Row],[Date]]-DAY(PA[[#This Row],[Date]])+1</f>
        <v>1</v>
      </c>
      <c r="H267" s="32">
        <f>DAY(EOMONTH(PA[[#This Row],[Month Year]],0))</f>
        <v>31</v>
      </c>
      <c r="I267" s="34"/>
      <c r="J267" s="34"/>
      <c r="K267" s="35">
        <f>IFERROR((PA[[#This Row],[Sunset Time (POA&lt;20 W/m2)]]-PA[[#This Row],[Sunrise Time (POA&gt;20 W/m2)]])*24,"")</f>
        <v>0</v>
      </c>
      <c r="L267" s="33"/>
      <c r="M267" s="33"/>
      <c r="N267" s="33"/>
      <c r="O267" s="36"/>
      <c r="P267" s="36"/>
      <c r="Q267" s="33"/>
      <c r="R267" s="32">
        <f>IF((PA[[#This Row],[String Type(If String BD)]]&amp;PA[[#This Row],[Equipment (If any BD other than PV  array and inv)]])="",1,0)</f>
        <v>1</v>
      </c>
      <c r="S267" s="32">
        <f>IF(PA[[#This Row],[String Type(If String BD)]]="",1,0)</f>
        <v>1</v>
      </c>
      <c r="T2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7" s="35" t="str">
        <f>IFERROR(_xlfn.XLOOKUP(PA[[#This Row],[Affected Equipment ]],'Basic Data'!N:N,'Basic Data'!Q:Q),"")</f>
        <v/>
      </c>
      <c r="V267" s="207" t="str">
        <f>IFERROR(_xlfn.XLOOKUP(PA[[#This Row],[Affected Equipment ]],'Basic Data'!N:N,'Basic Data'!R:R),"")</f>
        <v/>
      </c>
      <c r="W267" s="36"/>
      <c r="X267" s="40"/>
      <c r="Y267" s="41"/>
      <c r="Z267" s="46"/>
      <c r="AA267" s="46"/>
      <c r="AB267" s="46"/>
      <c r="AC267" s="46"/>
      <c r="AD267" s="44">
        <f>IF(PA[[#This Row],[Acknowledgement Time ]]="NA","",(PA[[#This Row],[Acknowledgement Time ]]-PA[[#This Row],[Fault Time]])*24)</f>
        <v>0</v>
      </c>
      <c r="AE267" s="44">
        <f>IF(PA[[#This Row],[Work Start time on Fault]]="NA","",(PA[[#This Row],[Work Start time on Fault]]-PA[[#This Row],[Fault Time]])*24)</f>
        <v>0</v>
      </c>
      <c r="AF267" s="45">
        <f>IF(PA[[#This Row],[Status]]="Open","",(PA[[#This Row],[Work Completion time on fault]]-PA[[#This Row],[Fault Time]])*24)</f>
        <v>0</v>
      </c>
      <c r="AG267" s="44">
        <f>IFERROR((PA[[#This Row],[Work Completion time on fault]]-PA[[#This Row],[Fault Time]])*24,"")</f>
        <v>0</v>
      </c>
      <c r="AH267" s="36"/>
      <c r="AI267" s="33"/>
      <c r="AJ267" s="35" t="str">
        <f>IFERROR(PA[[#This Row],[Breakdown Time]]*PA[[#This Row],[Plant Equivalent Weightage]],"")</f>
        <v/>
      </c>
      <c r="AK267" s="36"/>
      <c r="AL267" s="51" t="str">
        <f>IFERROR((_xlfn.XLOOKUP($G267,'Modelling New'!D:D,'Modelling New'!$O:$O)*PA[[#This Row],[Lost PoA(kWh/m2)]]*PA[[#This Row],[DC Capacity Affected (kW)]]),"")</f>
        <v/>
      </c>
      <c r="AM267" s="33"/>
      <c r="AN267" s="33"/>
      <c r="AO267" s="33"/>
      <c r="AP267" s="33"/>
    </row>
    <row r="268" spans="1:42">
      <c r="A268" s="30">
        <f t="shared" si="1"/>
        <v>267</v>
      </c>
      <c r="B268" s="165"/>
      <c r="C268" s="212">
        <f>YEAR(PA[[#This Row],[Date]])+IF(MONTH(PA[[#This Row],[Date]])&gt;=4,1,0)</f>
        <v>1900</v>
      </c>
      <c r="D268" s="212">
        <f>YEAR(PA[[#This Row],[Date]])</f>
        <v>1900</v>
      </c>
      <c r="E268" s="33" t="s">
        <v>157</v>
      </c>
      <c r="F268" s="33" t="s">
        <v>157</v>
      </c>
      <c r="G268" s="194">
        <f>PA[[#This Row],[Date]]-DAY(PA[[#This Row],[Date]])+1</f>
        <v>1</v>
      </c>
      <c r="H268" s="32">
        <f>DAY(EOMONTH(PA[[#This Row],[Month Year]],0))</f>
        <v>31</v>
      </c>
      <c r="I268" s="34"/>
      <c r="J268" s="34"/>
      <c r="K268" s="35">
        <f>IFERROR((PA[[#This Row],[Sunset Time (POA&lt;20 W/m2)]]-PA[[#This Row],[Sunrise Time (POA&gt;20 W/m2)]])*24,"")</f>
        <v>0</v>
      </c>
      <c r="L268" s="33"/>
      <c r="M268" s="33"/>
      <c r="N268" s="33"/>
      <c r="O268" s="36"/>
      <c r="P268" s="36"/>
      <c r="Q268" s="33"/>
      <c r="R268" s="32">
        <f>IF((PA[[#This Row],[String Type(If String BD)]]&amp;PA[[#This Row],[Equipment (If any BD other than PV  array and inv)]])="",1,0)</f>
        <v>1</v>
      </c>
      <c r="S268" s="32">
        <f>IF(PA[[#This Row],[String Type(If String BD)]]="",1,0)</f>
        <v>1</v>
      </c>
      <c r="T2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8" s="35" t="str">
        <f>IFERROR(_xlfn.XLOOKUP(PA[[#This Row],[Affected Equipment ]],'Basic Data'!N:N,'Basic Data'!Q:Q),"")</f>
        <v/>
      </c>
      <c r="V268" s="207" t="str">
        <f>IFERROR(_xlfn.XLOOKUP(PA[[#This Row],[Affected Equipment ]],'Basic Data'!N:N,'Basic Data'!R:R),"")</f>
        <v/>
      </c>
      <c r="W268" s="36"/>
      <c r="X268" s="40"/>
      <c r="Y268" s="41"/>
      <c r="Z268" s="46"/>
      <c r="AA268" s="46"/>
      <c r="AB268" s="46"/>
      <c r="AC268" s="46"/>
      <c r="AD268" s="44">
        <f>IF(PA[[#This Row],[Acknowledgement Time ]]="NA","",(PA[[#This Row],[Acknowledgement Time ]]-PA[[#This Row],[Fault Time]])*24)</f>
        <v>0</v>
      </c>
      <c r="AE268" s="44">
        <f>IF(PA[[#This Row],[Work Start time on Fault]]="NA","",(PA[[#This Row],[Work Start time on Fault]]-PA[[#This Row],[Fault Time]])*24)</f>
        <v>0</v>
      </c>
      <c r="AF268" s="45">
        <f>IF(PA[[#This Row],[Status]]="Open","",(PA[[#This Row],[Work Completion time on fault]]-PA[[#This Row],[Fault Time]])*24)</f>
        <v>0</v>
      </c>
      <c r="AG268" s="44">
        <f>IFERROR((PA[[#This Row],[Work Completion time on fault]]-PA[[#This Row],[Fault Time]])*24,"")</f>
        <v>0</v>
      </c>
      <c r="AH268" s="36"/>
      <c r="AI268" s="33"/>
      <c r="AJ268" s="35" t="str">
        <f>IFERROR(PA[[#This Row],[Breakdown Time]]*PA[[#This Row],[Plant Equivalent Weightage]],"")</f>
        <v/>
      </c>
      <c r="AK268" s="36"/>
      <c r="AL268" s="51" t="str">
        <f>IFERROR((_xlfn.XLOOKUP($G268,'Modelling New'!D:D,'Modelling New'!$O:$O)*PA[[#This Row],[Lost PoA(kWh/m2)]]*PA[[#This Row],[DC Capacity Affected (kW)]]),"")</f>
        <v/>
      </c>
      <c r="AM268" s="33"/>
      <c r="AN268" s="33"/>
      <c r="AO268" s="33"/>
      <c r="AP268" s="33"/>
    </row>
    <row r="269" spans="1:42">
      <c r="A269" s="30">
        <f t="shared" si="1"/>
        <v>268</v>
      </c>
      <c r="B269" s="165"/>
      <c r="C269" s="212">
        <f>YEAR(PA[[#This Row],[Date]])+IF(MONTH(PA[[#This Row],[Date]])&gt;=4,1,0)</f>
        <v>1900</v>
      </c>
      <c r="D269" s="212">
        <f>YEAR(PA[[#This Row],[Date]])</f>
        <v>1900</v>
      </c>
      <c r="E269" s="33" t="s">
        <v>157</v>
      </c>
      <c r="F269" s="33" t="s">
        <v>157</v>
      </c>
      <c r="G269" s="194">
        <f>PA[[#This Row],[Date]]-DAY(PA[[#This Row],[Date]])+1</f>
        <v>1</v>
      </c>
      <c r="H269" s="32">
        <f>DAY(EOMONTH(PA[[#This Row],[Month Year]],0))</f>
        <v>31</v>
      </c>
      <c r="I269" s="34"/>
      <c r="J269" s="34"/>
      <c r="K269" s="35">
        <f>IFERROR((PA[[#This Row],[Sunset Time (POA&lt;20 W/m2)]]-PA[[#This Row],[Sunrise Time (POA&gt;20 W/m2)]])*24,"")</f>
        <v>0</v>
      </c>
      <c r="L269" s="37"/>
      <c r="M269" s="37"/>
      <c r="N269" s="33"/>
      <c r="O269" s="36"/>
      <c r="P269" s="36"/>
      <c r="Q269" s="33"/>
      <c r="R269" s="32">
        <f>IF((PA[[#This Row],[String Type(If String BD)]]&amp;PA[[#This Row],[Equipment (If any BD other than PV  array and inv)]])="",1,0)</f>
        <v>1</v>
      </c>
      <c r="S269" s="32">
        <f>IF(PA[[#This Row],[String Type(If String BD)]]="",1,0)</f>
        <v>1</v>
      </c>
      <c r="T26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69" s="35" t="str">
        <f>IFERROR(_xlfn.XLOOKUP(PA[[#This Row],[Affected Equipment ]],'Basic Data'!N:N,'Basic Data'!Q:Q),"")</f>
        <v/>
      </c>
      <c r="V269" s="207" t="str">
        <f>IFERROR(_xlfn.XLOOKUP(PA[[#This Row],[Affected Equipment ]],'Basic Data'!N:N,'Basic Data'!R:R),"")</f>
        <v/>
      </c>
      <c r="W269" s="36"/>
      <c r="X269" s="40"/>
      <c r="Y269" s="41"/>
      <c r="Z269" s="46"/>
      <c r="AA269" s="46"/>
      <c r="AB269" s="46"/>
      <c r="AC269" s="46"/>
      <c r="AD269" s="44">
        <f>IF(PA[[#This Row],[Acknowledgement Time ]]="NA","",(PA[[#This Row],[Acknowledgement Time ]]-PA[[#This Row],[Fault Time]])*24)</f>
        <v>0</v>
      </c>
      <c r="AE269" s="44">
        <f>IF(PA[[#This Row],[Work Start time on Fault]]="NA","",(PA[[#This Row],[Work Start time on Fault]]-PA[[#This Row],[Fault Time]])*24)</f>
        <v>0</v>
      </c>
      <c r="AF269" s="45">
        <f>IF(PA[[#This Row],[Status]]="Open","",(PA[[#This Row],[Work Completion time on fault]]-PA[[#This Row],[Fault Time]])*24)</f>
        <v>0</v>
      </c>
      <c r="AG269" s="44">
        <f>IFERROR((PA[[#This Row],[Work Completion time on fault]]-PA[[#This Row],[Fault Time]])*24,"")</f>
        <v>0</v>
      </c>
      <c r="AH269" s="36"/>
      <c r="AI269" s="33"/>
      <c r="AJ269" s="35" t="str">
        <f>IFERROR(PA[[#This Row],[Breakdown Time]]*PA[[#This Row],[Plant Equivalent Weightage]],"")</f>
        <v/>
      </c>
      <c r="AK269" s="36"/>
      <c r="AL269" s="51" t="str">
        <f>IFERROR((_xlfn.XLOOKUP($G269,'Modelling New'!D:D,'Modelling New'!$O:$O)*PA[[#This Row],[Lost PoA(kWh/m2)]]*PA[[#This Row],[DC Capacity Affected (kW)]]),"")</f>
        <v/>
      </c>
      <c r="AM269" s="33"/>
      <c r="AN269" s="33"/>
      <c r="AO269" s="33"/>
      <c r="AP269" s="33"/>
    </row>
    <row r="270" spans="1:42">
      <c r="A270" s="30">
        <f t="shared" si="1"/>
        <v>269</v>
      </c>
      <c r="B270" s="165"/>
      <c r="C270" s="212">
        <f>YEAR(PA[[#This Row],[Date]])+IF(MONTH(PA[[#This Row],[Date]])&gt;=4,1,0)</f>
        <v>1900</v>
      </c>
      <c r="D270" s="212">
        <f>YEAR(PA[[#This Row],[Date]])</f>
        <v>1900</v>
      </c>
      <c r="E270" s="33" t="s">
        <v>157</v>
      </c>
      <c r="F270" s="33" t="s">
        <v>157</v>
      </c>
      <c r="G270" s="194">
        <f>PA[[#This Row],[Date]]-DAY(PA[[#This Row],[Date]])+1</f>
        <v>1</v>
      </c>
      <c r="H270" s="32">
        <f>DAY(EOMONTH(PA[[#This Row],[Month Year]],0))</f>
        <v>31</v>
      </c>
      <c r="I270" s="34"/>
      <c r="J270" s="34"/>
      <c r="K270" s="35">
        <f>IFERROR((PA[[#This Row],[Sunset Time (POA&lt;20 W/m2)]]-PA[[#This Row],[Sunrise Time (POA&gt;20 W/m2)]])*24,"")</f>
        <v>0</v>
      </c>
      <c r="L270" s="33"/>
      <c r="M270" s="37"/>
      <c r="N270" s="33"/>
      <c r="O270" s="36"/>
      <c r="P270" s="36"/>
      <c r="Q270" s="33"/>
      <c r="R270" s="32">
        <f>IF((PA[[#This Row],[String Type(If String BD)]]&amp;PA[[#This Row],[Equipment (If any BD other than PV  array and inv)]])="",1,0)</f>
        <v>1</v>
      </c>
      <c r="S270" s="32">
        <f>IF(PA[[#This Row],[String Type(If String BD)]]="",1,0)</f>
        <v>1</v>
      </c>
      <c r="T2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0" s="35" t="str">
        <f>IFERROR(_xlfn.XLOOKUP(PA[[#This Row],[Affected Equipment ]],'Basic Data'!N:N,'Basic Data'!Q:Q),"")</f>
        <v/>
      </c>
      <c r="V270" s="207" t="str">
        <f>IFERROR(_xlfn.XLOOKUP(PA[[#This Row],[Affected Equipment ]],'Basic Data'!N:N,'Basic Data'!R:R),"")</f>
        <v/>
      </c>
      <c r="W270" s="36"/>
      <c r="X270" s="40"/>
      <c r="Y270" s="41"/>
      <c r="Z270" s="46"/>
      <c r="AA270" s="46"/>
      <c r="AB270" s="46"/>
      <c r="AC270" s="46"/>
      <c r="AD270" s="44">
        <f>IF(PA[[#This Row],[Acknowledgement Time ]]="NA","",(PA[[#This Row],[Acknowledgement Time ]]-PA[[#This Row],[Fault Time]])*24)</f>
        <v>0</v>
      </c>
      <c r="AE270" s="44">
        <f>IF(PA[[#This Row],[Work Start time on Fault]]="NA","",(PA[[#This Row],[Work Start time on Fault]]-PA[[#This Row],[Fault Time]])*24)</f>
        <v>0</v>
      </c>
      <c r="AF270" s="45">
        <f>IF(PA[[#This Row],[Status]]="Open","",(PA[[#This Row],[Work Completion time on fault]]-PA[[#This Row],[Fault Time]])*24)</f>
        <v>0</v>
      </c>
      <c r="AG270" s="44">
        <f>IFERROR((PA[[#This Row],[Work Completion time on fault]]-PA[[#This Row],[Fault Time]])*24,"")</f>
        <v>0</v>
      </c>
      <c r="AH270" s="36"/>
      <c r="AI270" s="33"/>
      <c r="AJ270" s="35" t="str">
        <f>IFERROR(PA[[#This Row],[Breakdown Time]]*PA[[#This Row],[Plant Equivalent Weightage]],"")</f>
        <v/>
      </c>
      <c r="AK270" s="36"/>
      <c r="AL270" s="51" t="str">
        <f>IFERROR((_xlfn.XLOOKUP($G270,'Modelling New'!D:D,'Modelling New'!$O:$O)*PA[[#This Row],[Lost PoA(kWh/m2)]]*PA[[#This Row],[DC Capacity Affected (kW)]]),"")</f>
        <v/>
      </c>
      <c r="AM270" s="33"/>
      <c r="AN270" s="33"/>
      <c r="AO270" s="33"/>
      <c r="AP270" s="33"/>
    </row>
    <row r="271" spans="1:42">
      <c r="A271" s="30">
        <f t="shared" si="1"/>
        <v>270</v>
      </c>
      <c r="B271" s="165"/>
      <c r="C271" s="212">
        <f>YEAR(PA[[#This Row],[Date]])+IF(MONTH(PA[[#This Row],[Date]])&gt;=4,1,0)</f>
        <v>1900</v>
      </c>
      <c r="D271" s="212">
        <f>YEAR(PA[[#This Row],[Date]])</f>
        <v>1900</v>
      </c>
      <c r="E271" s="33" t="s">
        <v>157</v>
      </c>
      <c r="F271" s="33" t="s">
        <v>157</v>
      </c>
      <c r="G271" s="194">
        <f>PA[[#This Row],[Date]]-DAY(PA[[#This Row],[Date]])+1</f>
        <v>1</v>
      </c>
      <c r="H271" s="32">
        <f>DAY(EOMONTH(PA[[#This Row],[Month Year]],0))</f>
        <v>31</v>
      </c>
      <c r="I271" s="34"/>
      <c r="J271" s="34"/>
      <c r="K271" s="35">
        <f>IFERROR((PA[[#This Row],[Sunset Time (POA&lt;20 W/m2)]]-PA[[#This Row],[Sunrise Time (POA&gt;20 W/m2)]])*24,"")</f>
        <v>0</v>
      </c>
      <c r="L271" s="33"/>
      <c r="M271" s="33"/>
      <c r="N271" s="33"/>
      <c r="O271" s="36"/>
      <c r="P271" s="36"/>
      <c r="Q271" s="33"/>
      <c r="R271" s="32">
        <f>IF((PA[[#This Row],[String Type(If String BD)]]&amp;PA[[#This Row],[Equipment (If any BD other than PV  array and inv)]])="",1,0)</f>
        <v>1</v>
      </c>
      <c r="S271" s="32">
        <f>IF(PA[[#This Row],[String Type(If String BD)]]="",1,0)</f>
        <v>1</v>
      </c>
      <c r="T2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1" s="35" t="str">
        <f>IFERROR(_xlfn.XLOOKUP(PA[[#This Row],[Affected Equipment ]],'Basic Data'!N:N,'Basic Data'!Q:Q),"")</f>
        <v/>
      </c>
      <c r="V271" s="207" t="str">
        <f>IFERROR(_xlfn.XLOOKUP(PA[[#This Row],[Affected Equipment ]],'Basic Data'!N:N,'Basic Data'!R:R),"")</f>
        <v/>
      </c>
      <c r="W271" s="36"/>
      <c r="X271" s="40"/>
      <c r="Y271" s="41"/>
      <c r="Z271" s="46"/>
      <c r="AA271" s="46"/>
      <c r="AB271" s="46"/>
      <c r="AC271" s="46"/>
      <c r="AD271" s="44">
        <f>IF(PA[[#This Row],[Acknowledgement Time ]]="NA","",(PA[[#This Row],[Acknowledgement Time ]]-PA[[#This Row],[Fault Time]])*24)</f>
        <v>0</v>
      </c>
      <c r="AE271" s="44">
        <f>IF(PA[[#This Row],[Work Start time on Fault]]="NA","",(PA[[#This Row],[Work Start time on Fault]]-PA[[#This Row],[Fault Time]])*24)</f>
        <v>0</v>
      </c>
      <c r="AF271" s="45">
        <f>IF(PA[[#This Row],[Status]]="Open","",(PA[[#This Row],[Work Completion time on fault]]-PA[[#This Row],[Fault Time]])*24)</f>
        <v>0</v>
      </c>
      <c r="AG271" s="44">
        <f>IFERROR((PA[[#This Row],[Work Completion time on fault]]-PA[[#This Row],[Fault Time]])*24,"")</f>
        <v>0</v>
      </c>
      <c r="AH271" s="36"/>
      <c r="AI271" s="33"/>
      <c r="AJ271" s="35" t="str">
        <f>IFERROR(PA[[#This Row],[Breakdown Time]]*PA[[#This Row],[Plant Equivalent Weightage]],"")</f>
        <v/>
      </c>
      <c r="AK271" s="36"/>
      <c r="AL271" s="51" t="str">
        <f>IFERROR((_xlfn.XLOOKUP($G271,'Modelling New'!D:D,'Modelling New'!$O:$O)*PA[[#This Row],[Lost PoA(kWh/m2)]]*PA[[#This Row],[DC Capacity Affected (kW)]]),"")</f>
        <v/>
      </c>
      <c r="AM271" s="33"/>
      <c r="AN271" s="33"/>
      <c r="AO271" s="33"/>
      <c r="AP271" s="33"/>
    </row>
    <row r="272" spans="1:42">
      <c r="A272" s="30">
        <f t="shared" si="1"/>
        <v>271</v>
      </c>
      <c r="B272" s="165"/>
      <c r="C272" s="212">
        <f>YEAR(PA[[#This Row],[Date]])+IF(MONTH(PA[[#This Row],[Date]])&gt;=4,1,0)</f>
        <v>1900</v>
      </c>
      <c r="D272" s="212">
        <f>YEAR(PA[[#This Row],[Date]])</f>
        <v>1900</v>
      </c>
      <c r="E272" s="33" t="s">
        <v>157</v>
      </c>
      <c r="F272" s="33" t="s">
        <v>157</v>
      </c>
      <c r="G272" s="194">
        <f>PA[[#This Row],[Date]]-DAY(PA[[#This Row],[Date]])+1</f>
        <v>1</v>
      </c>
      <c r="H272" s="32">
        <f>DAY(EOMONTH(PA[[#This Row],[Month Year]],0))</f>
        <v>31</v>
      </c>
      <c r="I272" s="34"/>
      <c r="J272" s="34"/>
      <c r="K272" s="35">
        <f>IFERROR((PA[[#This Row],[Sunset Time (POA&lt;20 W/m2)]]-PA[[#This Row],[Sunrise Time (POA&gt;20 W/m2)]])*24,"")</f>
        <v>0</v>
      </c>
      <c r="L272" s="33"/>
      <c r="M272" s="33"/>
      <c r="N272" s="33"/>
      <c r="O272" s="36"/>
      <c r="P272" s="36"/>
      <c r="Q272" s="33"/>
      <c r="R272" s="32">
        <f>IF((PA[[#This Row],[String Type(If String BD)]]&amp;PA[[#This Row],[Equipment (If any BD other than PV  array and inv)]])="",1,0)</f>
        <v>1</v>
      </c>
      <c r="S272" s="32">
        <f>IF(PA[[#This Row],[String Type(If String BD)]]="",1,0)</f>
        <v>1</v>
      </c>
      <c r="T27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2" s="35" t="str">
        <f>IFERROR(_xlfn.XLOOKUP(PA[[#This Row],[Affected Equipment ]],'Basic Data'!N:N,'Basic Data'!Q:Q),"")</f>
        <v/>
      </c>
      <c r="V272" s="207" t="str">
        <f>IFERROR(_xlfn.XLOOKUP(PA[[#This Row],[Affected Equipment ]],'Basic Data'!N:N,'Basic Data'!R:R),"")</f>
        <v/>
      </c>
      <c r="W272" s="36"/>
      <c r="X272" s="40"/>
      <c r="Y272" s="41"/>
      <c r="Z272" s="46"/>
      <c r="AA272" s="46"/>
      <c r="AB272" s="46"/>
      <c r="AC272" s="46"/>
      <c r="AD272" s="44">
        <f>IF(PA[[#This Row],[Acknowledgement Time ]]="NA","",(PA[[#This Row],[Acknowledgement Time ]]-PA[[#This Row],[Fault Time]])*24)</f>
        <v>0</v>
      </c>
      <c r="AE272" s="44">
        <f>IF(PA[[#This Row],[Work Start time on Fault]]="NA","",(PA[[#This Row],[Work Start time on Fault]]-PA[[#This Row],[Fault Time]])*24)</f>
        <v>0</v>
      </c>
      <c r="AF272" s="45">
        <f>IF(PA[[#This Row],[Status]]="Open","",(PA[[#This Row],[Work Completion time on fault]]-PA[[#This Row],[Fault Time]])*24)</f>
        <v>0</v>
      </c>
      <c r="AG272" s="44">
        <f>IFERROR((PA[[#This Row],[Work Completion time on fault]]-PA[[#This Row],[Fault Time]])*24,"")</f>
        <v>0</v>
      </c>
      <c r="AH272" s="36"/>
      <c r="AI272" s="33"/>
      <c r="AJ272" s="35" t="str">
        <f>IFERROR(PA[[#This Row],[Breakdown Time]]*PA[[#This Row],[Plant Equivalent Weightage]],"")</f>
        <v/>
      </c>
      <c r="AK272" s="36"/>
      <c r="AL272" s="51" t="str">
        <f>IFERROR((_xlfn.XLOOKUP($G272,'Modelling New'!D:D,'Modelling New'!$O:$O)*PA[[#This Row],[Lost PoA(kWh/m2)]]*PA[[#This Row],[DC Capacity Affected (kW)]]),"")</f>
        <v/>
      </c>
      <c r="AM272" s="33"/>
      <c r="AN272" s="33"/>
      <c r="AO272" s="33"/>
      <c r="AP272" s="33"/>
    </row>
    <row r="273" spans="1:42">
      <c r="A273" s="30">
        <f t="shared" si="1"/>
        <v>272</v>
      </c>
      <c r="B273" s="165"/>
      <c r="C273" s="212">
        <f>YEAR(PA[[#This Row],[Date]])+IF(MONTH(PA[[#This Row],[Date]])&gt;=4,1,0)</f>
        <v>1900</v>
      </c>
      <c r="D273" s="212">
        <f>YEAR(PA[[#This Row],[Date]])</f>
        <v>1900</v>
      </c>
      <c r="E273" s="33" t="s">
        <v>157</v>
      </c>
      <c r="F273" s="33" t="s">
        <v>157</v>
      </c>
      <c r="G273" s="194">
        <f>PA[[#This Row],[Date]]-DAY(PA[[#This Row],[Date]])+1</f>
        <v>1</v>
      </c>
      <c r="H273" s="32">
        <f>DAY(EOMONTH(PA[[#This Row],[Month Year]],0))</f>
        <v>31</v>
      </c>
      <c r="I273" s="34"/>
      <c r="J273" s="34"/>
      <c r="K273" s="35">
        <f>IFERROR((PA[[#This Row],[Sunset Time (POA&lt;20 W/m2)]]-PA[[#This Row],[Sunrise Time (POA&gt;20 W/m2)]])*24,"")</f>
        <v>0</v>
      </c>
      <c r="L273" s="33"/>
      <c r="M273" s="33"/>
      <c r="N273" s="33"/>
      <c r="O273" s="36"/>
      <c r="P273" s="36"/>
      <c r="Q273" s="33"/>
      <c r="R273" s="32">
        <f>IF((PA[[#This Row],[String Type(If String BD)]]&amp;PA[[#This Row],[Equipment (If any BD other than PV  array and inv)]])="",1,0)</f>
        <v>1</v>
      </c>
      <c r="S273" s="32">
        <f>IF(PA[[#This Row],[String Type(If String BD)]]="",1,0)</f>
        <v>1</v>
      </c>
      <c r="T2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3" s="35" t="str">
        <f>IFERROR(_xlfn.XLOOKUP(PA[[#This Row],[Affected Equipment ]],'Basic Data'!N:N,'Basic Data'!Q:Q),"")</f>
        <v/>
      </c>
      <c r="V273" s="207" t="str">
        <f>IFERROR(_xlfn.XLOOKUP(PA[[#This Row],[Affected Equipment ]],'Basic Data'!N:N,'Basic Data'!R:R),"")</f>
        <v/>
      </c>
      <c r="W273" s="36"/>
      <c r="X273" s="40"/>
      <c r="Y273" s="41"/>
      <c r="Z273" s="46"/>
      <c r="AA273" s="46"/>
      <c r="AB273" s="46"/>
      <c r="AC273" s="46"/>
      <c r="AD273" s="44">
        <f>IF(PA[[#This Row],[Acknowledgement Time ]]="NA","",(PA[[#This Row],[Acknowledgement Time ]]-PA[[#This Row],[Fault Time]])*24)</f>
        <v>0</v>
      </c>
      <c r="AE273" s="44">
        <f>IF(PA[[#This Row],[Work Start time on Fault]]="NA","",(PA[[#This Row],[Work Start time on Fault]]-PA[[#This Row],[Fault Time]])*24)</f>
        <v>0</v>
      </c>
      <c r="AF273" s="45">
        <f>IF(PA[[#This Row],[Status]]="Open","",(PA[[#This Row],[Work Completion time on fault]]-PA[[#This Row],[Fault Time]])*24)</f>
        <v>0</v>
      </c>
      <c r="AG273" s="44">
        <f>IFERROR((PA[[#This Row],[Work Completion time on fault]]-PA[[#This Row],[Fault Time]])*24,"")</f>
        <v>0</v>
      </c>
      <c r="AH273" s="36"/>
      <c r="AI273" s="33"/>
      <c r="AJ273" s="35" t="str">
        <f>IFERROR(PA[[#This Row],[Breakdown Time]]*PA[[#This Row],[Plant Equivalent Weightage]],"")</f>
        <v/>
      </c>
      <c r="AK273" s="36"/>
      <c r="AL273" s="51" t="str">
        <f>IFERROR((_xlfn.XLOOKUP($G273,'Modelling New'!D:D,'Modelling New'!$O:$O)*PA[[#This Row],[Lost PoA(kWh/m2)]]*PA[[#This Row],[DC Capacity Affected (kW)]]),"")</f>
        <v/>
      </c>
      <c r="AM273" s="33"/>
      <c r="AN273" s="33"/>
      <c r="AO273" s="33"/>
      <c r="AP273" s="33"/>
    </row>
    <row r="274" spans="1:42">
      <c r="A274" s="30">
        <f t="shared" si="1"/>
        <v>273</v>
      </c>
      <c r="B274" s="165"/>
      <c r="C274" s="212">
        <f>YEAR(PA[[#This Row],[Date]])+IF(MONTH(PA[[#This Row],[Date]])&gt;=4,1,0)</f>
        <v>1900</v>
      </c>
      <c r="D274" s="212">
        <f>YEAR(PA[[#This Row],[Date]])</f>
        <v>1900</v>
      </c>
      <c r="E274" s="33" t="s">
        <v>157</v>
      </c>
      <c r="F274" s="33" t="s">
        <v>157</v>
      </c>
      <c r="G274" s="194">
        <f>PA[[#This Row],[Date]]-DAY(PA[[#This Row],[Date]])+1</f>
        <v>1</v>
      </c>
      <c r="H274" s="32">
        <f>DAY(EOMONTH(PA[[#This Row],[Month Year]],0))</f>
        <v>31</v>
      </c>
      <c r="I274" s="34"/>
      <c r="J274" s="34"/>
      <c r="K274" s="35">
        <f>IFERROR((PA[[#This Row],[Sunset Time (POA&lt;20 W/m2)]]-PA[[#This Row],[Sunrise Time (POA&gt;20 W/m2)]])*24,"")</f>
        <v>0</v>
      </c>
      <c r="L274" s="33"/>
      <c r="M274" s="33"/>
      <c r="N274" s="33"/>
      <c r="O274" s="36"/>
      <c r="P274" s="36"/>
      <c r="Q274" s="33"/>
      <c r="R274" s="32">
        <f>IF((PA[[#This Row],[String Type(If String BD)]]&amp;PA[[#This Row],[Equipment (If any BD other than PV  array and inv)]])="",1,0)</f>
        <v>1</v>
      </c>
      <c r="S274" s="32">
        <f>IF(PA[[#This Row],[String Type(If String BD)]]="",1,0)</f>
        <v>1</v>
      </c>
      <c r="T2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4" s="35" t="str">
        <f>IFERROR(_xlfn.XLOOKUP(PA[[#This Row],[Affected Equipment ]],'Basic Data'!N:N,'Basic Data'!Q:Q),"")</f>
        <v/>
      </c>
      <c r="V274" s="207" t="str">
        <f>IFERROR(_xlfn.XLOOKUP(PA[[#This Row],[Affected Equipment ]],'Basic Data'!N:N,'Basic Data'!R:R),"")</f>
        <v/>
      </c>
      <c r="W274" s="36"/>
      <c r="X274" s="40"/>
      <c r="Y274" s="41"/>
      <c r="Z274" s="46"/>
      <c r="AA274" s="46"/>
      <c r="AB274" s="46"/>
      <c r="AC274" s="46"/>
      <c r="AD274" s="44">
        <f>IF(PA[[#This Row],[Acknowledgement Time ]]="NA","",(PA[[#This Row],[Acknowledgement Time ]]-PA[[#This Row],[Fault Time]])*24)</f>
        <v>0</v>
      </c>
      <c r="AE274" s="44">
        <f>IF(PA[[#This Row],[Work Start time on Fault]]="NA","",(PA[[#This Row],[Work Start time on Fault]]-PA[[#This Row],[Fault Time]])*24)</f>
        <v>0</v>
      </c>
      <c r="AF274" s="45">
        <f>IF(PA[[#This Row],[Status]]="Open","",(PA[[#This Row],[Work Completion time on fault]]-PA[[#This Row],[Fault Time]])*24)</f>
        <v>0</v>
      </c>
      <c r="AG274" s="44">
        <f>IFERROR((PA[[#This Row],[Work Completion time on fault]]-PA[[#This Row],[Fault Time]])*24,"")</f>
        <v>0</v>
      </c>
      <c r="AH274" s="36"/>
      <c r="AI274" s="33"/>
      <c r="AJ274" s="35" t="str">
        <f>IFERROR(PA[[#This Row],[Breakdown Time]]*PA[[#This Row],[Plant Equivalent Weightage]],"")</f>
        <v/>
      </c>
      <c r="AK274" s="36"/>
      <c r="AL274" s="51" t="str">
        <f>IFERROR((_xlfn.XLOOKUP($G274,'Modelling New'!D:D,'Modelling New'!$O:$O)*PA[[#This Row],[Lost PoA(kWh/m2)]]*PA[[#This Row],[DC Capacity Affected (kW)]]),"")</f>
        <v/>
      </c>
      <c r="AM274" s="33"/>
      <c r="AN274" s="33"/>
      <c r="AO274" s="33"/>
      <c r="AP274" s="33"/>
    </row>
    <row r="275" spans="1:42">
      <c r="A275" s="30">
        <f t="shared" si="1"/>
        <v>274</v>
      </c>
      <c r="B275" s="165"/>
      <c r="C275" s="212">
        <f>YEAR(PA[[#This Row],[Date]])+IF(MONTH(PA[[#This Row],[Date]])&gt;=4,1,0)</f>
        <v>1900</v>
      </c>
      <c r="D275" s="212">
        <f>YEAR(PA[[#This Row],[Date]])</f>
        <v>1900</v>
      </c>
      <c r="E275" s="33" t="s">
        <v>157</v>
      </c>
      <c r="F275" s="33" t="s">
        <v>157</v>
      </c>
      <c r="G275" s="194">
        <f>PA[[#This Row],[Date]]-DAY(PA[[#This Row],[Date]])+1</f>
        <v>1</v>
      </c>
      <c r="H275" s="32">
        <f>DAY(EOMONTH(PA[[#This Row],[Month Year]],0))</f>
        <v>31</v>
      </c>
      <c r="I275" s="34"/>
      <c r="J275" s="34"/>
      <c r="K275" s="35">
        <f>IFERROR((PA[[#This Row],[Sunset Time (POA&lt;20 W/m2)]]-PA[[#This Row],[Sunrise Time (POA&gt;20 W/m2)]])*24,"")</f>
        <v>0</v>
      </c>
      <c r="L275" s="33"/>
      <c r="M275" s="37"/>
      <c r="N275" s="33"/>
      <c r="O275" s="36"/>
      <c r="P275" s="36"/>
      <c r="Q275" s="33"/>
      <c r="R275" s="32">
        <f>IF((PA[[#This Row],[String Type(If String BD)]]&amp;PA[[#This Row],[Equipment (If any BD other than PV  array and inv)]])="",1,0)</f>
        <v>1</v>
      </c>
      <c r="S275" s="32">
        <f>IF(PA[[#This Row],[String Type(If String BD)]]="",1,0)</f>
        <v>1</v>
      </c>
      <c r="T2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5" s="35" t="str">
        <f>IFERROR(_xlfn.XLOOKUP(PA[[#This Row],[Affected Equipment ]],'Basic Data'!N:N,'Basic Data'!Q:Q),"")</f>
        <v/>
      </c>
      <c r="V275" s="207" t="str">
        <f>IFERROR(_xlfn.XLOOKUP(PA[[#This Row],[Affected Equipment ]],'Basic Data'!N:N,'Basic Data'!R:R),"")</f>
        <v/>
      </c>
      <c r="W275" s="36"/>
      <c r="X275" s="40"/>
      <c r="Y275" s="41"/>
      <c r="Z275" s="46"/>
      <c r="AA275" s="46"/>
      <c r="AB275" s="46"/>
      <c r="AC275" s="46"/>
      <c r="AD275" s="44">
        <f>IF(PA[[#This Row],[Acknowledgement Time ]]="NA","",(PA[[#This Row],[Acknowledgement Time ]]-PA[[#This Row],[Fault Time]])*24)</f>
        <v>0</v>
      </c>
      <c r="AE275" s="44">
        <f>IF(PA[[#This Row],[Work Start time on Fault]]="NA","",(PA[[#This Row],[Work Start time on Fault]]-PA[[#This Row],[Fault Time]])*24)</f>
        <v>0</v>
      </c>
      <c r="AF275" s="45">
        <f>IF(PA[[#This Row],[Status]]="Open","",(PA[[#This Row],[Work Completion time on fault]]-PA[[#This Row],[Fault Time]])*24)</f>
        <v>0</v>
      </c>
      <c r="AG275" s="44">
        <f>IFERROR((PA[[#This Row],[Work Completion time on fault]]-PA[[#This Row],[Fault Time]])*24,"")</f>
        <v>0</v>
      </c>
      <c r="AH275" s="36"/>
      <c r="AI275" s="33"/>
      <c r="AJ275" s="35" t="str">
        <f>IFERROR(PA[[#This Row],[Breakdown Time]]*PA[[#This Row],[Plant Equivalent Weightage]],"")</f>
        <v/>
      </c>
      <c r="AK275" s="36"/>
      <c r="AL275" s="51" t="str">
        <f>IFERROR((_xlfn.XLOOKUP($G275,'Modelling New'!D:D,'Modelling New'!$O:$O)*PA[[#This Row],[Lost PoA(kWh/m2)]]*PA[[#This Row],[DC Capacity Affected (kW)]]),"")</f>
        <v/>
      </c>
      <c r="AM275" s="33"/>
      <c r="AN275" s="33"/>
      <c r="AO275" s="33"/>
      <c r="AP275" s="33"/>
    </row>
    <row r="276" spans="1:42">
      <c r="A276" s="30">
        <f t="shared" si="1"/>
        <v>275</v>
      </c>
      <c r="B276" s="165"/>
      <c r="C276" s="212">
        <f>YEAR(PA[[#This Row],[Date]])+IF(MONTH(PA[[#This Row],[Date]])&gt;=4,1,0)</f>
        <v>1900</v>
      </c>
      <c r="D276" s="212">
        <f>YEAR(PA[[#This Row],[Date]])</f>
        <v>1900</v>
      </c>
      <c r="E276" s="33" t="s">
        <v>157</v>
      </c>
      <c r="F276" s="33" t="s">
        <v>157</v>
      </c>
      <c r="G276" s="194">
        <f>PA[[#This Row],[Date]]-DAY(PA[[#This Row],[Date]])+1</f>
        <v>1</v>
      </c>
      <c r="H276" s="32">
        <f>DAY(EOMONTH(PA[[#This Row],[Month Year]],0))</f>
        <v>31</v>
      </c>
      <c r="I276" s="34"/>
      <c r="J276" s="34"/>
      <c r="K276" s="35">
        <f>IFERROR((PA[[#This Row],[Sunset Time (POA&lt;20 W/m2)]]-PA[[#This Row],[Sunrise Time (POA&gt;20 W/m2)]])*24,"")</f>
        <v>0</v>
      </c>
      <c r="L276" s="33"/>
      <c r="M276" s="37"/>
      <c r="N276" s="33"/>
      <c r="O276" s="36"/>
      <c r="P276" s="36"/>
      <c r="Q276" s="33"/>
      <c r="R276" s="32">
        <f>IF((PA[[#This Row],[String Type(If String BD)]]&amp;PA[[#This Row],[Equipment (If any BD other than PV  array and inv)]])="",1,0)</f>
        <v>1</v>
      </c>
      <c r="S276" s="32">
        <f>IF(PA[[#This Row],[String Type(If String BD)]]="",1,0)</f>
        <v>1</v>
      </c>
      <c r="T2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6" s="35" t="str">
        <f>IFERROR(_xlfn.XLOOKUP(PA[[#This Row],[Affected Equipment ]],'Basic Data'!N:N,'Basic Data'!Q:Q),"")</f>
        <v/>
      </c>
      <c r="V276" s="207" t="str">
        <f>IFERROR(_xlfn.XLOOKUP(PA[[#This Row],[Affected Equipment ]],'Basic Data'!N:N,'Basic Data'!R:R),"")</f>
        <v/>
      </c>
      <c r="W276" s="36"/>
      <c r="X276" s="40"/>
      <c r="Y276" s="41"/>
      <c r="Z276" s="46"/>
      <c r="AA276" s="46"/>
      <c r="AB276" s="46"/>
      <c r="AC276" s="46"/>
      <c r="AD276" s="44">
        <f>IF(PA[[#This Row],[Acknowledgement Time ]]="NA","",(PA[[#This Row],[Acknowledgement Time ]]-PA[[#This Row],[Fault Time]])*24)</f>
        <v>0</v>
      </c>
      <c r="AE276" s="44">
        <f>IF(PA[[#This Row],[Work Start time on Fault]]="NA","",(PA[[#This Row],[Work Start time on Fault]]-PA[[#This Row],[Fault Time]])*24)</f>
        <v>0</v>
      </c>
      <c r="AF276" s="45">
        <f>IF(PA[[#This Row],[Status]]="Open","",(PA[[#This Row],[Work Completion time on fault]]-PA[[#This Row],[Fault Time]])*24)</f>
        <v>0</v>
      </c>
      <c r="AG276" s="44">
        <f>IFERROR((PA[[#This Row],[Work Completion time on fault]]-PA[[#This Row],[Fault Time]])*24,"")</f>
        <v>0</v>
      </c>
      <c r="AH276" s="36"/>
      <c r="AI276" s="33"/>
      <c r="AJ276" s="35" t="str">
        <f>IFERROR(PA[[#This Row],[Breakdown Time]]*PA[[#This Row],[Plant Equivalent Weightage]],"")</f>
        <v/>
      </c>
      <c r="AK276" s="36"/>
      <c r="AL276" s="51" t="str">
        <f>IFERROR((_xlfn.XLOOKUP($G276,'Modelling New'!D:D,'Modelling New'!$O:$O)*PA[[#This Row],[Lost PoA(kWh/m2)]]*PA[[#This Row],[DC Capacity Affected (kW)]]),"")</f>
        <v/>
      </c>
      <c r="AM276" s="33"/>
      <c r="AN276" s="33"/>
      <c r="AO276" s="33"/>
      <c r="AP276" s="33"/>
    </row>
    <row r="277" spans="1:42">
      <c r="A277" s="30">
        <f t="shared" ref="A277:A340" si="2">A276+1</f>
        <v>276</v>
      </c>
      <c r="B277" s="165"/>
      <c r="C277" s="212">
        <f>YEAR(PA[[#This Row],[Date]])+IF(MONTH(PA[[#This Row],[Date]])&gt;=4,1,0)</f>
        <v>1900</v>
      </c>
      <c r="D277" s="212">
        <f>YEAR(PA[[#This Row],[Date]])</f>
        <v>1900</v>
      </c>
      <c r="E277" s="33" t="s">
        <v>157</v>
      </c>
      <c r="F277" s="33" t="s">
        <v>157</v>
      </c>
      <c r="G277" s="194">
        <f>PA[[#This Row],[Date]]-DAY(PA[[#This Row],[Date]])+1</f>
        <v>1</v>
      </c>
      <c r="H277" s="32">
        <f>DAY(EOMONTH(PA[[#This Row],[Month Year]],0))</f>
        <v>31</v>
      </c>
      <c r="I277" s="34"/>
      <c r="J277" s="34"/>
      <c r="K277" s="35">
        <f>IFERROR((PA[[#This Row],[Sunset Time (POA&lt;20 W/m2)]]-PA[[#This Row],[Sunrise Time (POA&gt;20 W/m2)]])*24,"")</f>
        <v>0</v>
      </c>
      <c r="L277" s="33"/>
      <c r="M277" s="33"/>
      <c r="N277" s="33"/>
      <c r="O277" s="36"/>
      <c r="P277" s="36"/>
      <c r="Q277" s="33"/>
      <c r="R277" s="32">
        <f>IF((PA[[#This Row],[String Type(If String BD)]]&amp;PA[[#This Row],[Equipment (If any BD other than PV  array and inv)]])="",1,0)</f>
        <v>1</v>
      </c>
      <c r="S277" s="32">
        <f>IF(PA[[#This Row],[String Type(If String BD)]]="",1,0)</f>
        <v>1</v>
      </c>
      <c r="T2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7" s="35" t="str">
        <f>IFERROR(_xlfn.XLOOKUP(PA[[#This Row],[Affected Equipment ]],'Basic Data'!N:N,'Basic Data'!Q:Q),"")</f>
        <v/>
      </c>
      <c r="V277" s="207" t="str">
        <f>IFERROR(_xlfn.XLOOKUP(PA[[#This Row],[Affected Equipment ]],'Basic Data'!N:N,'Basic Data'!R:R),"")</f>
        <v/>
      </c>
      <c r="W277" s="36"/>
      <c r="X277" s="40"/>
      <c r="Y277" s="41"/>
      <c r="Z277" s="46"/>
      <c r="AA277" s="46"/>
      <c r="AB277" s="46"/>
      <c r="AC277" s="46"/>
      <c r="AD277" s="44">
        <f>IF(PA[[#This Row],[Acknowledgement Time ]]="NA","",(PA[[#This Row],[Acknowledgement Time ]]-PA[[#This Row],[Fault Time]])*24)</f>
        <v>0</v>
      </c>
      <c r="AE277" s="44">
        <f>IF(PA[[#This Row],[Work Start time on Fault]]="NA","",(PA[[#This Row],[Work Start time on Fault]]-PA[[#This Row],[Fault Time]])*24)</f>
        <v>0</v>
      </c>
      <c r="AF277" s="45">
        <f>IF(PA[[#This Row],[Status]]="Open","",(PA[[#This Row],[Work Completion time on fault]]-PA[[#This Row],[Fault Time]])*24)</f>
        <v>0</v>
      </c>
      <c r="AG277" s="44">
        <f>IFERROR((PA[[#This Row],[Work Completion time on fault]]-PA[[#This Row],[Fault Time]])*24,"")</f>
        <v>0</v>
      </c>
      <c r="AH277" s="36"/>
      <c r="AI277" s="33"/>
      <c r="AJ277" s="35" t="str">
        <f>IFERROR(PA[[#This Row],[Breakdown Time]]*PA[[#This Row],[Plant Equivalent Weightage]],"")</f>
        <v/>
      </c>
      <c r="AK277" s="36"/>
      <c r="AL277" s="51" t="str">
        <f>IFERROR((_xlfn.XLOOKUP($G277,'Modelling New'!D:D,'Modelling New'!$O:$O)*PA[[#This Row],[Lost PoA(kWh/m2)]]*PA[[#This Row],[DC Capacity Affected (kW)]]),"")</f>
        <v/>
      </c>
      <c r="AM277" s="33"/>
      <c r="AN277" s="33"/>
      <c r="AO277" s="33"/>
      <c r="AP277" s="33"/>
    </row>
    <row r="278" spans="1:42">
      <c r="A278" s="30">
        <f t="shared" si="2"/>
        <v>277</v>
      </c>
      <c r="B278" s="31"/>
      <c r="C278" s="212">
        <f>YEAR(PA[[#This Row],[Date]])+IF(MONTH(PA[[#This Row],[Date]])&gt;=4,1,0)</f>
        <v>1900</v>
      </c>
      <c r="D278" s="212">
        <f>YEAR(PA[[#This Row],[Date]])</f>
        <v>1900</v>
      </c>
      <c r="E278" s="33" t="s">
        <v>157</v>
      </c>
      <c r="F278" s="33" t="s">
        <v>157</v>
      </c>
      <c r="G278" s="213">
        <f>PA[[#This Row],[Date]]-DAY(PA[[#This Row],[Date]])+1</f>
        <v>1</v>
      </c>
      <c r="H278" s="32">
        <f>DAY(EOMONTH(PA[[#This Row],[Month Year]],0))</f>
        <v>31</v>
      </c>
      <c r="I278" s="34"/>
      <c r="J278" s="34"/>
      <c r="K278" s="35">
        <f>IFERROR((PA[[#This Row],[Sunset Time (POA&lt;20 W/m2)]]-PA[[#This Row],[Sunrise Time (POA&gt;20 W/m2)]])*24,"")</f>
        <v>0</v>
      </c>
      <c r="L278" s="33"/>
      <c r="M278" s="33"/>
      <c r="N278" s="33"/>
      <c r="O278" s="36"/>
      <c r="P278" s="36"/>
      <c r="Q278" s="33"/>
      <c r="R278" s="32">
        <f>IF((PA[[#This Row],[String Type(If String BD)]]&amp;PA[[#This Row],[Equipment (If any BD other than PV  array and inv)]])="",1,0)</f>
        <v>1</v>
      </c>
      <c r="S278" s="32">
        <f>IF(PA[[#This Row],[String Type(If String BD)]]="",1,0)</f>
        <v>1</v>
      </c>
      <c r="T2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8" s="35" t="str">
        <f>IFERROR(_xlfn.XLOOKUP(PA[[#This Row],[Affected Equipment ]],'Basic Data'!N:N,'Basic Data'!Q:Q),"")</f>
        <v/>
      </c>
      <c r="V278" s="207" t="str">
        <f>IFERROR(_xlfn.XLOOKUP(PA[[#This Row],[Affected Equipment ]],'Basic Data'!N:N,'Basic Data'!R:R),"")</f>
        <v/>
      </c>
      <c r="W278" s="36"/>
      <c r="X278" s="40"/>
      <c r="Y278" s="41"/>
      <c r="Z278" s="46"/>
      <c r="AA278" s="46"/>
      <c r="AB278" s="46"/>
      <c r="AC278" s="46"/>
      <c r="AD278" s="44">
        <f>IF(PA[[#This Row],[Acknowledgement Time ]]="NA","",(PA[[#This Row],[Acknowledgement Time ]]-PA[[#This Row],[Fault Time]])*24)</f>
        <v>0</v>
      </c>
      <c r="AE278" s="44">
        <f>IF(PA[[#This Row],[Work Start time on Fault]]="NA","",(PA[[#This Row],[Work Start time on Fault]]-PA[[#This Row],[Fault Time]])*24)</f>
        <v>0</v>
      </c>
      <c r="AF278" s="45">
        <f>IF(PA[[#This Row],[Status]]="Open","",(PA[[#This Row],[Work Completion time on fault]]-PA[[#This Row],[Fault Time]])*24)</f>
        <v>0</v>
      </c>
      <c r="AG278" s="44">
        <f>IFERROR((PA[[#This Row],[Work Completion time on fault]]-PA[[#This Row],[Fault Time]])*24,"")</f>
        <v>0</v>
      </c>
      <c r="AH278" s="36"/>
      <c r="AI278" s="33"/>
      <c r="AJ278" s="35" t="str">
        <f>IFERROR(PA[[#This Row],[Breakdown Time]]*PA[[#This Row],[Plant Equivalent Weightage]],"")</f>
        <v/>
      </c>
      <c r="AK278" s="36"/>
      <c r="AL278" s="51" t="str">
        <f>IFERROR((_xlfn.XLOOKUP($G278,'Modelling New'!D:D,'Modelling New'!$O:$O)*PA[[#This Row],[Lost PoA(kWh/m2)]]*PA[[#This Row],[DC Capacity Affected (kW)]]),"")</f>
        <v/>
      </c>
      <c r="AM278" s="33"/>
      <c r="AN278" s="33"/>
      <c r="AO278" s="33"/>
      <c r="AP278" s="33"/>
    </row>
    <row r="279" spans="1:42">
      <c r="A279" s="30">
        <f t="shared" si="2"/>
        <v>278</v>
      </c>
      <c r="B279" s="31"/>
      <c r="C279" s="212">
        <f>YEAR(PA[[#This Row],[Date]])+IF(MONTH(PA[[#This Row],[Date]])&gt;=4,1,0)</f>
        <v>1900</v>
      </c>
      <c r="D279" s="212">
        <f>YEAR(PA[[#This Row],[Date]])</f>
        <v>1900</v>
      </c>
      <c r="E279" s="33" t="s">
        <v>157</v>
      </c>
      <c r="F279" s="33" t="s">
        <v>157</v>
      </c>
      <c r="G279" s="213">
        <f>PA[[#This Row],[Date]]-DAY(PA[[#This Row],[Date]])+1</f>
        <v>1</v>
      </c>
      <c r="H279" s="32">
        <f>DAY(EOMONTH(PA[[#This Row],[Month Year]],0))</f>
        <v>31</v>
      </c>
      <c r="I279" s="34"/>
      <c r="J279" s="34"/>
      <c r="K279" s="35">
        <f>IFERROR((PA[[#This Row],[Sunset Time (POA&lt;20 W/m2)]]-PA[[#This Row],[Sunrise Time (POA&gt;20 W/m2)]])*24,"")</f>
        <v>0</v>
      </c>
      <c r="L279" s="37"/>
      <c r="M279" s="37"/>
      <c r="N279" s="33"/>
      <c r="O279" s="36"/>
      <c r="P279" s="36"/>
      <c r="Q279" s="33"/>
      <c r="R279" s="32">
        <f>IF((PA[[#This Row],[String Type(If String BD)]]&amp;PA[[#This Row],[Equipment (If any BD other than PV  array and inv)]])="",1,0)</f>
        <v>1</v>
      </c>
      <c r="S279" s="32">
        <f>IF(PA[[#This Row],[String Type(If String BD)]]="",1,0)</f>
        <v>1</v>
      </c>
      <c r="T2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79" s="35" t="str">
        <f>IFERROR(_xlfn.XLOOKUP(PA[[#This Row],[Affected Equipment ]],'Basic Data'!N:N,'Basic Data'!Q:Q),"")</f>
        <v/>
      </c>
      <c r="V279" s="207" t="str">
        <f>IFERROR(_xlfn.XLOOKUP(PA[[#This Row],[Affected Equipment ]],'Basic Data'!N:N,'Basic Data'!R:R),"")</f>
        <v/>
      </c>
      <c r="W279" s="36"/>
      <c r="X279" s="40"/>
      <c r="Y279" s="41"/>
      <c r="Z279" s="46"/>
      <c r="AA279" s="46"/>
      <c r="AB279" s="46"/>
      <c r="AC279" s="46"/>
      <c r="AD279" s="44">
        <f>IF(PA[[#This Row],[Acknowledgement Time ]]="NA","",(PA[[#This Row],[Acknowledgement Time ]]-PA[[#This Row],[Fault Time]])*24)</f>
        <v>0</v>
      </c>
      <c r="AE279" s="44">
        <f>IF(PA[[#This Row],[Work Start time on Fault]]="NA","",(PA[[#This Row],[Work Start time on Fault]]-PA[[#This Row],[Fault Time]])*24)</f>
        <v>0</v>
      </c>
      <c r="AF279" s="45">
        <f>IF(PA[[#This Row],[Status]]="Open","",(PA[[#This Row],[Work Completion time on fault]]-PA[[#This Row],[Fault Time]])*24)</f>
        <v>0</v>
      </c>
      <c r="AG279" s="44">
        <f>IFERROR((PA[[#This Row],[Work Completion time on fault]]-PA[[#This Row],[Fault Time]])*24,"")</f>
        <v>0</v>
      </c>
      <c r="AH279" s="36"/>
      <c r="AI279" s="33"/>
      <c r="AJ279" s="35" t="str">
        <f>IFERROR(PA[[#This Row],[Breakdown Time]]*PA[[#This Row],[Plant Equivalent Weightage]],"")</f>
        <v/>
      </c>
      <c r="AK279" s="36"/>
      <c r="AL279" s="51" t="str">
        <f>IFERROR((_xlfn.XLOOKUP($G279,'Modelling New'!D:D,'Modelling New'!$O:$O)*PA[[#This Row],[Lost PoA(kWh/m2)]]*PA[[#This Row],[DC Capacity Affected (kW)]]),"")</f>
        <v/>
      </c>
      <c r="AM279" s="33"/>
      <c r="AN279" s="33"/>
      <c r="AO279" s="33"/>
      <c r="AP279" s="33"/>
    </row>
    <row r="280" spans="1:42">
      <c r="A280" s="30">
        <f t="shared" si="2"/>
        <v>279</v>
      </c>
      <c r="B280" s="31"/>
      <c r="C280" s="212">
        <f>YEAR(PA[[#This Row],[Date]])+IF(MONTH(PA[[#This Row],[Date]])&gt;=4,1,0)</f>
        <v>1900</v>
      </c>
      <c r="D280" s="212">
        <f>YEAR(PA[[#This Row],[Date]])</f>
        <v>1900</v>
      </c>
      <c r="E280" s="33" t="s">
        <v>157</v>
      </c>
      <c r="F280" s="33" t="s">
        <v>157</v>
      </c>
      <c r="G280" s="213">
        <f>PA[[#This Row],[Date]]-DAY(PA[[#This Row],[Date]])+1</f>
        <v>1</v>
      </c>
      <c r="H280" s="32">
        <f>DAY(EOMONTH(PA[[#This Row],[Month Year]],0))</f>
        <v>31</v>
      </c>
      <c r="I280" s="34"/>
      <c r="J280" s="34"/>
      <c r="K280" s="35">
        <f>IFERROR((PA[[#This Row],[Sunset Time (POA&lt;20 W/m2)]]-PA[[#This Row],[Sunrise Time (POA&gt;20 W/m2)]])*24,"")</f>
        <v>0</v>
      </c>
      <c r="L280" s="33"/>
      <c r="M280" s="37"/>
      <c r="N280" s="33"/>
      <c r="O280" s="36"/>
      <c r="P280" s="36"/>
      <c r="Q280" s="33"/>
      <c r="R280" s="32">
        <f>IF((PA[[#This Row],[String Type(If String BD)]]&amp;PA[[#This Row],[Equipment (If any BD other than PV  array and inv)]])="",1,0)</f>
        <v>1</v>
      </c>
      <c r="S280" s="32">
        <f>IF(PA[[#This Row],[String Type(If String BD)]]="",1,0)</f>
        <v>1</v>
      </c>
      <c r="T2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0" s="35" t="str">
        <f>IFERROR(_xlfn.XLOOKUP(PA[[#This Row],[Affected Equipment ]],'Basic Data'!N:N,'Basic Data'!Q:Q),"")</f>
        <v/>
      </c>
      <c r="V280" s="207" t="str">
        <f>IFERROR(_xlfn.XLOOKUP(PA[[#This Row],[Affected Equipment ]],'Basic Data'!N:N,'Basic Data'!R:R),"")</f>
        <v/>
      </c>
      <c r="W280" s="36"/>
      <c r="X280" s="40"/>
      <c r="Y280" s="41"/>
      <c r="Z280" s="46"/>
      <c r="AA280" s="46"/>
      <c r="AB280" s="46"/>
      <c r="AC280" s="46"/>
      <c r="AD280" s="44">
        <f>IF(PA[[#This Row],[Acknowledgement Time ]]="NA","",(PA[[#This Row],[Acknowledgement Time ]]-PA[[#This Row],[Fault Time]])*24)</f>
        <v>0</v>
      </c>
      <c r="AE280" s="44">
        <f>IF(PA[[#This Row],[Work Start time on Fault]]="NA","",(PA[[#This Row],[Work Start time on Fault]]-PA[[#This Row],[Fault Time]])*24)</f>
        <v>0</v>
      </c>
      <c r="AF280" s="45">
        <f>IF(PA[[#This Row],[Status]]="Open","",(PA[[#This Row],[Work Completion time on fault]]-PA[[#This Row],[Fault Time]])*24)</f>
        <v>0</v>
      </c>
      <c r="AG280" s="44">
        <f>IFERROR((PA[[#This Row],[Work Completion time on fault]]-PA[[#This Row],[Fault Time]])*24,"")</f>
        <v>0</v>
      </c>
      <c r="AH280" s="36"/>
      <c r="AI280" s="33"/>
      <c r="AJ280" s="35" t="str">
        <f>IFERROR(PA[[#This Row],[Breakdown Time]]*PA[[#This Row],[Plant Equivalent Weightage]],"")</f>
        <v/>
      </c>
      <c r="AK280" s="36"/>
      <c r="AL280" s="51" t="str">
        <f>IFERROR((_xlfn.XLOOKUP($G280,'Modelling New'!D:D,'Modelling New'!$O:$O)*PA[[#This Row],[Lost PoA(kWh/m2)]]*PA[[#This Row],[DC Capacity Affected (kW)]]),"")</f>
        <v/>
      </c>
      <c r="AM280" s="33"/>
      <c r="AN280" s="33"/>
      <c r="AO280" s="33"/>
      <c r="AP280" s="33"/>
    </row>
    <row r="281" spans="1:42">
      <c r="A281" s="30">
        <f t="shared" si="2"/>
        <v>280</v>
      </c>
      <c r="B281" s="31"/>
      <c r="C281" s="212">
        <f>YEAR(PA[[#This Row],[Date]])+IF(MONTH(PA[[#This Row],[Date]])&gt;=4,1,0)</f>
        <v>1900</v>
      </c>
      <c r="D281" s="212">
        <f>YEAR(PA[[#This Row],[Date]])</f>
        <v>1900</v>
      </c>
      <c r="E281" s="33" t="s">
        <v>157</v>
      </c>
      <c r="F281" s="33" t="s">
        <v>157</v>
      </c>
      <c r="G281" s="213">
        <f>PA[[#This Row],[Date]]-DAY(PA[[#This Row],[Date]])+1</f>
        <v>1</v>
      </c>
      <c r="H281" s="32">
        <f>DAY(EOMONTH(PA[[#This Row],[Month Year]],0))</f>
        <v>31</v>
      </c>
      <c r="I281" s="34"/>
      <c r="J281" s="34"/>
      <c r="K281" s="35">
        <f>IFERROR((PA[[#This Row],[Sunset Time (POA&lt;20 W/m2)]]-PA[[#This Row],[Sunrise Time (POA&gt;20 W/m2)]])*24,"")</f>
        <v>0</v>
      </c>
      <c r="L281" s="33"/>
      <c r="M281" s="33"/>
      <c r="N281" s="33"/>
      <c r="O281" s="36"/>
      <c r="P281" s="36"/>
      <c r="Q281" s="33"/>
      <c r="R281" s="32">
        <f>IF((PA[[#This Row],[String Type(If String BD)]]&amp;PA[[#This Row],[Equipment (If any BD other than PV  array and inv)]])="",1,0)</f>
        <v>1</v>
      </c>
      <c r="S281" s="32">
        <f>IF(PA[[#This Row],[String Type(If String BD)]]="",1,0)</f>
        <v>1</v>
      </c>
      <c r="T2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1" s="35" t="str">
        <f>IFERROR(_xlfn.XLOOKUP(PA[[#This Row],[Affected Equipment ]],'Basic Data'!N:N,'Basic Data'!Q:Q),"")</f>
        <v/>
      </c>
      <c r="V281" s="207" t="str">
        <f>IFERROR(_xlfn.XLOOKUP(PA[[#This Row],[Affected Equipment ]],'Basic Data'!N:N,'Basic Data'!R:R),"")</f>
        <v/>
      </c>
      <c r="W281" s="36"/>
      <c r="X281" s="40"/>
      <c r="Y281" s="41"/>
      <c r="Z281" s="46"/>
      <c r="AA281" s="46"/>
      <c r="AB281" s="46"/>
      <c r="AC281" s="46"/>
      <c r="AD281" s="44">
        <f>IF(PA[[#This Row],[Acknowledgement Time ]]="NA","",(PA[[#This Row],[Acknowledgement Time ]]-PA[[#This Row],[Fault Time]])*24)</f>
        <v>0</v>
      </c>
      <c r="AE281" s="44">
        <f>IF(PA[[#This Row],[Work Start time on Fault]]="NA","",(PA[[#This Row],[Work Start time on Fault]]-PA[[#This Row],[Fault Time]])*24)</f>
        <v>0</v>
      </c>
      <c r="AF281" s="45">
        <f>IF(PA[[#This Row],[Status]]="Open","",(PA[[#This Row],[Work Completion time on fault]]-PA[[#This Row],[Fault Time]])*24)</f>
        <v>0</v>
      </c>
      <c r="AG281" s="44">
        <f>IFERROR((PA[[#This Row],[Work Completion time on fault]]-PA[[#This Row],[Fault Time]])*24,"")</f>
        <v>0</v>
      </c>
      <c r="AH281" s="36"/>
      <c r="AI281" s="33"/>
      <c r="AJ281" s="35" t="str">
        <f>IFERROR(PA[[#This Row],[Breakdown Time]]*PA[[#This Row],[Plant Equivalent Weightage]],"")</f>
        <v/>
      </c>
      <c r="AK281" s="36"/>
      <c r="AL281" s="51" t="str">
        <f>IFERROR((_xlfn.XLOOKUP($G281,'Modelling New'!D:D,'Modelling New'!$O:$O)*PA[[#This Row],[Lost PoA(kWh/m2)]]*PA[[#This Row],[DC Capacity Affected (kW)]]),"")</f>
        <v/>
      </c>
      <c r="AM281" s="33"/>
      <c r="AN281" s="33"/>
      <c r="AO281" s="33"/>
      <c r="AP281" s="33"/>
    </row>
    <row r="282" spans="1:42">
      <c r="A282" s="30">
        <f t="shared" si="2"/>
        <v>281</v>
      </c>
      <c r="B282" s="31"/>
      <c r="C282" s="212">
        <f>YEAR(PA[[#This Row],[Date]])+IF(MONTH(PA[[#This Row],[Date]])&gt;=4,1,0)</f>
        <v>1900</v>
      </c>
      <c r="D282" s="212">
        <f>YEAR(PA[[#This Row],[Date]])</f>
        <v>1900</v>
      </c>
      <c r="E282" s="33" t="s">
        <v>157</v>
      </c>
      <c r="F282" s="33" t="s">
        <v>157</v>
      </c>
      <c r="G282" s="213">
        <f>PA[[#This Row],[Date]]-DAY(PA[[#This Row],[Date]])+1</f>
        <v>1</v>
      </c>
      <c r="H282" s="32">
        <f>DAY(EOMONTH(PA[[#This Row],[Month Year]],0))</f>
        <v>31</v>
      </c>
      <c r="I282" s="34"/>
      <c r="J282" s="34"/>
      <c r="K282" s="35">
        <f>IFERROR((PA[[#This Row],[Sunset Time (POA&lt;20 W/m2)]]-PA[[#This Row],[Sunrise Time (POA&gt;20 W/m2)]])*24,"")</f>
        <v>0</v>
      </c>
      <c r="L282" s="33"/>
      <c r="M282" s="33"/>
      <c r="N282" s="33"/>
      <c r="O282" s="36"/>
      <c r="P282" s="36"/>
      <c r="Q282" s="33"/>
      <c r="R282" s="32">
        <f>IF((PA[[#This Row],[String Type(If String BD)]]&amp;PA[[#This Row],[Equipment (If any BD other than PV  array and inv)]])="",1,0)</f>
        <v>1</v>
      </c>
      <c r="S282" s="32">
        <f>IF(PA[[#This Row],[String Type(If String BD)]]="",1,0)</f>
        <v>1</v>
      </c>
      <c r="T2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2" s="35" t="str">
        <f>IFERROR(_xlfn.XLOOKUP(PA[[#This Row],[Affected Equipment ]],'Basic Data'!N:N,'Basic Data'!Q:Q),"")</f>
        <v/>
      </c>
      <c r="V282" s="207" t="str">
        <f>IFERROR(_xlfn.XLOOKUP(PA[[#This Row],[Affected Equipment ]],'Basic Data'!N:N,'Basic Data'!R:R),"")</f>
        <v/>
      </c>
      <c r="W282" s="36"/>
      <c r="X282" s="40"/>
      <c r="Y282" s="41"/>
      <c r="Z282" s="46"/>
      <c r="AA282" s="46"/>
      <c r="AB282" s="46"/>
      <c r="AC282" s="46"/>
      <c r="AD282" s="44">
        <f>IF(PA[[#This Row],[Acknowledgement Time ]]="NA","",(PA[[#This Row],[Acknowledgement Time ]]-PA[[#This Row],[Fault Time]])*24)</f>
        <v>0</v>
      </c>
      <c r="AE282" s="44">
        <f>IF(PA[[#This Row],[Work Start time on Fault]]="NA","",(PA[[#This Row],[Work Start time on Fault]]-PA[[#This Row],[Fault Time]])*24)</f>
        <v>0</v>
      </c>
      <c r="AF282" s="45">
        <f>IF(PA[[#This Row],[Status]]="Open","",(PA[[#This Row],[Work Completion time on fault]]-PA[[#This Row],[Fault Time]])*24)</f>
        <v>0</v>
      </c>
      <c r="AG282" s="44">
        <f>IFERROR((PA[[#This Row],[Work Completion time on fault]]-PA[[#This Row],[Fault Time]])*24,"")</f>
        <v>0</v>
      </c>
      <c r="AH282" s="36"/>
      <c r="AI282" s="33"/>
      <c r="AJ282" s="35" t="str">
        <f>IFERROR(PA[[#This Row],[Breakdown Time]]*PA[[#This Row],[Plant Equivalent Weightage]],"")</f>
        <v/>
      </c>
      <c r="AK282" s="36"/>
      <c r="AL282" s="51" t="str">
        <f>IFERROR((_xlfn.XLOOKUP($G282,'Modelling New'!D:D,'Modelling New'!$O:$O)*PA[[#This Row],[Lost PoA(kWh/m2)]]*PA[[#This Row],[DC Capacity Affected (kW)]]),"")</f>
        <v/>
      </c>
      <c r="AM282" s="33"/>
      <c r="AN282" s="33"/>
      <c r="AO282" s="33"/>
      <c r="AP282" s="33"/>
    </row>
    <row r="283" spans="1:42">
      <c r="A283" s="30">
        <f t="shared" si="2"/>
        <v>282</v>
      </c>
      <c r="B283" s="165"/>
      <c r="C283" s="211">
        <f>YEAR(PA[[#This Row],[Date]])+IF(MONTH(PA[[#This Row],[Date]])&gt;=4,1,0)</f>
        <v>1900</v>
      </c>
      <c r="D283" s="211">
        <f>YEAR(PA[[#This Row],[Date]])</f>
        <v>1900</v>
      </c>
      <c r="E283" s="37" t="s">
        <v>157</v>
      </c>
      <c r="F283" s="37" t="s">
        <v>157</v>
      </c>
      <c r="G283" s="214">
        <f>PA[[#This Row],[Date]]-DAY(PA[[#This Row],[Date]])+1</f>
        <v>1</v>
      </c>
      <c r="H283" s="202">
        <f>DAY(EOMONTH(PA[[#This Row],[Month Year]],0))</f>
        <v>31</v>
      </c>
      <c r="I283" s="34"/>
      <c r="J283" s="34"/>
      <c r="K283" s="35">
        <f>IFERROR((PA[[#This Row],[Sunset Time (POA&lt;20 W/m2)]]-PA[[#This Row],[Sunrise Time (POA&gt;20 W/m2)]])*24,"")</f>
        <v>0</v>
      </c>
      <c r="L283" s="33"/>
      <c r="M283" s="33"/>
      <c r="N283" s="33"/>
      <c r="O283" s="38"/>
      <c r="P283" s="38"/>
      <c r="Q283" s="37"/>
      <c r="R283" s="202">
        <f>IF((PA[[#This Row],[String Type(If String BD)]]&amp;PA[[#This Row],[Equipment (If any BD other than PV  array and inv)]])="",1,0)</f>
        <v>1</v>
      </c>
      <c r="S283" s="202">
        <f>IF(PA[[#This Row],[String Type(If String BD)]]="",1,0)</f>
        <v>1</v>
      </c>
      <c r="T28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3" s="204" t="str">
        <f>IFERROR(_xlfn.XLOOKUP(PA[[#This Row],[Affected Equipment ]],'Basic Data'!N:N,'Basic Data'!Q:Q),"")</f>
        <v/>
      </c>
      <c r="V283" s="208" t="str">
        <f>IFERROR(_xlfn.XLOOKUP(PA[[#This Row],[Affected Equipment ]],'Basic Data'!N:N,'Basic Data'!R:R),"")</f>
        <v/>
      </c>
      <c r="W283" s="38"/>
      <c r="X283" s="41"/>
      <c r="Y283" s="41"/>
      <c r="Z283" s="47"/>
      <c r="AA283" s="47"/>
      <c r="AB283" s="47"/>
      <c r="AC283" s="46"/>
      <c r="AD283" s="205">
        <f>IF(PA[[#This Row],[Acknowledgement Time ]]="NA","",(PA[[#This Row],[Acknowledgement Time ]]-PA[[#This Row],[Fault Time]])*24)</f>
        <v>0</v>
      </c>
      <c r="AE283" s="205">
        <f>IF(PA[[#This Row],[Work Start time on Fault]]="NA","",(PA[[#This Row],[Work Start time on Fault]]-PA[[#This Row],[Fault Time]])*24)</f>
        <v>0</v>
      </c>
      <c r="AF283" s="206">
        <f>IF(PA[[#This Row],[Status]]="Open","",(PA[[#This Row],[Work Completion time on fault]]-PA[[#This Row],[Fault Time]])*24)</f>
        <v>0</v>
      </c>
      <c r="AG283" s="205">
        <f>IFERROR((PA[[#This Row],[Work Completion time on fault]]-PA[[#This Row],[Fault Time]])*24,"")</f>
        <v>0</v>
      </c>
      <c r="AH283" s="36"/>
      <c r="AI283" s="33"/>
      <c r="AJ283" s="204" t="str">
        <f>IFERROR(PA[[#This Row],[Breakdown Time]]*PA[[#This Row],[Plant Equivalent Weightage]],"")</f>
        <v/>
      </c>
      <c r="AK283" s="38"/>
      <c r="AL283" s="51" t="str">
        <f>IFERROR((_xlfn.XLOOKUP($G283,'Modelling New'!D:D,'Modelling New'!$O:$O)*PA[[#This Row],[Lost PoA(kWh/m2)]]*PA[[#This Row],[DC Capacity Affected (kW)]]),"")</f>
        <v/>
      </c>
      <c r="AM283" s="33"/>
      <c r="AN283" s="33"/>
      <c r="AO283" s="33"/>
      <c r="AP283" s="33"/>
    </row>
    <row r="284" spans="1:42">
      <c r="A284" s="30">
        <f t="shared" si="2"/>
        <v>283</v>
      </c>
      <c r="B284" s="165"/>
      <c r="C284" s="212">
        <f>YEAR(PA[[#This Row],[Date]])+IF(MONTH(PA[[#This Row],[Date]])&gt;=4,1,0)</f>
        <v>1900</v>
      </c>
      <c r="D284" s="212">
        <f>YEAR(PA[[#This Row],[Date]])</f>
        <v>1900</v>
      </c>
      <c r="E284" s="37" t="s">
        <v>157</v>
      </c>
      <c r="F284" s="37" t="s">
        <v>157</v>
      </c>
      <c r="G284" s="214">
        <f>PA[[#This Row],[Date]]-DAY(PA[[#This Row],[Date]])+1</f>
        <v>1</v>
      </c>
      <c r="H284" s="32">
        <f>DAY(EOMONTH(PA[[#This Row],[Month Year]],0))</f>
        <v>31</v>
      </c>
      <c r="I284" s="34"/>
      <c r="J284" s="34"/>
      <c r="K284" s="35">
        <f>IFERROR((PA[[#This Row],[Sunset Time (POA&lt;20 W/m2)]]-PA[[#This Row],[Sunrise Time (POA&gt;20 W/m2)]])*24,"")</f>
        <v>0</v>
      </c>
      <c r="L284" s="33"/>
      <c r="M284" s="33"/>
      <c r="N284" s="33"/>
      <c r="O284" s="36"/>
      <c r="P284" s="36"/>
      <c r="Q284" s="33"/>
      <c r="R284" s="32">
        <f>IF((PA[[#This Row],[String Type(If String BD)]]&amp;PA[[#This Row],[Equipment (If any BD other than PV  array and inv)]])="",1,0)</f>
        <v>1</v>
      </c>
      <c r="S284" s="32">
        <f>IF(PA[[#This Row],[String Type(If String BD)]]="",1,0)</f>
        <v>1</v>
      </c>
      <c r="T2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4" s="35" t="str">
        <f>IFERROR(_xlfn.XLOOKUP(PA[[#This Row],[Affected Equipment ]],'Basic Data'!N:N,'Basic Data'!Q:Q),"")</f>
        <v/>
      </c>
      <c r="V284" s="207" t="str">
        <f>IFERROR(_xlfn.XLOOKUP(PA[[#This Row],[Affected Equipment ]],'Basic Data'!N:N,'Basic Data'!R:R),"")</f>
        <v/>
      </c>
      <c r="W284" s="36"/>
      <c r="X284" s="40"/>
      <c r="Y284" s="41"/>
      <c r="Z284" s="46"/>
      <c r="AA284" s="46"/>
      <c r="AB284" s="46"/>
      <c r="AC284" s="46"/>
      <c r="AD284" s="44">
        <f>IF(PA[[#This Row],[Acknowledgement Time ]]="NA","",(PA[[#This Row],[Acknowledgement Time ]]-PA[[#This Row],[Fault Time]])*24)</f>
        <v>0</v>
      </c>
      <c r="AE284" s="44">
        <f>IF(PA[[#This Row],[Work Start time on Fault]]="NA","",(PA[[#This Row],[Work Start time on Fault]]-PA[[#This Row],[Fault Time]])*24)</f>
        <v>0</v>
      </c>
      <c r="AF284" s="45">
        <f>IF(PA[[#This Row],[Status]]="Open","",(PA[[#This Row],[Work Completion time on fault]]-PA[[#This Row],[Fault Time]])*24)</f>
        <v>0</v>
      </c>
      <c r="AG284" s="44">
        <f>IFERROR((PA[[#This Row],[Work Completion time on fault]]-PA[[#This Row],[Fault Time]])*24,"")</f>
        <v>0</v>
      </c>
      <c r="AH284" s="36"/>
      <c r="AI284" s="33"/>
      <c r="AJ284" s="35" t="str">
        <f>IFERROR(PA[[#This Row],[Breakdown Time]]*PA[[#This Row],[Plant Equivalent Weightage]],"")</f>
        <v/>
      </c>
      <c r="AK284" s="36"/>
      <c r="AL284" s="51" t="str">
        <f>IFERROR((_xlfn.XLOOKUP($G284,'Modelling New'!D:D,'Modelling New'!$O:$O)*PA[[#This Row],[Lost PoA(kWh/m2)]]*PA[[#This Row],[DC Capacity Affected (kW)]]),"")</f>
        <v/>
      </c>
      <c r="AM284" s="33"/>
      <c r="AN284" s="33"/>
      <c r="AO284" s="33"/>
      <c r="AP284" s="33"/>
    </row>
    <row r="285" spans="1:42">
      <c r="A285" s="30">
        <f t="shared" si="2"/>
        <v>284</v>
      </c>
      <c r="B285" s="165"/>
      <c r="C285" s="212">
        <f>YEAR(PA[[#This Row],[Date]])+IF(MONTH(PA[[#This Row],[Date]])&gt;=4,1,0)</f>
        <v>1900</v>
      </c>
      <c r="D285" s="212">
        <f>YEAR(PA[[#This Row],[Date]])</f>
        <v>1900</v>
      </c>
      <c r="E285" s="37" t="s">
        <v>157</v>
      </c>
      <c r="F285" s="37" t="s">
        <v>157</v>
      </c>
      <c r="G285" s="214">
        <f>PA[[#This Row],[Date]]-DAY(PA[[#This Row],[Date]])+1</f>
        <v>1</v>
      </c>
      <c r="H285" s="32">
        <f>DAY(EOMONTH(PA[[#This Row],[Month Year]],0))</f>
        <v>31</v>
      </c>
      <c r="I285" s="34"/>
      <c r="J285" s="34"/>
      <c r="K285" s="35">
        <f>IFERROR((PA[[#This Row],[Sunset Time (POA&lt;20 W/m2)]]-PA[[#This Row],[Sunrise Time (POA&gt;20 W/m2)]])*24,"")</f>
        <v>0</v>
      </c>
      <c r="L285" s="33"/>
      <c r="M285" s="33"/>
      <c r="N285" s="33"/>
      <c r="O285" s="36"/>
      <c r="P285" s="36"/>
      <c r="Q285" s="33"/>
      <c r="R285" s="32">
        <f>IF((PA[[#This Row],[String Type(If String BD)]]&amp;PA[[#This Row],[Equipment (If any BD other than PV  array and inv)]])="",1,0)</f>
        <v>1</v>
      </c>
      <c r="S285" s="32">
        <f>IF(PA[[#This Row],[String Type(If String BD)]]="",1,0)</f>
        <v>1</v>
      </c>
      <c r="T2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5" s="35" t="str">
        <f>IFERROR(_xlfn.XLOOKUP(PA[[#This Row],[Affected Equipment ]],'Basic Data'!N:N,'Basic Data'!Q:Q),"")</f>
        <v/>
      </c>
      <c r="V285" s="207" t="str">
        <f>IFERROR(_xlfn.XLOOKUP(PA[[#This Row],[Affected Equipment ]],'Basic Data'!N:N,'Basic Data'!R:R),"")</f>
        <v/>
      </c>
      <c r="W285" s="36"/>
      <c r="X285" s="40"/>
      <c r="Y285" s="41"/>
      <c r="Z285" s="46"/>
      <c r="AA285" s="46"/>
      <c r="AB285" s="46"/>
      <c r="AC285" s="46"/>
      <c r="AD285" s="44">
        <f>IF(PA[[#This Row],[Acknowledgement Time ]]="NA","",(PA[[#This Row],[Acknowledgement Time ]]-PA[[#This Row],[Fault Time]])*24)</f>
        <v>0</v>
      </c>
      <c r="AE285" s="44">
        <f>IF(PA[[#This Row],[Work Start time on Fault]]="NA","",(PA[[#This Row],[Work Start time on Fault]]-PA[[#This Row],[Fault Time]])*24)</f>
        <v>0</v>
      </c>
      <c r="AF285" s="45">
        <f>IF(PA[[#This Row],[Status]]="Open","",(PA[[#This Row],[Work Completion time on fault]]-PA[[#This Row],[Fault Time]])*24)</f>
        <v>0</v>
      </c>
      <c r="AG285" s="44">
        <f>IFERROR((PA[[#This Row],[Work Completion time on fault]]-PA[[#This Row],[Fault Time]])*24,"")</f>
        <v>0</v>
      </c>
      <c r="AH285" s="36"/>
      <c r="AI285" s="33"/>
      <c r="AJ285" s="35" t="str">
        <f>IFERROR(PA[[#This Row],[Breakdown Time]]*PA[[#This Row],[Plant Equivalent Weightage]],"")</f>
        <v/>
      </c>
      <c r="AK285" s="38"/>
      <c r="AL285" s="51" t="str">
        <f>IFERROR((_xlfn.XLOOKUP($G285,'Modelling New'!D:D,'Modelling New'!$O:$O)*PA[[#This Row],[Lost PoA(kWh/m2)]]*PA[[#This Row],[DC Capacity Affected (kW)]]),"")</f>
        <v/>
      </c>
      <c r="AM285" s="33"/>
      <c r="AN285" s="33"/>
      <c r="AO285" s="33"/>
      <c r="AP285" s="33"/>
    </row>
    <row r="286" spans="1:42">
      <c r="A286" s="30">
        <f t="shared" si="2"/>
        <v>285</v>
      </c>
      <c r="B286" s="165"/>
      <c r="C286" s="212">
        <f>YEAR(PA[[#This Row],[Date]])+IF(MONTH(PA[[#This Row],[Date]])&gt;=4,1,0)</f>
        <v>1900</v>
      </c>
      <c r="D286" s="212">
        <f>YEAR(PA[[#This Row],[Date]])</f>
        <v>1900</v>
      </c>
      <c r="E286" s="37" t="s">
        <v>157</v>
      </c>
      <c r="F286" s="37" t="s">
        <v>157</v>
      </c>
      <c r="G286" s="214">
        <f>PA[[#This Row],[Date]]-DAY(PA[[#This Row],[Date]])+1</f>
        <v>1</v>
      </c>
      <c r="H286" s="32">
        <f>DAY(EOMONTH(PA[[#This Row],[Month Year]],0))</f>
        <v>31</v>
      </c>
      <c r="I286" s="34"/>
      <c r="J286" s="34"/>
      <c r="K286" s="35">
        <f>IFERROR((PA[[#This Row],[Sunset Time (POA&lt;20 W/m2)]]-PA[[#This Row],[Sunrise Time (POA&gt;20 W/m2)]])*24,"")</f>
        <v>0</v>
      </c>
      <c r="L286" s="33"/>
      <c r="M286" s="37"/>
      <c r="N286" s="33"/>
      <c r="O286" s="36"/>
      <c r="P286" s="36"/>
      <c r="Q286" s="33"/>
      <c r="R286" s="32">
        <f>IF((PA[[#This Row],[String Type(If String BD)]]&amp;PA[[#This Row],[Equipment (If any BD other than PV  array and inv)]])="",1,0)</f>
        <v>1</v>
      </c>
      <c r="S286" s="32">
        <f>IF(PA[[#This Row],[String Type(If String BD)]]="",1,0)</f>
        <v>1</v>
      </c>
      <c r="T2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6" s="35" t="str">
        <f>IFERROR(_xlfn.XLOOKUP(PA[[#This Row],[Affected Equipment ]],'Basic Data'!N:N,'Basic Data'!Q:Q),"")</f>
        <v/>
      </c>
      <c r="V286" s="207" t="str">
        <f>IFERROR(_xlfn.XLOOKUP(PA[[#This Row],[Affected Equipment ]],'Basic Data'!N:N,'Basic Data'!R:R),"")</f>
        <v/>
      </c>
      <c r="W286" s="36"/>
      <c r="X286" s="40"/>
      <c r="Y286" s="41"/>
      <c r="Z286" s="46"/>
      <c r="AA286" s="46"/>
      <c r="AB286" s="46"/>
      <c r="AC286" s="46"/>
      <c r="AD286" s="44">
        <f>IF(PA[[#This Row],[Acknowledgement Time ]]="NA","",(PA[[#This Row],[Acknowledgement Time ]]-PA[[#This Row],[Fault Time]])*24)</f>
        <v>0</v>
      </c>
      <c r="AE286" s="44">
        <f>IF(PA[[#This Row],[Work Start time on Fault]]="NA","",(PA[[#This Row],[Work Start time on Fault]]-PA[[#This Row],[Fault Time]])*24)</f>
        <v>0</v>
      </c>
      <c r="AF286" s="45">
        <f>IF(PA[[#This Row],[Status]]="Open","",(PA[[#This Row],[Work Completion time on fault]]-PA[[#This Row],[Fault Time]])*24)</f>
        <v>0</v>
      </c>
      <c r="AG286" s="44">
        <f>IFERROR((PA[[#This Row],[Work Completion time on fault]]-PA[[#This Row],[Fault Time]])*24,"")</f>
        <v>0</v>
      </c>
      <c r="AH286" s="36"/>
      <c r="AI286" s="33"/>
      <c r="AJ286" s="35" t="str">
        <f>IFERROR(PA[[#This Row],[Breakdown Time]]*PA[[#This Row],[Plant Equivalent Weightage]],"")</f>
        <v/>
      </c>
      <c r="AK286" s="36"/>
      <c r="AL286" s="51" t="str">
        <f>IFERROR((_xlfn.XLOOKUP($G286,'Modelling New'!D:D,'Modelling New'!$O:$O)*PA[[#This Row],[Lost PoA(kWh/m2)]]*PA[[#This Row],[DC Capacity Affected (kW)]]),"")</f>
        <v/>
      </c>
      <c r="AM286" s="33"/>
      <c r="AN286" s="33"/>
      <c r="AO286" s="33"/>
      <c r="AP286" s="33"/>
    </row>
    <row r="287" spans="1:42">
      <c r="A287" s="30">
        <f t="shared" si="2"/>
        <v>286</v>
      </c>
      <c r="B287" s="165"/>
      <c r="C287" s="212">
        <f>YEAR(PA[[#This Row],[Date]])+IF(MONTH(PA[[#This Row],[Date]])&gt;=4,1,0)</f>
        <v>1900</v>
      </c>
      <c r="D287" s="212">
        <f>YEAR(PA[[#This Row],[Date]])</f>
        <v>1900</v>
      </c>
      <c r="E287" s="37" t="s">
        <v>157</v>
      </c>
      <c r="F287" s="37" t="s">
        <v>157</v>
      </c>
      <c r="G287" s="214">
        <f>PA[[#This Row],[Date]]-DAY(PA[[#This Row],[Date]])+1</f>
        <v>1</v>
      </c>
      <c r="H287" s="32">
        <f>DAY(EOMONTH(PA[[#This Row],[Month Year]],0))</f>
        <v>31</v>
      </c>
      <c r="I287" s="34"/>
      <c r="J287" s="34"/>
      <c r="K287" s="35">
        <f>IFERROR((PA[[#This Row],[Sunset Time (POA&lt;20 W/m2)]]-PA[[#This Row],[Sunrise Time (POA&gt;20 W/m2)]])*24,"")</f>
        <v>0</v>
      </c>
      <c r="L287" s="33"/>
      <c r="M287" s="37"/>
      <c r="N287" s="33"/>
      <c r="O287" s="36"/>
      <c r="P287" s="36"/>
      <c r="Q287" s="33"/>
      <c r="R287" s="32">
        <f>IF((PA[[#This Row],[String Type(If String BD)]]&amp;PA[[#This Row],[Equipment (If any BD other than PV  array and inv)]])="",1,0)</f>
        <v>1</v>
      </c>
      <c r="S287" s="32">
        <f>IF(PA[[#This Row],[String Type(If String BD)]]="",1,0)</f>
        <v>1</v>
      </c>
      <c r="T2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7" s="35" t="str">
        <f>IFERROR(_xlfn.XLOOKUP(PA[[#This Row],[Affected Equipment ]],'Basic Data'!N:N,'Basic Data'!Q:Q),"")</f>
        <v/>
      </c>
      <c r="V287" s="207" t="str">
        <f>IFERROR(_xlfn.XLOOKUP(PA[[#This Row],[Affected Equipment ]],'Basic Data'!N:N,'Basic Data'!R:R),"")</f>
        <v/>
      </c>
      <c r="W287" s="36"/>
      <c r="X287" s="40"/>
      <c r="Y287" s="41"/>
      <c r="Z287" s="46"/>
      <c r="AA287" s="46"/>
      <c r="AB287" s="46"/>
      <c r="AC287" s="46"/>
      <c r="AD287" s="44">
        <f>IF(PA[[#This Row],[Acknowledgement Time ]]="NA","",(PA[[#This Row],[Acknowledgement Time ]]-PA[[#This Row],[Fault Time]])*24)</f>
        <v>0</v>
      </c>
      <c r="AE287" s="44">
        <f>IF(PA[[#This Row],[Work Start time on Fault]]="NA","",(PA[[#This Row],[Work Start time on Fault]]-PA[[#This Row],[Fault Time]])*24)</f>
        <v>0</v>
      </c>
      <c r="AF287" s="45">
        <f>IF(PA[[#This Row],[Status]]="Open","",(PA[[#This Row],[Work Completion time on fault]]-PA[[#This Row],[Fault Time]])*24)</f>
        <v>0</v>
      </c>
      <c r="AG287" s="44">
        <f>IFERROR((PA[[#This Row],[Work Completion time on fault]]-PA[[#This Row],[Fault Time]])*24,"")</f>
        <v>0</v>
      </c>
      <c r="AH287" s="36"/>
      <c r="AI287" s="33"/>
      <c r="AJ287" s="35" t="str">
        <f>IFERROR(PA[[#This Row],[Breakdown Time]]*PA[[#This Row],[Plant Equivalent Weightage]],"")</f>
        <v/>
      </c>
      <c r="AK287" s="36"/>
      <c r="AL287" s="51" t="str">
        <f>IFERROR((_xlfn.XLOOKUP($G287,'Modelling New'!D:D,'Modelling New'!$O:$O)*PA[[#This Row],[Lost PoA(kWh/m2)]]*PA[[#This Row],[DC Capacity Affected (kW)]]),"")</f>
        <v/>
      </c>
      <c r="AM287" s="33"/>
      <c r="AN287" s="33"/>
      <c r="AO287" s="33"/>
      <c r="AP287" s="33"/>
    </row>
    <row r="288" spans="1:42">
      <c r="A288" s="30">
        <f t="shared" si="2"/>
        <v>287</v>
      </c>
      <c r="B288" s="165"/>
      <c r="C288" s="212">
        <f>YEAR(PA[[#This Row],[Date]])+IF(MONTH(PA[[#This Row],[Date]])&gt;=4,1,0)</f>
        <v>1900</v>
      </c>
      <c r="D288" s="212">
        <f>YEAR(PA[[#This Row],[Date]])</f>
        <v>1900</v>
      </c>
      <c r="E288" s="37" t="s">
        <v>157</v>
      </c>
      <c r="F288" s="37" t="s">
        <v>157</v>
      </c>
      <c r="G288" s="214">
        <f>PA[[#This Row],[Date]]-DAY(PA[[#This Row],[Date]])+1</f>
        <v>1</v>
      </c>
      <c r="H288" s="32">
        <f>DAY(EOMONTH(PA[[#This Row],[Month Year]],0))</f>
        <v>31</v>
      </c>
      <c r="I288" s="34"/>
      <c r="J288" s="34"/>
      <c r="K288" s="35">
        <f>IFERROR((PA[[#This Row],[Sunset Time (POA&lt;20 W/m2)]]-PA[[#This Row],[Sunrise Time (POA&gt;20 W/m2)]])*24,"")</f>
        <v>0</v>
      </c>
      <c r="L288" s="33"/>
      <c r="M288" s="33"/>
      <c r="N288" s="33"/>
      <c r="O288" s="36"/>
      <c r="P288" s="36"/>
      <c r="Q288" s="33"/>
      <c r="R288" s="32">
        <f>IF((PA[[#This Row],[String Type(If String BD)]]&amp;PA[[#This Row],[Equipment (If any BD other than PV  array and inv)]])="",1,0)</f>
        <v>1</v>
      </c>
      <c r="S288" s="32">
        <f>IF(PA[[#This Row],[String Type(If String BD)]]="",1,0)</f>
        <v>1</v>
      </c>
      <c r="T2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8" s="35" t="str">
        <f>IFERROR(_xlfn.XLOOKUP(PA[[#This Row],[Affected Equipment ]],'Basic Data'!N:N,'Basic Data'!Q:Q),"")</f>
        <v/>
      </c>
      <c r="V288" s="207" t="str">
        <f>IFERROR(_xlfn.XLOOKUP(PA[[#This Row],[Affected Equipment ]],'Basic Data'!N:N,'Basic Data'!R:R),"")</f>
        <v/>
      </c>
      <c r="W288" s="36"/>
      <c r="X288" s="40"/>
      <c r="Y288" s="41"/>
      <c r="Z288" s="46"/>
      <c r="AA288" s="42"/>
      <c r="AB288" s="43"/>
      <c r="AC288" s="46"/>
      <c r="AD288" s="44">
        <f>IF(PA[[#This Row],[Acknowledgement Time ]]="NA","",(PA[[#This Row],[Acknowledgement Time ]]-PA[[#This Row],[Fault Time]])*24)</f>
        <v>0</v>
      </c>
      <c r="AE288" s="44">
        <f>IF(PA[[#This Row],[Work Start time on Fault]]="NA","",(PA[[#This Row],[Work Start time on Fault]]-PA[[#This Row],[Fault Time]])*24)</f>
        <v>0</v>
      </c>
      <c r="AF288" s="45">
        <f>IF(PA[[#This Row],[Status]]="Open","",(PA[[#This Row],[Work Completion time on fault]]-PA[[#This Row],[Fault Time]])*24)</f>
        <v>0</v>
      </c>
      <c r="AG288" s="44">
        <f>IFERROR((PA[[#This Row],[Work Completion time on fault]]-PA[[#This Row],[Fault Time]])*24,"")</f>
        <v>0</v>
      </c>
      <c r="AH288" s="36"/>
      <c r="AI288" s="33"/>
      <c r="AJ288" s="35" t="str">
        <f>IFERROR(PA[[#This Row],[Breakdown Time]]*PA[[#This Row],[Plant Equivalent Weightage]],"")</f>
        <v/>
      </c>
      <c r="AK288" s="36"/>
      <c r="AL288" s="51" t="str">
        <f>IFERROR((_xlfn.XLOOKUP($G288,'Modelling New'!D:D,'Modelling New'!$O:$O)*PA[[#This Row],[Lost PoA(kWh/m2)]]*PA[[#This Row],[DC Capacity Affected (kW)]]),"")</f>
        <v/>
      </c>
      <c r="AM288" s="33"/>
      <c r="AN288" s="33"/>
      <c r="AO288" s="33"/>
      <c r="AP288" s="33"/>
    </row>
    <row r="289" spans="1:42">
      <c r="A289" s="30">
        <f t="shared" si="2"/>
        <v>288</v>
      </c>
      <c r="B289" s="165"/>
      <c r="C289" s="212">
        <f>YEAR(PA[[#This Row],[Date]])+IF(MONTH(PA[[#This Row],[Date]])&gt;=4,1,0)</f>
        <v>1900</v>
      </c>
      <c r="D289" s="212">
        <f>YEAR(PA[[#This Row],[Date]])</f>
        <v>1900</v>
      </c>
      <c r="E289" s="37" t="s">
        <v>157</v>
      </c>
      <c r="F289" s="37" t="s">
        <v>157</v>
      </c>
      <c r="G289" s="214">
        <f>PA[[#This Row],[Date]]-DAY(PA[[#This Row],[Date]])+1</f>
        <v>1</v>
      </c>
      <c r="H289" s="32">
        <f>DAY(EOMONTH(PA[[#This Row],[Month Year]],0))</f>
        <v>31</v>
      </c>
      <c r="I289" s="34"/>
      <c r="J289" s="34"/>
      <c r="K289" s="35">
        <f>IFERROR((PA[[#This Row],[Sunset Time (POA&lt;20 W/m2)]]-PA[[#This Row],[Sunrise Time (POA&gt;20 W/m2)]])*24,"")</f>
        <v>0</v>
      </c>
      <c r="L289" s="33"/>
      <c r="M289" s="33"/>
      <c r="N289" s="33"/>
      <c r="O289" s="36"/>
      <c r="P289" s="36"/>
      <c r="Q289" s="33"/>
      <c r="R289" s="32">
        <f>IF((PA[[#This Row],[String Type(If String BD)]]&amp;PA[[#This Row],[Equipment (If any BD other than PV  array and inv)]])="",1,0)</f>
        <v>1</v>
      </c>
      <c r="S289" s="32">
        <f>IF(PA[[#This Row],[String Type(If String BD)]]="",1,0)</f>
        <v>1</v>
      </c>
      <c r="T2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89" s="35" t="str">
        <f>IFERROR(_xlfn.XLOOKUP(PA[[#This Row],[Affected Equipment ]],'Basic Data'!N:N,'Basic Data'!Q:Q),"")</f>
        <v/>
      </c>
      <c r="V289" s="207" t="str">
        <f>IFERROR(_xlfn.XLOOKUP(PA[[#This Row],[Affected Equipment ]],'Basic Data'!N:N,'Basic Data'!R:R),"")</f>
        <v/>
      </c>
      <c r="W289" s="36"/>
      <c r="X289" s="40"/>
      <c r="Y289" s="41"/>
      <c r="Z289" s="46"/>
      <c r="AA289" s="42"/>
      <c r="AB289" s="43"/>
      <c r="AC289" s="46"/>
      <c r="AD289" s="44">
        <f>IF(PA[[#This Row],[Acknowledgement Time ]]="NA","",(PA[[#This Row],[Acknowledgement Time ]]-PA[[#This Row],[Fault Time]])*24)</f>
        <v>0</v>
      </c>
      <c r="AE289" s="44">
        <f>IF(PA[[#This Row],[Work Start time on Fault]]="NA","",(PA[[#This Row],[Work Start time on Fault]]-PA[[#This Row],[Fault Time]])*24)</f>
        <v>0</v>
      </c>
      <c r="AF289" s="45">
        <f>IF(PA[[#This Row],[Status]]="Open","",(PA[[#This Row],[Work Completion time on fault]]-PA[[#This Row],[Fault Time]])*24)</f>
        <v>0</v>
      </c>
      <c r="AG289" s="44">
        <f>IFERROR((PA[[#This Row],[Work Completion time on fault]]-PA[[#This Row],[Fault Time]])*24,"")</f>
        <v>0</v>
      </c>
      <c r="AH289" s="36"/>
      <c r="AI289" s="33"/>
      <c r="AJ289" s="35" t="str">
        <f>IFERROR(PA[[#This Row],[Breakdown Time]]*PA[[#This Row],[Plant Equivalent Weightage]],"")</f>
        <v/>
      </c>
      <c r="AK289" s="36"/>
      <c r="AL289" s="51" t="str">
        <f>IFERROR((_xlfn.XLOOKUP($G289,'Modelling New'!D:D,'Modelling New'!$O:$O)*PA[[#This Row],[Lost PoA(kWh/m2)]]*PA[[#This Row],[DC Capacity Affected (kW)]]),"")</f>
        <v/>
      </c>
      <c r="AM289" s="33"/>
      <c r="AN289" s="33"/>
      <c r="AO289" s="33"/>
      <c r="AP289" s="33"/>
    </row>
    <row r="290" spans="1:42">
      <c r="A290" s="30">
        <f t="shared" si="2"/>
        <v>289</v>
      </c>
      <c r="B290" s="165"/>
      <c r="C290" s="212">
        <f>YEAR(PA[[#This Row],[Date]])+IF(MONTH(PA[[#This Row],[Date]])&gt;=4,1,0)</f>
        <v>1900</v>
      </c>
      <c r="D290" s="212">
        <f>YEAR(PA[[#This Row],[Date]])</f>
        <v>1900</v>
      </c>
      <c r="E290" s="37" t="s">
        <v>157</v>
      </c>
      <c r="F290" s="37" t="s">
        <v>157</v>
      </c>
      <c r="G290" s="214">
        <f>PA[[#This Row],[Date]]-DAY(PA[[#This Row],[Date]])+1</f>
        <v>1</v>
      </c>
      <c r="H290" s="32">
        <f>DAY(EOMONTH(PA[[#This Row],[Month Year]],0))</f>
        <v>31</v>
      </c>
      <c r="I290" s="34"/>
      <c r="J290" s="34"/>
      <c r="K290" s="35">
        <f>IFERROR((PA[[#This Row],[Sunset Time (POA&lt;20 W/m2)]]-PA[[#This Row],[Sunrise Time (POA&gt;20 W/m2)]])*24,"")</f>
        <v>0</v>
      </c>
      <c r="L290" s="33"/>
      <c r="M290" s="33"/>
      <c r="N290" s="33"/>
      <c r="O290" s="36"/>
      <c r="P290" s="36"/>
      <c r="Q290" s="33"/>
      <c r="R290" s="32">
        <f>IF((PA[[#This Row],[String Type(If String BD)]]&amp;PA[[#This Row],[Equipment (If any BD other than PV  array and inv)]])="",1,0)</f>
        <v>1</v>
      </c>
      <c r="S290" s="32">
        <f>IF(PA[[#This Row],[String Type(If String BD)]]="",1,0)</f>
        <v>1</v>
      </c>
      <c r="T2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0" s="35" t="str">
        <f>IFERROR(_xlfn.XLOOKUP(PA[[#This Row],[Affected Equipment ]],'Basic Data'!N:N,'Basic Data'!Q:Q),"")</f>
        <v/>
      </c>
      <c r="V290" s="207" t="str">
        <f>IFERROR(_xlfn.XLOOKUP(PA[[#This Row],[Affected Equipment ]],'Basic Data'!N:N,'Basic Data'!R:R),"")</f>
        <v/>
      </c>
      <c r="W290" s="36"/>
      <c r="X290" s="40"/>
      <c r="Y290" s="41"/>
      <c r="Z290" s="46"/>
      <c r="AA290" s="42"/>
      <c r="AB290" s="43"/>
      <c r="AC290" s="46"/>
      <c r="AD290" s="44">
        <f>IF(PA[[#This Row],[Acknowledgement Time ]]="NA","",(PA[[#This Row],[Acknowledgement Time ]]-PA[[#This Row],[Fault Time]])*24)</f>
        <v>0</v>
      </c>
      <c r="AE290" s="44">
        <f>IF(PA[[#This Row],[Work Start time on Fault]]="NA","",(PA[[#This Row],[Work Start time on Fault]]-PA[[#This Row],[Fault Time]])*24)</f>
        <v>0</v>
      </c>
      <c r="AF290" s="45">
        <f>IF(PA[[#This Row],[Status]]="Open","",(PA[[#This Row],[Work Completion time on fault]]-PA[[#This Row],[Fault Time]])*24)</f>
        <v>0</v>
      </c>
      <c r="AG290" s="44">
        <f>IFERROR((PA[[#This Row],[Work Completion time on fault]]-PA[[#This Row],[Fault Time]])*24,"")</f>
        <v>0</v>
      </c>
      <c r="AH290" s="36"/>
      <c r="AI290" s="33"/>
      <c r="AJ290" s="35" t="str">
        <f>IFERROR(PA[[#This Row],[Breakdown Time]]*PA[[#This Row],[Plant Equivalent Weightage]],"")</f>
        <v/>
      </c>
      <c r="AK290" s="36"/>
      <c r="AL290" s="51" t="str">
        <f>IFERROR((_xlfn.XLOOKUP($G290,'Modelling New'!D:D,'Modelling New'!$O:$O)*PA[[#This Row],[Lost PoA(kWh/m2)]]*PA[[#This Row],[DC Capacity Affected (kW)]]),"")</f>
        <v/>
      </c>
      <c r="AM290" s="33"/>
      <c r="AN290" s="33"/>
      <c r="AO290" s="33"/>
      <c r="AP290" s="33"/>
    </row>
    <row r="291" spans="1:42">
      <c r="A291" s="30">
        <f t="shared" si="2"/>
        <v>290</v>
      </c>
      <c r="B291" s="165"/>
      <c r="C291" s="212">
        <f>YEAR(PA[[#This Row],[Date]])+IF(MONTH(PA[[#This Row],[Date]])&gt;=4,1,0)</f>
        <v>1900</v>
      </c>
      <c r="D291" s="212">
        <f>YEAR(PA[[#This Row],[Date]])</f>
        <v>1900</v>
      </c>
      <c r="E291" s="37" t="s">
        <v>157</v>
      </c>
      <c r="F291" s="37" t="s">
        <v>157</v>
      </c>
      <c r="G291" s="214">
        <f>PA[[#This Row],[Date]]-DAY(PA[[#This Row],[Date]])+1</f>
        <v>1</v>
      </c>
      <c r="H291" s="32">
        <f>DAY(EOMONTH(PA[[#This Row],[Month Year]],0))</f>
        <v>31</v>
      </c>
      <c r="I291" s="34"/>
      <c r="J291" s="34"/>
      <c r="K291" s="35">
        <f>IFERROR((PA[[#This Row],[Sunset Time (POA&lt;20 W/m2)]]-PA[[#This Row],[Sunrise Time (POA&gt;20 W/m2)]])*24,"")</f>
        <v>0</v>
      </c>
      <c r="L291" s="33"/>
      <c r="M291" s="33"/>
      <c r="N291" s="33"/>
      <c r="O291" s="36"/>
      <c r="P291" s="36"/>
      <c r="Q291" s="33"/>
      <c r="R291" s="32">
        <f>IF((PA[[#This Row],[String Type(If String BD)]]&amp;PA[[#This Row],[Equipment (If any BD other than PV  array and inv)]])="",1,0)</f>
        <v>1</v>
      </c>
      <c r="S291" s="32">
        <f>IF(PA[[#This Row],[String Type(If String BD)]]="",1,0)</f>
        <v>1</v>
      </c>
      <c r="T29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1" s="35" t="str">
        <f>IFERROR(_xlfn.XLOOKUP(PA[[#This Row],[Affected Equipment ]],'Basic Data'!N:N,'Basic Data'!Q:Q),"")</f>
        <v/>
      </c>
      <c r="V291" s="207" t="str">
        <f>IFERROR(_xlfn.XLOOKUP(PA[[#This Row],[Affected Equipment ]],'Basic Data'!N:N,'Basic Data'!R:R),"")</f>
        <v/>
      </c>
      <c r="W291" s="36"/>
      <c r="X291" s="40"/>
      <c r="Y291" s="41"/>
      <c r="Z291" s="46"/>
      <c r="AA291" s="42"/>
      <c r="AB291" s="43"/>
      <c r="AC291" s="46"/>
      <c r="AD291" s="44">
        <f>IF(PA[[#This Row],[Acknowledgement Time ]]="NA","",(PA[[#This Row],[Acknowledgement Time ]]-PA[[#This Row],[Fault Time]])*24)</f>
        <v>0</v>
      </c>
      <c r="AE291" s="44">
        <f>IF(PA[[#This Row],[Work Start time on Fault]]="NA","",(PA[[#This Row],[Work Start time on Fault]]-PA[[#This Row],[Fault Time]])*24)</f>
        <v>0</v>
      </c>
      <c r="AF291" s="45">
        <f>IF(PA[[#This Row],[Status]]="Open","",(PA[[#This Row],[Work Completion time on fault]]-PA[[#This Row],[Fault Time]])*24)</f>
        <v>0</v>
      </c>
      <c r="AG291" s="44">
        <f>IFERROR((PA[[#This Row],[Work Completion time on fault]]-PA[[#This Row],[Fault Time]])*24,"")</f>
        <v>0</v>
      </c>
      <c r="AH291" s="36"/>
      <c r="AI291" s="33"/>
      <c r="AJ291" s="35" t="str">
        <f>IFERROR(PA[[#This Row],[Breakdown Time]]*PA[[#This Row],[Plant Equivalent Weightage]],"")</f>
        <v/>
      </c>
      <c r="AK291" s="36"/>
      <c r="AL291" s="51" t="str">
        <f>IFERROR((_xlfn.XLOOKUP($G291,'Modelling New'!D:D,'Modelling New'!$O:$O)*PA[[#This Row],[Lost PoA(kWh/m2)]]*PA[[#This Row],[DC Capacity Affected (kW)]]),"")</f>
        <v/>
      </c>
      <c r="AM291" s="33"/>
      <c r="AN291" s="33"/>
      <c r="AO291" s="33"/>
      <c r="AP291" s="33"/>
    </row>
    <row r="292" spans="1:42">
      <c r="A292" s="30">
        <f t="shared" si="2"/>
        <v>291</v>
      </c>
      <c r="B292" s="165"/>
      <c r="C292" s="212">
        <f>YEAR(PA[[#This Row],[Date]])+IF(MONTH(PA[[#This Row],[Date]])&gt;=4,1,0)</f>
        <v>1900</v>
      </c>
      <c r="D292" s="212">
        <f>YEAR(PA[[#This Row],[Date]])</f>
        <v>1900</v>
      </c>
      <c r="E292" s="37" t="s">
        <v>157</v>
      </c>
      <c r="F292" s="37" t="s">
        <v>157</v>
      </c>
      <c r="G292" s="214">
        <f>PA[[#This Row],[Date]]-DAY(PA[[#This Row],[Date]])+1</f>
        <v>1</v>
      </c>
      <c r="H292" s="32">
        <f>DAY(EOMONTH(PA[[#This Row],[Month Year]],0))</f>
        <v>31</v>
      </c>
      <c r="I292" s="34"/>
      <c r="J292" s="34"/>
      <c r="K292" s="35">
        <f>IFERROR((PA[[#This Row],[Sunset Time (POA&lt;20 W/m2)]]-PA[[#This Row],[Sunrise Time (POA&gt;20 W/m2)]])*24,"")</f>
        <v>0</v>
      </c>
      <c r="L292" s="33"/>
      <c r="M292" s="33"/>
      <c r="N292" s="33"/>
      <c r="O292" s="36"/>
      <c r="P292" s="36"/>
      <c r="Q292" s="33"/>
      <c r="R292" s="32">
        <f>IF((PA[[#This Row],[String Type(If String BD)]]&amp;PA[[#This Row],[Equipment (If any BD other than PV  array and inv)]])="",1,0)</f>
        <v>1</v>
      </c>
      <c r="S292" s="32">
        <f>IF(PA[[#This Row],[String Type(If String BD)]]="",1,0)</f>
        <v>1</v>
      </c>
      <c r="T29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2" s="35" t="str">
        <f>IFERROR(_xlfn.XLOOKUP(PA[[#This Row],[Affected Equipment ]],'Basic Data'!N:N,'Basic Data'!Q:Q),"")</f>
        <v/>
      </c>
      <c r="V292" s="207" t="str">
        <f>IFERROR(_xlfn.XLOOKUP(PA[[#This Row],[Affected Equipment ]],'Basic Data'!N:N,'Basic Data'!R:R),"")</f>
        <v/>
      </c>
      <c r="W292" s="36"/>
      <c r="X292" s="40"/>
      <c r="Y292" s="41"/>
      <c r="Z292" s="46"/>
      <c r="AA292" s="42"/>
      <c r="AB292" s="43"/>
      <c r="AC292" s="46"/>
      <c r="AD292" s="44">
        <f>IF(PA[[#This Row],[Acknowledgement Time ]]="NA","",(PA[[#This Row],[Acknowledgement Time ]]-PA[[#This Row],[Fault Time]])*24)</f>
        <v>0</v>
      </c>
      <c r="AE292" s="44">
        <f>IF(PA[[#This Row],[Work Start time on Fault]]="NA","",(PA[[#This Row],[Work Start time on Fault]]-PA[[#This Row],[Fault Time]])*24)</f>
        <v>0</v>
      </c>
      <c r="AF292" s="45">
        <f>IF(PA[[#This Row],[Status]]="Open","",(PA[[#This Row],[Work Completion time on fault]]-PA[[#This Row],[Fault Time]])*24)</f>
        <v>0</v>
      </c>
      <c r="AG292" s="44">
        <f>IFERROR((PA[[#This Row],[Work Completion time on fault]]-PA[[#This Row],[Fault Time]])*24,"")</f>
        <v>0</v>
      </c>
      <c r="AH292" s="36"/>
      <c r="AI292" s="33"/>
      <c r="AJ292" s="35" t="str">
        <f>IFERROR(PA[[#This Row],[Breakdown Time]]*PA[[#This Row],[Plant Equivalent Weightage]],"")</f>
        <v/>
      </c>
      <c r="AK292" s="36"/>
      <c r="AL292" s="51" t="str">
        <f>IFERROR((_xlfn.XLOOKUP($G292,'Modelling New'!D:D,'Modelling New'!$O:$O)*PA[[#This Row],[Lost PoA(kWh/m2)]]*PA[[#This Row],[DC Capacity Affected (kW)]]),"")</f>
        <v/>
      </c>
      <c r="AM292" s="33"/>
      <c r="AN292" s="33"/>
      <c r="AO292" s="33"/>
      <c r="AP292" s="33"/>
    </row>
    <row r="293" spans="1:42">
      <c r="A293" s="30">
        <f t="shared" si="2"/>
        <v>292</v>
      </c>
      <c r="B293" s="165"/>
      <c r="C293" s="212">
        <f>YEAR(PA[[#This Row],[Date]])+IF(MONTH(PA[[#This Row],[Date]])&gt;=4,1,0)</f>
        <v>1900</v>
      </c>
      <c r="D293" s="212">
        <f>YEAR(PA[[#This Row],[Date]])</f>
        <v>1900</v>
      </c>
      <c r="E293" s="37" t="s">
        <v>157</v>
      </c>
      <c r="F293" s="37" t="s">
        <v>157</v>
      </c>
      <c r="G293" s="214">
        <f>PA[[#This Row],[Date]]-DAY(PA[[#This Row],[Date]])+1</f>
        <v>1</v>
      </c>
      <c r="H293" s="32">
        <f>DAY(EOMONTH(PA[[#This Row],[Month Year]],0))</f>
        <v>31</v>
      </c>
      <c r="I293" s="34"/>
      <c r="J293" s="34"/>
      <c r="K293" s="35">
        <f>IFERROR((PA[[#This Row],[Sunset Time (POA&lt;20 W/m2)]]-PA[[#This Row],[Sunrise Time (POA&gt;20 W/m2)]])*24,"")</f>
        <v>0</v>
      </c>
      <c r="L293" s="33"/>
      <c r="M293" s="33"/>
      <c r="N293" s="33"/>
      <c r="O293" s="36"/>
      <c r="P293" s="36"/>
      <c r="Q293" s="33"/>
      <c r="R293" s="32">
        <f>IF((PA[[#This Row],[String Type(If String BD)]]&amp;PA[[#This Row],[Equipment (If any BD other than PV  array and inv)]])="",1,0)</f>
        <v>1</v>
      </c>
      <c r="S293" s="32">
        <f>IF(PA[[#This Row],[String Type(If String BD)]]="",1,0)</f>
        <v>1</v>
      </c>
      <c r="T2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3" s="35" t="str">
        <f>IFERROR(_xlfn.XLOOKUP(PA[[#This Row],[Affected Equipment ]],'Basic Data'!N:N,'Basic Data'!Q:Q),"")</f>
        <v/>
      </c>
      <c r="V293" s="207" t="str">
        <f>IFERROR(_xlfn.XLOOKUP(PA[[#This Row],[Affected Equipment ]],'Basic Data'!N:N,'Basic Data'!R:R),"")</f>
        <v/>
      </c>
      <c r="W293" s="36"/>
      <c r="X293" s="40"/>
      <c r="Y293" s="41"/>
      <c r="Z293" s="46"/>
      <c r="AA293" s="42"/>
      <c r="AB293" s="43"/>
      <c r="AC293" s="46"/>
      <c r="AD293" s="44">
        <f>IF(PA[[#This Row],[Acknowledgement Time ]]="NA","",(PA[[#This Row],[Acknowledgement Time ]]-PA[[#This Row],[Fault Time]])*24)</f>
        <v>0</v>
      </c>
      <c r="AE293" s="44">
        <f>IF(PA[[#This Row],[Work Start time on Fault]]="NA","",(PA[[#This Row],[Work Start time on Fault]]-PA[[#This Row],[Fault Time]])*24)</f>
        <v>0</v>
      </c>
      <c r="AF293" s="45">
        <f>IF(PA[[#This Row],[Status]]="Open","",(PA[[#This Row],[Work Completion time on fault]]-PA[[#This Row],[Fault Time]])*24)</f>
        <v>0</v>
      </c>
      <c r="AG293" s="44">
        <f>IFERROR((PA[[#This Row],[Work Completion time on fault]]-PA[[#This Row],[Fault Time]])*24,"")</f>
        <v>0</v>
      </c>
      <c r="AH293" s="36"/>
      <c r="AI293" s="33"/>
      <c r="AJ293" s="35" t="str">
        <f>IFERROR(PA[[#This Row],[Breakdown Time]]*PA[[#This Row],[Plant Equivalent Weightage]],"")</f>
        <v/>
      </c>
      <c r="AK293" s="36"/>
      <c r="AL293" s="51" t="str">
        <f>IFERROR((_xlfn.XLOOKUP($G293,'Modelling New'!D:D,'Modelling New'!$O:$O)*PA[[#This Row],[Lost PoA(kWh/m2)]]*PA[[#This Row],[DC Capacity Affected (kW)]]),"")</f>
        <v/>
      </c>
      <c r="AM293" s="33"/>
      <c r="AN293" s="33"/>
      <c r="AO293" s="33"/>
      <c r="AP293" s="33"/>
    </row>
    <row r="294" spans="1:42">
      <c r="A294" s="30">
        <f t="shared" si="2"/>
        <v>293</v>
      </c>
      <c r="B294" s="165"/>
      <c r="C294" s="212">
        <f>YEAR(PA[[#This Row],[Date]])+IF(MONTH(PA[[#This Row],[Date]])&gt;=4,1,0)</f>
        <v>1900</v>
      </c>
      <c r="D294" s="212">
        <f>YEAR(PA[[#This Row],[Date]])</f>
        <v>1900</v>
      </c>
      <c r="E294" s="37" t="s">
        <v>157</v>
      </c>
      <c r="F294" s="37" t="s">
        <v>157</v>
      </c>
      <c r="G294" s="214">
        <f>PA[[#This Row],[Date]]-DAY(PA[[#This Row],[Date]])+1</f>
        <v>1</v>
      </c>
      <c r="H294" s="32">
        <f>DAY(EOMONTH(PA[[#This Row],[Month Year]],0))</f>
        <v>31</v>
      </c>
      <c r="I294" s="34"/>
      <c r="J294" s="34"/>
      <c r="K294" s="35">
        <f>IFERROR((PA[[#This Row],[Sunset Time (POA&lt;20 W/m2)]]-PA[[#This Row],[Sunrise Time (POA&gt;20 W/m2)]])*24,"")</f>
        <v>0</v>
      </c>
      <c r="L294" s="33"/>
      <c r="M294" s="33"/>
      <c r="N294" s="33"/>
      <c r="O294" s="36"/>
      <c r="P294" s="36"/>
      <c r="Q294" s="33"/>
      <c r="R294" s="32">
        <f>IF((PA[[#This Row],[String Type(If String BD)]]&amp;PA[[#This Row],[Equipment (If any BD other than PV  array and inv)]])="",1,0)</f>
        <v>1</v>
      </c>
      <c r="S294" s="32">
        <f>IF(PA[[#This Row],[String Type(If String BD)]]="",1,0)</f>
        <v>1</v>
      </c>
      <c r="T2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4" s="35" t="str">
        <f>IFERROR(_xlfn.XLOOKUP(PA[[#This Row],[Affected Equipment ]],'Basic Data'!N:N,'Basic Data'!Q:Q),"")</f>
        <v/>
      </c>
      <c r="V294" s="207" t="str">
        <f>IFERROR(_xlfn.XLOOKUP(PA[[#This Row],[Affected Equipment ]],'Basic Data'!N:N,'Basic Data'!R:R),"")</f>
        <v/>
      </c>
      <c r="W294" s="36"/>
      <c r="X294" s="40"/>
      <c r="Y294" s="41"/>
      <c r="Z294" s="46"/>
      <c r="AA294" s="42"/>
      <c r="AB294" s="43"/>
      <c r="AC294" s="46"/>
      <c r="AD294" s="44">
        <f>IF(PA[[#This Row],[Acknowledgement Time ]]="NA","",(PA[[#This Row],[Acknowledgement Time ]]-PA[[#This Row],[Fault Time]])*24)</f>
        <v>0</v>
      </c>
      <c r="AE294" s="44">
        <f>IF(PA[[#This Row],[Work Start time on Fault]]="NA","",(PA[[#This Row],[Work Start time on Fault]]-PA[[#This Row],[Fault Time]])*24)</f>
        <v>0</v>
      </c>
      <c r="AF294" s="45">
        <f>IF(PA[[#This Row],[Status]]="Open","",(PA[[#This Row],[Work Completion time on fault]]-PA[[#This Row],[Fault Time]])*24)</f>
        <v>0</v>
      </c>
      <c r="AG294" s="44">
        <f>IFERROR((PA[[#This Row],[Work Completion time on fault]]-PA[[#This Row],[Fault Time]])*24,"")</f>
        <v>0</v>
      </c>
      <c r="AH294" s="36"/>
      <c r="AI294" s="33"/>
      <c r="AJ294" s="35" t="str">
        <f>IFERROR(PA[[#This Row],[Breakdown Time]]*PA[[#This Row],[Plant Equivalent Weightage]],"")</f>
        <v/>
      </c>
      <c r="AK294" s="36"/>
      <c r="AL294" s="51" t="str">
        <f>IFERROR((_xlfn.XLOOKUP($G294,'Modelling New'!D:D,'Modelling New'!$O:$O)*PA[[#This Row],[Lost PoA(kWh/m2)]]*PA[[#This Row],[DC Capacity Affected (kW)]]),"")</f>
        <v/>
      </c>
      <c r="AM294" s="33"/>
      <c r="AN294" s="33"/>
      <c r="AO294" s="33"/>
      <c r="AP294" s="33"/>
    </row>
    <row r="295" spans="1:42">
      <c r="A295" s="30">
        <f t="shared" si="2"/>
        <v>294</v>
      </c>
      <c r="B295" s="165"/>
      <c r="C295" s="212">
        <f>YEAR(PA[[#This Row],[Date]])+IF(MONTH(PA[[#This Row],[Date]])&gt;=4,1,0)</f>
        <v>1900</v>
      </c>
      <c r="D295" s="212">
        <f>YEAR(PA[[#This Row],[Date]])</f>
        <v>1900</v>
      </c>
      <c r="E295" s="37" t="s">
        <v>157</v>
      </c>
      <c r="F295" s="37" t="s">
        <v>157</v>
      </c>
      <c r="G295" s="214">
        <f>PA[[#This Row],[Date]]-DAY(PA[[#This Row],[Date]])+1</f>
        <v>1</v>
      </c>
      <c r="H295" s="32">
        <f>DAY(EOMONTH(PA[[#This Row],[Month Year]],0))</f>
        <v>31</v>
      </c>
      <c r="I295" s="34"/>
      <c r="J295" s="34"/>
      <c r="K295" s="35">
        <f>IFERROR((PA[[#This Row],[Sunset Time (POA&lt;20 W/m2)]]-PA[[#This Row],[Sunrise Time (POA&gt;20 W/m2)]])*24,"")</f>
        <v>0</v>
      </c>
      <c r="L295" s="33"/>
      <c r="M295" s="33"/>
      <c r="N295" s="33"/>
      <c r="O295" s="36"/>
      <c r="P295" s="36"/>
      <c r="Q295" s="33"/>
      <c r="R295" s="32">
        <f>IF((PA[[#This Row],[String Type(If String BD)]]&amp;PA[[#This Row],[Equipment (If any BD other than PV  array and inv)]])="",1,0)</f>
        <v>1</v>
      </c>
      <c r="S295" s="32">
        <f>IF(PA[[#This Row],[String Type(If String BD)]]="",1,0)</f>
        <v>1</v>
      </c>
      <c r="T2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5" s="35" t="str">
        <f>IFERROR(_xlfn.XLOOKUP(PA[[#This Row],[Affected Equipment ]],'Basic Data'!N:N,'Basic Data'!Q:Q),"")</f>
        <v/>
      </c>
      <c r="V295" s="207" t="str">
        <f>IFERROR(_xlfn.XLOOKUP(PA[[#This Row],[Affected Equipment ]],'Basic Data'!N:N,'Basic Data'!R:R),"")</f>
        <v/>
      </c>
      <c r="W295" s="36"/>
      <c r="X295" s="40"/>
      <c r="Y295" s="41"/>
      <c r="Z295" s="46"/>
      <c r="AA295" s="42"/>
      <c r="AB295" s="43"/>
      <c r="AC295" s="46"/>
      <c r="AD295" s="44">
        <f>IF(PA[[#This Row],[Acknowledgement Time ]]="NA","",(PA[[#This Row],[Acknowledgement Time ]]-PA[[#This Row],[Fault Time]])*24)</f>
        <v>0</v>
      </c>
      <c r="AE295" s="44">
        <f>IF(PA[[#This Row],[Work Start time on Fault]]="NA","",(PA[[#This Row],[Work Start time on Fault]]-PA[[#This Row],[Fault Time]])*24)</f>
        <v>0</v>
      </c>
      <c r="AF295" s="45">
        <f>IF(PA[[#This Row],[Status]]="Open","",(PA[[#This Row],[Work Completion time on fault]]-PA[[#This Row],[Fault Time]])*24)</f>
        <v>0</v>
      </c>
      <c r="AG295" s="44">
        <f>IFERROR((PA[[#This Row],[Work Completion time on fault]]-PA[[#This Row],[Fault Time]])*24,"")</f>
        <v>0</v>
      </c>
      <c r="AH295" s="36"/>
      <c r="AI295" s="33"/>
      <c r="AJ295" s="35" t="str">
        <f>IFERROR(PA[[#This Row],[Breakdown Time]]*PA[[#This Row],[Plant Equivalent Weightage]],"")</f>
        <v/>
      </c>
      <c r="AK295" s="36"/>
      <c r="AL295" s="51" t="str">
        <f>IFERROR((_xlfn.XLOOKUP($G295,'Modelling New'!D:D,'Modelling New'!$O:$O)*PA[[#This Row],[Lost PoA(kWh/m2)]]*PA[[#This Row],[DC Capacity Affected (kW)]]),"")</f>
        <v/>
      </c>
      <c r="AM295" s="33"/>
      <c r="AN295" s="33"/>
      <c r="AO295" s="33"/>
      <c r="AP295" s="33"/>
    </row>
    <row r="296" spans="1:42">
      <c r="A296" s="30">
        <f t="shared" si="2"/>
        <v>295</v>
      </c>
      <c r="B296" s="165"/>
      <c r="C296" s="212">
        <f>YEAR(PA[[#This Row],[Date]])+IF(MONTH(PA[[#This Row],[Date]])&gt;=4,1,0)</f>
        <v>1900</v>
      </c>
      <c r="D296" s="212">
        <f>YEAR(PA[[#This Row],[Date]])</f>
        <v>1900</v>
      </c>
      <c r="E296" s="37" t="s">
        <v>157</v>
      </c>
      <c r="F296" s="37" t="s">
        <v>157</v>
      </c>
      <c r="G296" s="214">
        <f>PA[[#This Row],[Date]]-DAY(PA[[#This Row],[Date]])+1</f>
        <v>1</v>
      </c>
      <c r="H296" s="32">
        <f>DAY(EOMONTH(PA[[#This Row],[Month Year]],0))</f>
        <v>31</v>
      </c>
      <c r="I296" s="34"/>
      <c r="J296" s="34"/>
      <c r="K296" s="35">
        <f>IFERROR((PA[[#This Row],[Sunset Time (POA&lt;20 W/m2)]]-PA[[#This Row],[Sunrise Time (POA&gt;20 W/m2)]])*24,"")</f>
        <v>0</v>
      </c>
      <c r="L296" s="33"/>
      <c r="M296" s="33"/>
      <c r="N296" s="33"/>
      <c r="O296" s="36"/>
      <c r="P296" s="36"/>
      <c r="Q296" s="33"/>
      <c r="R296" s="32">
        <f>IF((PA[[#This Row],[String Type(If String BD)]]&amp;PA[[#This Row],[Equipment (If any BD other than PV  array and inv)]])="",1,0)</f>
        <v>1</v>
      </c>
      <c r="S296" s="32">
        <f>IF(PA[[#This Row],[String Type(If String BD)]]="",1,0)</f>
        <v>1</v>
      </c>
      <c r="T2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6" s="35" t="str">
        <f>IFERROR(_xlfn.XLOOKUP(PA[[#This Row],[Affected Equipment ]],'Basic Data'!N:N,'Basic Data'!Q:Q),"")</f>
        <v/>
      </c>
      <c r="V296" s="207" t="str">
        <f>IFERROR(_xlfn.XLOOKUP(PA[[#This Row],[Affected Equipment ]],'Basic Data'!N:N,'Basic Data'!R:R),"")</f>
        <v/>
      </c>
      <c r="W296" s="36"/>
      <c r="X296" s="40"/>
      <c r="Y296" s="41"/>
      <c r="Z296" s="46"/>
      <c r="AA296" s="42"/>
      <c r="AB296" s="43"/>
      <c r="AC296" s="46"/>
      <c r="AD296" s="44">
        <f>IF(PA[[#This Row],[Acknowledgement Time ]]="NA","",(PA[[#This Row],[Acknowledgement Time ]]-PA[[#This Row],[Fault Time]])*24)</f>
        <v>0</v>
      </c>
      <c r="AE296" s="44">
        <f>IF(PA[[#This Row],[Work Start time on Fault]]="NA","",(PA[[#This Row],[Work Start time on Fault]]-PA[[#This Row],[Fault Time]])*24)</f>
        <v>0</v>
      </c>
      <c r="AF296" s="45">
        <f>IF(PA[[#This Row],[Status]]="Open","",(PA[[#This Row],[Work Completion time on fault]]-PA[[#This Row],[Fault Time]])*24)</f>
        <v>0</v>
      </c>
      <c r="AG296" s="44">
        <f>IFERROR((PA[[#This Row],[Work Completion time on fault]]-PA[[#This Row],[Fault Time]])*24,"")</f>
        <v>0</v>
      </c>
      <c r="AH296" s="36"/>
      <c r="AI296" s="33"/>
      <c r="AJ296" s="35" t="str">
        <f>IFERROR(PA[[#This Row],[Breakdown Time]]*PA[[#This Row],[Plant Equivalent Weightage]],"")</f>
        <v/>
      </c>
      <c r="AK296" s="36"/>
      <c r="AL296" s="51" t="str">
        <f>IFERROR((_xlfn.XLOOKUP($G296,'Modelling New'!D:D,'Modelling New'!$O:$O)*PA[[#This Row],[Lost PoA(kWh/m2)]]*PA[[#This Row],[DC Capacity Affected (kW)]]),"")</f>
        <v/>
      </c>
      <c r="AM296" s="33"/>
      <c r="AN296" s="33"/>
      <c r="AO296" s="33"/>
      <c r="AP296" s="33"/>
    </row>
    <row r="297" spans="1:42">
      <c r="A297" s="30">
        <f t="shared" si="2"/>
        <v>296</v>
      </c>
      <c r="B297" s="165"/>
      <c r="C297" s="211">
        <f>YEAR(PA[[#This Row],[Date]])+IF(MONTH(PA[[#This Row],[Date]])&gt;=4,1,0)</f>
        <v>1900</v>
      </c>
      <c r="D297" s="211">
        <f>YEAR(PA[[#This Row],[Date]])</f>
        <v>1900</v>
      </c>
      <c r="E297" s="37" t="s">
        <v>157</v>
      </c>
      <c r="F297" s="37" t="s">
        <v>157</v>
      </c>
      <c r="G297" s="214">
        <f>PA[[#This Row],[Date]]-DAY(PA[[#This Row],[Date]])+1</f>
        <v>1</v>
      </c>
      <c r="H297" s="202">
        <f>DAY(EOMONTH(PA[[#This Row],[Month Year]],0))</f>
        <v>31</v>
      </c>
      <c r="I297" s="34"/>
      <c r="J297" s="34"/>
      <c r="K297" s="35">
        <f>IFERROR((PA[[#This Row],[Sunset Time (POA&lt;20 W/m2)]]-PA[[#This Row],[Sunrise Time (POA&gt;20 W/m2)]])*24,"")</f>
        <v>0</v>
      </c>
      <c r="L297" s="37"/>
      <c r="M297" s="37"/>
      <c r="N297" s="37"/>
      <c r="O297" s="38"/>
      <c r="P297" s="38"/>
      <c r="Q297" s="37"/>
      <c r="R297" s="202">
        <f>IF((PA[[#This Row],[String Type(If String BD)]]&amp;PA[[#This Row],[Equipment (If any BD other than PV  array and inv)]])="",1,0)</f>
        <v>1</v>
      </c>
      <c r="S297" s="202">
        <f>IF(PA[[#This Row],[String Type(If String BD)]]="",1,0)</f>
        <v>1</v>
      </c>
      <c r="T29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7" s="204" t="str">
        <f>IFERROR(_xlfn.XLOOKUP(PA[[#This Row],[Affected Equipment ]],'Basic Data'!N:N,'Basic Data'!Q:Q),"")</f>
        <v/>
      </c>
      <c r="V297" s="208" t="str">
        <f>IFERROR(_xlfn.XLOOKUP(PA[[#This Row],[Affected Equipment ]],'Basic Data'!N:N,'Basic Data'!R:R),"")</f>
        <v/>
      </c>
      <c r="W297" s="38"/>
      <c r="X297" s="41"/>
      <c r="Y297" s="41"/>
      <c r="Z297" s="47"/>
      <c r="AA297" s="48"/>
      <c r="AB297" s="49"/>
      <c r="AC297" s="47"/>
      <c r="AD297" s="205">
        <f>IF(PA[[#This Row],[Acknowledgement Time ]]="NA","",(PA[[#This Row],[Acknowledgement Time ]]-PA[[#This Row],[Fault Time]])*24)</f>
        <v>0</v>
      </c>
      <c r="AE297" s="205">
        <f>IF(PA[[#This Row],[Work Start time on Fault]]="NA","",(PA[[#This Row],[Work Start time on Fault]]-PA[[#This Row],[Fault Time]])*24)</f>
        <v>0</v>
      </c>
      <c r="AF297" s="206">
        <f>IF(PA[[#This Row],[Status]]="Open","",(PA[[#This Row],[Work Completion time on fault]]-PA[[#This Row],[Fault Time]])*24)</f>
        <v>0</v>
      </c>
      <c r="AG297" s="205">
        <f>IFERROR((PA[[#This Row],[Work Completion time on fault]]-PA[[#This Row],[Fault Time]])*24,"")</f>
        <v>0</v>
      </c>
      <c r="AH297" s="36"/>
      <c r="AI297" s="33"/>
      <c r="AJ297" s="204" t="str">
        <f>IFERROR(PA[[#This Row],[Breakdown Time]]*PA[[#This Row],[Plant Equivalent Weightage]],"")</f>
        <v/>
      </c>
      <c r="AK297" s="38"/>
      <c r="AL297" s="51" t="str">
        <f>IFERROR((_xlfn.XLOOKUP($G297,'Modelling New'!D:D,'Modelling New'!$O:$O)*PA[[#This Row],[Lost PoA(kWh/m2)]]*PA[[#This Row],[DC Capacity Affected (kW)]]),"")</f>
        <v/>
      </c>
      <c r="AM297" s="33"/>
      <c r="AN297" s="33"/>
      <c r="AO297" s="33"/>
      <c r="AP297" s="33"/>
    </row>
    <row r="298" spans="1:42">
      <c r="A298" s="30">
        <f t="shared" si="2"/>
        <v>297</v>
      </c>
      <c r="B298" s="165"/>
      <c r="C298" s="212">
        <f>YEAR(PA[[#This Row],[Date]])+IF(MONTH(PA[[#This Row],[Date]])&gt;=4,1,0)</f>
        <v>1900</v>
      </c>
      <c r="D298" s="212">
        <f>YEAR(PA[[#This Row],[Date]])</f>
        <v>1900</v>
      </c>
      <c r="E298" s="37" t="s">
        <v>157</v>
      </c>
      <c r="F298" s="37" t="s">
        <v>157</v>
      </c>
      <c r="G298" s="214">
        <f>PA[[#This Row],[Date]]-DAY(PA[[#This Row],[Date]])+1</f>
        <v>1</v>
      </c>
      <c r="H298" s="32">
        <f>DAY(EOMONTH(PA[[#This Row],[Month Year]],0))</f>
        <v>31</v>
      </c>
      <c r="I298" s="34"/>
      <c r="J298" s="34"/>
      <c r="K298" s="35">
        <f>IFERROR((PA[[#This Row],[Sunset Time (POA&lt;20 W/m2)]]-PA[[#This Row],[Sunrise Time (POA&gt;20 W/m2)]])*24,"")</f>
        <v>0</v>
      </c>
      <c r="L298" s="33"/>
      <c r="M298" s="33"/>
      <c r="N298" s="33"/>
      <c r="O298" s="36"/>
      <c r="P298" s="36"/>
      <c r="Q298" s="33"/>
      <c r="R298" s="32">
        <f>IF((PA[[#This Row],[String Type(If String BD)]]&amp;PA[[#This Row],[Equipment (If any BD other than PV  array and inv)]])="",1,0)</f>
        <v>1</v>
      </c>
      <c r="S298" s="32">
        <f>IF(PA[[#This Row],[String Type(If String BD)]]="",1,0)</f>
        <v>1</v>
      </c>
      <c r="T2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8" s="35" t="str">
        <f>IFERROR(_xlfn.XLOOKUP(PA[[#This Row],[Affected Equipment ]],'Basic Data'!N:N,'Basic Data'!Q:Q),"")</f>
        <v/>
      </c>
      <c r="V298" s="207" t="str">
        <f>IFERROR(_xlfn.XLOOKUP(PA[[#This Row],[Affected Equipment ]],'Basic Data'!N:N,'Basic Data'!R:R),"")</f>
        <v/>
      </c>
      <c r="W298" s="36"/>
      <c r="X298" s="40"/>
      <c r="Y298" s="41"/>
      <c r="Z298" s="46"/>
      <c r="AA298" s="42"/>
      <c r="AB298" s="43"/>
      <c r="AC298" s="46"/>
      <c r="AD298" s="44">
        <f>IF(PA[[#This Row],[Acknowledgement Time ]]="NA","",(PA[[#This Row],[Acknowledgement Time ]]-PA[[#This Row],[Fault Time]])*24)</f>
        <v>0</v>
      </c>
      <c r="AE298" s="44">
        <f>IF(PA[[#This Row],[Work Start time on Fault]]="NA","",(PA[[#This Row],[Work Start time on Fault]]-PA[[#This Row],[Fault Time]])*24)</f>
        <v>0</v>
      </c>
      <c r="AF298" s="45">
        <f>IF(PA[[#This Row],[Status]]="Open","",(PA[[#This Row],[Work Completion time on fault]]-PA[[#This Row],[Fault Time]])*24)</f>
        <v>0</v>
      </c>
      <c r="AG298" s="44">
        <f>IFERROR((PA[[#This Row],[Work Completion time on fault]]-PA[[#This Row],[Fault Time]])*24,"")</f>
        <v>0</v>
      </c>
      <c r="AH298" s="36"/>
      <c r="AI298" s="33"/>
      <c r="AJ298" s="35" t="str">
        <f>IFERROR(PA[[#This Row],[Breakdown Time]]*PA[[#This Row],[Plant Equivalent Weightage]],"")</f>
        <v/>
      </c>
      <c r="AK298" s="36"/>
      <c r="AL298" s="51" t="str">
        <f>IFERROR((_xlfn.XLOOKUP($G298,'Modelling New'!D:D,'Modelling New'!$O:$O)*PA[[#This Row],[Lost PoA(kWh/m2)]]*PA[[#This Row],[DC Capacity Affected (kW)]]),"")</f>
        <v/>
      </c>
      <c r="AM298" s="33"/>
      <c r="AN298" s="33"/>
      <c r="AO298" s="33"/>
      <c r="AP298" s="33"/>
    </row>
    <row r="299" spans="1:42">
      <c r="A299" s="30">
        <f t="shared" si="2"/>
        <v>298</v>
      </c>
      <c r="B299" s="165"/>
      <c r="C299" s="212">
        <f>YEAR(PA[[#This Row],[Date]])+IF(MONTH(PA[[#This Row],[Date]])&gt;=4,1,0)</f>
        <v>1900</v>
      </c>
      <c r="D299" s="212">
        <f>YEAR(PA[[#This Row],[Date]])</f>
        <v>1900</v>
      </c>
      <c r="E299" s="37" t="s">
        <v>157</v>
      </c>
      <c r="F299" s="37" t="s">
        <v>157</v>
      </c>
      <c r="G299" s="214">
        <f>PA[[#This Row],[Date]]-DAY(PA[[#This Row],[Date]])+1</f>
        <v>1</v>
      </c>
      <c r="H299" s="32">
        <f>DAY(EOMONTH(PA[[#This Row],[Month Year]],0))</f>
        <v>31</v>
      </c>
      <c r="I299" s="34"/>
      <c r="J299" s="34"/>
      <c r="K299" s="35">
        <f>IFERROR((PA[[#This Row],[Sunset Time (POA&lt;20 W/m2)]]-PA[[#This Row],[Sunrise Time (POA&gt;20 W/m2)]])*24,"")</f>
        <v>0</v>
      </c>
      <c r="L299" s="33"/>
      <c r="M299" s="33"/>
      <c r="N299" s="33"/>
      <c r="O299" s="36"/>
      <c r="P299" s="36"/>
      <c r="Q299" s="33"/>
      <c r="R299" s="32">
        <f>IF((PA[[#This Row],[String Type(If String BD)]]&amp;PA[[#This Row],[Equipment (If any BD other than PV  array and inv)]])="",1,0)</f>
        <v>1</v>
      </c>
      <c r="S299" s="32">
        <f>IF(PA[[#This Row],[String Type(If String BD)]]="",1,0)</f>
        <v>1</v>
      </c>
      <c r="T2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299" s="35" t="str">
        <f>IFERROR(_xlfn.XLOOKUP(PA[[#This Row],[Affected Equipment ]],'Basic Data'!N:N,'Basic Data'!Q:Q),"")</f>
        <v/>
      </c>
      <c r="V299" s="207" t="str">
        <f>IFERROR(_xlfn.XLOOKUP(PA[[#This Row],[Affected Equipment ]],'Basic Data'!N:N,'Basic Data'!R:R),"")</f>
        <v/>
      </c>
      <c r="W299" s="36"/>
      <c r="X299" s="40"/>
      <c r="Y299" s="41"/>
      <c r="Z299" s="46"/>
      <c r="AA299" s="42"/>
      <c r="AB299" s="43"/>
      <c r="AC299" s="46"/>
      <c r="AD299" s="44">
        <f>IF(PA[[#This Row],[Acknowledgement Time ]]="NA","",(PA[[#This Row],[Acknowledgement Time ]]-PA[[#This Row],[Fault Time]])*24)</f>
        <v>0</v>
      </c>
      <c r="AE299" s="44">
        <f>IF(PA[[#This Row],[Work Start time on Fault]]="NA","",(PA[[#This Row],[Work Start time on Fault]]-PA[[#This Row],[Fault Time]])*24)</f>
        <v>0</v>
      </c>
      <c r="AF299" s="45">
        <f>IF(PA[[#This Row],[Status]]="Open","",(PA[[#This Row],[Work Completion time on fault]]-PA[[#This Row],[Fault Time]])*24)</f>
        <v>0</v>
      </c>
      <c r="AG299" s="44">
        <f>IFERROR((PA[[#This Row],[Work Completion time on fault]]-PA[[#This Row],[Fault Time]])*24,"")</f>
        <v>0</v>
      </c>
      <c r="AH299" s="36"/>
      <c r="AI299" s="33"/>
      <c r="AJ299" s="35" t="str">
        <f>IFERROR(PA[[#This Row],[Breakdown Time]]*PA[[#This Row],[Plant Equivalent Weightage]],"")</f>
        <v/>
      </c>
      <c r="AK299" s="36"/>
      <c r="AL299" s="51" t="str">
        <f>IFERROR((_xlfn.XLOOKUP($G299,'Modelling New'!D:D,'Modelling New'!$O:$O)*PA[[#This Row],[Lost PoA(kWh/m2)]]*PA[[#This Row],[DC Capacity Affected (kW)]]),"")</f>
        <v/>
      </c>
      <c r="AM299" s="33"/>
      <c r="AN299" s="33"/>
      <c r="AO299" s="33"/>
      <c r="AP299" s="33"/>
    </row>
    <row r="300" spans="1:42">
      <c r="A300" s="30">
        <f t="shared" si="2"/>
        <v>299</v>
      </c>
      <c r="B300" s="165"/>
      <c r="C300" s="212">
        <f>YEAR(PA[[#This Row],[Date]])+IF(MONTH(PA[[#This Row],[Date]])&gt;=4,1,0)</f>
        <v>1900</v>
      </c>
      <c r="D300" s="212">
        <f>YEAR(PA[[#This Row],[Date]])</f>
        <v>1900</v>
      </c>
      <c r="E300" s="37" t="s">
        <v>157</v>
      </c>
      <c r="F300" s="37" t="s">
        <v>157</v>
      </c>
      <c r="G300" s="214">
        <f>PA[[#This Row],[Date]]-DAY(PA[[#This Row],[Date]])+1</f>
        <v>1</v>
      </c>
      <c r="H300" s="32">
        <f>DAY(EOMONTH(PA[[#This Row],[Month Year]],0))</f>
        <v>31</v>
      </c>
      <c r="I300" s="34"/>
      <c r="J300" s="34"/>
      <c r="K300" s="35">
        <f>IFERROR((PA[[#This Row],[Sunset Time (POA&lt;20 W/m2)]]-PA[[#This Row],[Sunrise Time (POA&gt;20 W/m2)]])*24,"")</f>
        <v>0</v>
      </c>
      <c r="L300" s="33"/>
      <c r="M300" s="33"/>
      <c r="N300" s="33"/>
      <c r="O300" s="36"/>
      <c r="P300" s="36"/>
      <c r="Q300" s="33"/>
      <c r="R300" s="32">
        <f>IF((PA[[#This Row],[String Type(If String BD)]]&amp;PA[[#This Row],[Equipment (If any BD other than PV  array and inv)]])="",1,0)</f>
        <v>1</v>
      </c>
      <c r="S300" s="32">
        <f>IF(PA[[#This Row],[String Type(If String BD)]]="",1,0)</f>
        <v>1</v>
      </c>
      <c r="T3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0" s="35" t="str">
        <f>IFERROR(_xlfn.XLOOKUP(PA[[#This Row],[Affected Equipment ]],'Basic Data'!N:N,'Basic Data'!Q:Q),"")</f>
        <v/>
      </c>
      <c r="V300" s="207" t="str">
        <f>IFERROR(_xlfn.XLOOKUP(PA[[#This Row],[Affected Equipment ]],'Basic Data'!N:N,'Basic Data'!R:R),"")</f>
        <v/>
      </c>
      <c r="W300" s="36"/>
      <c r="X300" s="40"/>
      <c r="Y300" s="41"/>
      <c r="Z300" s="46"/>
      <c r="AA300" s="42"/>
      <c r="AB300" s="43"/>
      <c r="AC300" s="46"/>
      <c r="AD300" s="44">
        <f>IF(PA[[#This Row],[Acknowledgement Time ]]="NA","",(PA[[#This Row],[Acknowledgement Time ]]-PA[[#This Row],[Fault Time]])*24)</f>
        <v>0</v>
      </c>
      <c r="AE300" s="44">
        <f>IF(PA[[#This Row],[Work Start time on Fault]]="NA","",(PA[[#This Row],[Work Start time on Fault]]-PA[[#This Row],[Fault Time]])*24)</f>
        <v>0</v>
      </c>
      <c r="AF300" s="45">
        <f>IF(PA[[#This Row],[Status]]="Open","",(PA[[#This Row],[Work Completion time on fault]]-PA[[#This Row],[Fault Time]])*24)</f>
        <v>0</v>
      </c>
      <c r="AG300" s="44">
        <f>IFERROR((PA[[#This Row],[Work Completion time on fault]]-PA[[#This Row],[Fault Time]])*24,"")</f>
        <v>0</v>
      </c>
      <c r="AH300" s="36"/>
      <c r="AI300" s="33"/>
      <c r="AJ300" s="35" t="str">
        <f>IFERROR(PA[[#This Row],[Breakdown Time]]*PA[[#This Row],[Plant Equivalent Weightage]],"")</f>
        <v/>
      </c>
      <c r="AK300" s="36"/>
      <c r="AL300" s="51" t="str">
        <f>IFERROR((_xlfn.XLOOKUP($G300,'Modelling New'!D:D,'Modelling New'!$O:$O)*PA[[#This Row],[Lost PoA(kWh/m2)]]*PA[[#This Row],[DC Capacity Affected (kW)]]),"")</f>
        <v/>
      </c>
      <c r="AM300" s="33"/>
      <c r="AN300" s="33"/>
      <c r="AO300" s="33"/>
      <c r="AP300" s="33"/>
    </row>
    <row r="301" spans="1:42">
      <c r="A301" s="30">
        <f t="shared" si="2"/>
        <v>300</v>
      </c>
      <c r="B301" s="165"/>
      <c r="C301" s="212">
        <f>YEAR(PA[[#This Row],[Date]])+IF(MONTH(PA[[#This Row],[Date]])&gt;=4,1,0)</f>
        <v>1900</v>
      </c>
      <c r="D301" s="212">
        <f>YEAR(PA[[#This Row],[Date]])</f>
        <v>1900</v>
      </c>
      <c r="E301" s="37" t="s">
        <v>157</v>
      </c>
      <c r="F301" s="37" t="s">
        <v>157</v>
      </c>
      <c r="G301" s="214">
        <f>PA[[#This Row],[Date]]-DAY(PA[[#This Row],[Date]])+1</f>
        <v>1</v>
      </c>
      <c r="H301" s="32">
        <f>DAY(EOMONTH(PA[[#This Row],[Month Year]],0))</f>
        <v>31</v>
      </c>
      <c r="I301" s="34"/>
      <c r="J301" s="34"/>
      <c r="K301" s="35">
        <f>IFERROR((PA[[#This Row],[Sunset Time (POA&lt;20 W/m2)]]-PA[[#This Row],[Sunrise Time (POA&gt;20 W/m2)]])*24,"")</f>
        <v>0</v>
      </c>
      <c r="L301" s="33"/>
      <c r="M301" s="33"/>
      <c r="N301" s="33"/>
      <c r="O301" s="36"/>
      <c r="P301" s="36"/>
      <c r="Q301" s="33"/>
      <c r="R301" s="32">
        <f>IF((PA[[#This Row],[String Type(If String BD)]]&amp;PA[[#This Row],[Equipment (If any BD other than PV  array and inv)]])="",1,0)</f>
        <v>1</v>
      </c>
      <c r="S301" s="32">
        <f>IF(PA[[#This Row],[String Type(If String BD)]]="",1,0)</f>
        <v>1</v>
      </c>
      <c r="T3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1" s="35" t="str">
        <f>IFERROR(_xlfn.XLOOKUP(PA[[#This Row],[Affected Equipment ]],'Basic Data'!N:N,'Basic Data'!Q:Q),"")</f>
        <v/>
      </c>
      <c r="V301" s="207" t="str">
        <f>IFERROR(_xlfn.XLOOKUP(PA[[#This Row],[Affected Equipment ]],'Basic Data'!N:N,'Basic Data'!R:R),"")</f>
        <v/>
      </c>
      <c r="W301" s="36"/>
      <c r="X301" s="40"/>
      <c r="Y301" s="41"/>
      <c r="Z301" s="46"/>
      <c r="AA301" s="42"/>
      <c r="AB301" s="43"/>
      <c r="AC301" s="46"/>
      <c r="AD301" s="44">
        <f>IF(PA[[#This Row],[Acknowledgement Time ]]="NA","",(PA[[#This Row],[Acknowledgement Time ]]-PA[[#This Row],[Fault Time]])*24)</f>
        <v>0</v>
      </c>
      <c r="AE301" s="44">
        <f>IF(PA[[#This Row],[Work Start time on Fault]]="NA","",(PA[[#This Row],[Work Start time on Fault]]-PA[[#This Row],[Fault Time]])*24)</f>
        <v>0</v>
      </c>
      <c r="AF301" s="45">
        <f>IF(PA[[#This Row],[Status]]="Open","",(PA[[#This Row],[Work Completion time on fault]]-PA[[#This Row],[Fault Time]])*24)</f>
        <v>0</v>
      </c>
      <c r="AG301" s="44">
        <f>IFERROR((PA[[#This Row],[Work Completion time on fault]]-PA[[#This Row],[Fault Time]])*24,"")</f>
        <v>0</v>
      </c>
      <c r="AH301" s="36"/>
      <c r="AI301" s="33"/>
      <c r="AJ301" s="35" t="str">
        <f>IFERROR(PA[[#This Row],[Breakdown Time]]*PA[[#This Row],[Plant Equivalent Weightage]],"")</f>
        <v/>
      </c>
      <c r="AK301" s="36"/>
      <c r="AL301" s="51" t="str">
        <f>IFERROR((_xlfn.XLOOKUP($G301,'Modelling New'!D:D,'Modelling New'!$O:$O)*PA[[#This Row],[Lost PoA(kWh/m2)]]*PA[[#This Row],[DC Capacity Affected (kW)]]),"")</f>
        <v/>
      </c>
      <c r="AM301" s="33"/>
      <c r="AN301" s="33"/>
      <c r="AO301" s="33"/>
      <c r="AP301" s="33"/>
    </row>
    <row r="302" spans="1:42">
      <c r="A302" s="30">
        <f t="shared" si="2"/>
        <v>301</v>
      </c>
      <c r="B302" s="165"/>
      <c r="C302" s="212">
        <f>YEAR(PA[[#This Row],[Date]])+IF(MONTH(PA[[#This Row],[Date]])&gt;=4,1,0)</f>
        <v>1900</v>
      </c>
      <c r="D302" s="212">
        <f>YEAR(PA[[#This Row],[Date]])</f>
        <v>1900</v>
      </c>
      <c r="E302" s="37" t="s">
        <v>157</v>
      </c>
      <c r="F302" s="37" t="s">
        <v>157</v>
      </c>
      <c r="G302" s="214">
        <f>PA[[#This Row],[Date]]-DAY(PA[[#This Row],[Date]])+1</f>
        <v>1</v>
      </c>
      <c r="H302" s="32">
        <f>DAY(EOMONTH(PA[[#This Row],[Month Year]],0))</f>
        <v>31</v>
      </c>
      <c r="I302" s="34"/>
      <c r="J302" s="34"/>
      <c r="K302" s="35">
        <f>IFERROR((PA[[#This Row],[Sunset Time (POA&lt;20 W/m2)]]-PA[[#This Row],[Sunrise Time (POA&gt;20 W/m2)]])*24,"")</f>
        <v>0</v>
      </c>
      <c r="L302" s="33"/>
      <c r="M302" s="33"/>
      <c r="N302" s="33"/>
      <c r="O302" s="36"/>
      <c r="P302" s="36"/>
      <c r="Q302" s="33"/>
      <c r="R302" s="32">
        <f>IF((PA[[#This Row],[String Type(If String BD)]]&amp;PA[[#This Row],[Equipment (If any BD other than PV  array and inv)]])="",1,0)</f>
        <v>1</v>
      </c>
      <c r="S302" s="32">
        <f>IF(PA[[#This Row],[String Type(If String BD)]]="",1,0)</f>
        <v>1</v>
      </c>
      <c r="T30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2" s="35" t="str">
        <f>IFERROR(_xlfn.XLOOKUP(PA[[#This Row],[Affected Equipment ]],'Basic Data'!N:N,'Basic Data'!Q:Q),"")</f>
        <v/>
      </c>
      <c r="V302" s="207" t="str">
        <f>IFERROR(_xlfn.XLOOKUP(PA[[#This Row],[Affected Equipment ]],'Basic Data'!N:N,'Basic Data'!R:R),"")</f>
        <v/>
      </c>
      <c r="W302" s="36"/>
      <c r="X302" s="40"/>
      <c r="Y302" s="41"/>
      <c r="Z302" s="46"/>
      <c r="AA302" s="42"/>
      <c r="AB302" s="43"/>
      <c r="AC302" s="46"/>
      <c r="AD302" s="44">
        <f>IF(PA[[#This Row],[Acknowledgement Time ]]="NA","",(PA[[#This Row],[Acknowledgement Time ]]-PA[[#This Row],[Fault Time]])*24)</f>
        <v>0</v>
      </c>
      <c r="AE302" s="44">
        <f>IF(PA[[#This Row],[Work Start time on Fault]]="NA","",(PA[[#This Row],[Work Start time on Fault]]-PA[[#This Row],[Fault Time]])*24)</f>
        <v>0</v>
      </c>
      <c r="AF302" s="45">
        <f>IF(PA[[#This Row],[Status]]="Open","",(PA[[#This Row],[Work Completion time on fault]]-PA[[#This Row],[Fault Time]])*24)</f>
        <v>0</v>
      </c>
      <c r="AG302" s="44">
        <f>IFERROR((PA[[#This Row],[Work Completion time on fault]]-PA[[#This Row],[Fault Time]])*24,"")</f>
        <v>0</v>
      </c>
      <c r="AH302" s="36"/>
      <c r="AI302" s="33"/>
      <c r="AJ302" s="35" t="str">
        <f>IFERROR(PA[[#This Row],[Breakdown Time]]*PA[[#This Row],[Plant Equivalent Weightage]],"")</f>
        <v/>
      </c>
      <c r="AK302" s="36"/>
      <c r="AL302" s="51" t="str">
        <f>IFERROR((_xlfn.XLOOKUP($G302,'Modelling New'!D:D,'Modelling New'!$O:$O)*PA[[#This Row],[Lost PoA(kWh/m2)]]*PA[[#This Row],[DC Capacity Affected (kW)]]),"")</f>
        <v/>
      </c>
      <c r="AM302" s="33"/>
      <c r="AN302" s="33"/>
      <c r="AO302" s="33"/>
      <c r="AP302" s="33"/>
    </row>
    <row r="303" spans="1:42">
      <c r="A303" s="30">
        <f t="shared" si="2"/>
        <v>302</v>
      </c>
      <c r="B303" s="165"/>
      <c r="C303" s="212">
        <f>YEAR(PA[[#This Row],[Date]])+IF(MONTH(PA[[#This Row],[Date]])&gt;=4,1,0)</f>
        <v>1900</v>
      </c>
      <c r="D303" s="212">
        <f>YEAR(PA[[#This Row],[Date]])</f>
        <v>1900</v>
      </c>
      <c r="E303" s="37" t="s">
        <v>157</v>
      </c>
      <c r="F303" s="37" t="s">
        <v>157</v>
      </c>
      <c r="G303" s="214">
        <f>PA[[#This Row],[Date]]-DAY(PA[[#This Row],[Date]])+1</f>
        <v>1</v>
      </c>
      <c r="H303" s="32">
        <f>DAY(EOMONTH(PA[[#This Row],[Month Year]],0))</f>
        <v>31</v>
      </c>
      <c r="I303" s="34"/>
      <c r="J303" s="34"/>
      <c r="K303" s="35">
        <f>IFERROR((PA[[#This Row],[Sunset Time (POA&lt;20 W/m2)]]-PA[[#This Row],[Sunrise Time (POA&gt;20 W/m2)]])*24,"")</f>
        <v>0</v>
      </c>
      <c r="L303" s="33"/>
      <c r="M303" s="33"/>
      <c r="N303" s="33"/>
      <c r="O303" s="36"/>
      <c r="P303" s="36"/>
      <c r="Q303" s="33"/>
      <c r="R303" s="32">
        <f>IF((PA[[#This Row],[String Type(If String BD)]]&amp;PA[[#This Row],[Equipment (If any BD other than PV  array and inv)]])="",1,0)</f>
        <v>1</v>
      </c>
      <c r="S303" s="32">
        <f>IF(PA[[#This Row],[String Type(If String BD)]]="",1,0)</f>
        <v>1</v>
      </c>
      <c r="T3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3" s="35" t="str">
        <f>IFERROR(_xlfn.XLOOKUP(PA[[#This Row],[Affected Equipment ]],'Basic Data'!N:N,'Basic Data'!Q:Q),"")</f>
        <v/>
      </c>
      <c r="V303" s="207" t="str">
        <f>IFERROR(_xlfn.XLOOKUP(PA[[#This Row],[Affected Equipment ]],'Basic Data'!N:N,'Basic Data'!R:R),"")</f>
        <v/>
      </c>
      <c r="W303" s="36"/>
      <c r="X303" s="40"/>
      <c r="Y303" s="41"/>
      <c r="Z303" s="46"/>
      <c r="AA303" s="42"/>
      <c r="AB303" s="43"/>
      <c r="AC303" s="46"/>
      <c r="AD303" s="44">
        <f>IF(PA[[#This Row],[Acknowledgement Time ]]="NA","",(PA[[#This Row],[Acknowledgement Time ]]-PA[[#This Row],[Fault Time]])*24)</f>
        <v>0</v>
      </c>
      <c r="AE303" s="44">
        <f>IF(PA[[#This Row],[Work Start time on Fault]]="NA","",(PA[[#This Row],[Work Start time on Fault]]-PA[[#This Row],[Fault Time]])*24)</f>
        <v>0</v>
      </c>
      <c r="AF303" s="45">
        <f>IF(PA[[#This Row],[Status]]="Open","",(PA[[#This Row],[Work Completion time on fault]]-PA[[#This Row],[Fault Time]])*24)</f>
        <v>0</v>
      </c>
      <c r="AG303" s="44">
        <f>IFERROR((PA[[#This Row],[Work Completion time on fault]]-PA[[#This Row],[Fault Time]])*24,"")</f>
        <v>0</v>
      </c>
      <c r="AH303" s="36"/>
      <c r="AI303" s="33"/>
      <c r="AJ303" s="35" t="str">
        <f>IFERROR(PA[[#This Row],[Breakdown Time]]*PA[[#This Row],[Plant Equivalent Weightage]],"")</f>
        <v/>
      </c>
      <c r="AK303" s="36"/>
      <c r="AL303" s="51" t="str">
        <f>IFERROR((_xlfn.XLOOKUP($G303,'Modelling New'!D:D,'Modelling New'!$O:$O)*PA[[#This Row],[Lost PoA(kWh/m2)]]*PA[[#This Row],[DC Capacity Affected (kW)]]),"")</f>
        <v/>
      </c>
      <c r="AM303" s="33"/>
      <c r="AN303" s="33"/>
      <c r="AO303" s="33"/>
      <c r="AP303" s="33"/>
    </row>
    <row r="304" spans="1:42">
      <c r="A304" s="30">
        <f t="shared" si="2"/>
        <v>303</v>
      </c>
      <c r="B304" s="165"/>
      <c r="C304" s="212">
        <f>YEAR(PA[[#This Row],[Date]])+IF(MONTH(PA[[#This Row],[Date]])&gt;=4,1,0)</f>
        <v>1900</v>
      </c>
      <c r="D304" s="212">
        <f>YEAR(PA[[#This Row],[Date]])</f>
        <v>1900</v>
      </c>
      <c r="E304" s="37" t="s">
        <v>157</v>
      </c>
      <c r="F304" s="37" t="s">
        <v>157</v>
      </c>
      <c r="G304" s="214">
        <f>PA[[#This Row],[Date]]-DAY(PA[[#This Row],[Date]])+1</f>
        <v>1</v>
      </c>
      <c r="H304" s="32">
        <f>DAY(EOMONTH(PA[[#This Row],[Month Year]],0))</f>
        <v>31</v>
      </c>
      <c r="I304" s="34"/>
      <c r="J304" s="34"/>
      <c r="K304" s="35">
        <f>IFERROR((PA[[#This Row],[Sunset Time (POA&lt;20 W/m2)]]-PA[[#This Row],[Sunrise Time (POA&gt;20 W/m2)]])*24,"")</f>
        <v>0</v>
      </c>
      <c r="L304" s="33"/>
      <c r="M304" s="33"/>
      <c r="N304" s="33"/>
      <c r="O304" s="36"/>
      <c r="P304" s="36"/>
      <c r="Q304" s="33"/>
      <c r="R304" s="32">
        <f>IF((PA[[#This Row],[String Type(If String BD)]]&amp;PA[[#This Row],[Equipment (If any BD other than PV  array and inv)]])="",1,0)</f>
        <v>1</v>
      </c>
      <c r="S304" s="32">
        <f>IF(PA[[#This Row],[String Type(If String BD)]]="",1,0)</f>
        <v>1</v>
      </c>
      <c r="T3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4" s="35" t="str">
        <f>IFERROR(_xlfn.XLOOKUP(PA[[#This Row],[Affected Equipment ]],'Basic Data'!N:N,'Basic Data'!Q:Q),"")</f>
        <v/>
      </c>
      <c r="V304" s="207" t="str">
        <f>IFERROR(_xlfn.XLOOKUP(PA[[#This Row],[Affected Equipment ]],'Basic Data'!N:N,'Basic Data'!R:R),"")</f>
        <v/>
      </c>
      <c r="W304" s="36"/>
      <c r="X304" s="40"/>
      <c r="Y304" s="41"/>
      <c r="Z304" s="46"/>
      <c r="AA304" s="42"/>
      <c r="AB304" s="43"/>
      <c r="AC304" s="46"/>
      <c r="AD304" s="44">
        <f>IF(PA[[#This Row],[Acknowledgement Time ]]="NA","",(PA[[#This Row],[Acknowledgement Time ]]-PA[[#This Row],[Fault Time]])*24)</f>
        <v>0</v>
      </c>
      <c r="AE304" s="44">
        <f>IF(PA[[#This Row],[Work Start time on Fault]]="NA","",(PA[[#This Row],[Work Start time on Fault]]-PA[[#This Row],[Fault Time]])*24)</f>
        <v>0</v>
      </c>
      <c r="AF304" s="45">
        <f>IF(PA[[#This Row],[Status]]="Open","",(PA[[#This Row],[Work Completion time on fault]]-PA[[#This Row],[Fault Time]])*24)</f>
        <v>0</v>
      </c>
      <c r="AG304" s="44">
        <f>IFERROR((PA[[#This Row],[Work Completion time on fault]]-PA[[#This Row],[Fault Time]])*24,"")</f>
        <v>0</v>
      </c>
      <c r="AH304" s="36"/>
      <c r="AI304" s="33"/>
      <c r="AJ304" s="35" t="str">
        <f>IFERROR(PA[[#This Row],[Breakdown Time]]*PA[[#This Row],[Plant Equivalent Weightage]],"")</f>
        <v/>
      </c>
      <c r="AK304" s="36"/>
      <c r="AL304" s="51" t="str">
        <f>IFERROR((_xlfn.XLOOKUP($G304,'Modelling New'!D:D,'Modelling New'!$O:$O)*PA[[#This Row],[Lost PoA(kWh/m2)]]*PA[[#This Row],[DC Capacity Affected (kW)]]),"")</f>
        <v/>
      </c>
      <c r="AM304" s="33"/>
      <c r="AN304" s="33"/>
      <c r="AO304" s="33"/>
      <c r="AP304" s="33"/>
    </row>
    <row r="305" spans="1:42">
      <c r="A305" s="30">
        <f t="shared" si="2"/>
        <v>304</v>
      </c>
      <c r="B305" s="165"/>
      <c r="C305" s="212">
        <f>YEAR(PA[[#This Row],[Date]])+IF(MONTH(PA[[#This Row],[Date]])&gt;=4,1,0)</f>
        <v>1900</v>
      </c>
      <c r="D305" s="212">
        <f>YEAR(PA[[#This Row],[Date]])</f>
        <v>1900</v>
      </c>
      <c r="E305" s="37" t="s">
        <v>157</v>
      </c>
      <c r="F305" s="37" t="s">
        <v>157</v>
      </c>
      <c r="G305" s="214">
        <f>PA[[#This Row],[Date]]-DAY(PA[[#This Row],[Date]])+1</f>
        <v>1</v>
      </c>
      <c r="H305" s="32">
        <f>DAY(EOMONTH(PA[[#This Row],[Month Year]],0))</f>
        <v>31</v>
      </c>
      <c r="I305" s="34"/>
      <c r="J305" s="34"/>
      <c r="K305" s="35">
        <f>IFERROR((PA[[#This Row],[Sunset Time (POA&lt;20 W/m2)]]-PA[[#This Row],[Sunrise Time (POA&gt;20 W/m2)]])*24,"")</f>
        <v>0</v>
      </c>
      <c r="L305" s="33"/>
      <c r="M305" s="33"/>
      <c r="N305" s="33"/>
      <c r="O305" s="36"/>
      <c r="P305" s="36"/>
      <c r="Q305" s="33"/>
      <c r="R305" s="32">
        <f>IF((PA[[#This Row],[String Type(If String BD)]]&amp;PA[[#This Row],[Equipment (If any BD other than PV  array and inv)]])="",1,0)</f>
        <v>1</v>
      </c>
      <c r="S305" s="32">
        <f>IF(PA[[#This Row],[String Type(If String BD)]]="",1,0)</f>
        <v>1</v>
      </c>
      <c r="T3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5" s="35" t="str">
        <f>IFERROR(_xlfn.XLOOKUP(PA[[#This Row],[Affected Equipment ]],'Basic Data'!N:N,'Basic Data'!Q:Q),"")</f>
        <v/>
      </c>
      <c r="V305" s="207" t="str">
        <f>IFERROR(_xlfn.XLOOKUP(PA[[#This Row],[Affected Equipment ]],'Basic Data'!N:N,'Basic Data'!R:R),"")</f>
        <v/>
      </c>
      <c r="W305" s="36"/>
      <c r="X305" s="40"/>
      <c r="Y305" s="41"/>
      <c r="Z305" s="46"/>
      <c r="AA305" s="46"/>
      <c r="AB305" s="46"/>
      <c r="AC305" s="46"/>
      <c r="AD305" s="44">
        <f>IF(PA[[#This Row],[Acknowledgement Time ]]="NA","",(PA[[#This Row],[Acknowledgement Time ]]-PA[[#This Row],[Fault Time]])*24)</f>
        <v>0</v>
      </c>
      <c r="AE305" s="44">
        <f>IF(PA[[#This Row],[Work Start time on Fault]]="NA","",(PA[[#This Row],[Work Start time on Fault]]-PA[[#This Row],[Fault Time]])*24)</f>
        <v>0</v>
      </c>
      <c r="AF305" s="45">
        <f>IF(PA[[#This Row],[Status]]="Open","",(PA[[#This Row],[Work Completion time on fault]]-PA[[#This Row],[Fault Time]])*24)</f>
        <v>0</v>
      </c>
      <c r="AG305" s="44">
        <f>IFERROR((PA[[#This Row],[Work Completion time on fault]]-PA[[#This Row],[Fault Time]])*24,"")</f>
        <v>0</v>
      </c>
      <c r="AH305" s="36"/>
      <c r="AI305" s="33"/>
      <c r="AJ305" s="35" t="str">
        <f>IFERROR(PA[[#This Row],[Breakdown Time]]*PA[[#This Row],[Plant Equivalent Weightage]],"")</f>
        <v/>
      </c>
      <c r="AK305" s="36"/>
      <c r="AL305" s="51" t="str">
        <f>IFERROR((_xlfn.XLOOKUP($G305,'Modelling New'!D:D,'Modelling New'!$O:$O)*PA[[#This Row],[Lost PoA(kWh/m2)]]*PA[[#This Row],[DC Capacity Affected (kW)]]),"")</f>
        <v/>
      </c>
      <c r="AM305" s="33"/>
      <c r="AN305" s="33"/>
      <c r="AO305" s="33"/>
      <c r="AP305" s="33"/>
    </row>
    <row r="306" spans="1:42">
      <c r="A306" s="30">
        <f t="shared" si="2"/>
        <v>305</v>
      </c>
      <c r="B306" s="165"/>
      <c r="C306" s="212">
        <f>YEAR(PA[[#This Row],[Date]])+IF(MONTH(PA[[#This Row],[Date]])&gt;=4,1,0)</f>
        <v>1900</v>
      </c>
      <c r="D306" s="212">
        <f>YEAR(PA[[#This Row],[Date]])</f>
        <v>1900</v>
      </c>
      <c r="E306" s="37" t="s">
        <v>157</v>
      </c>
      <c r="F306" s="37" t="s">
        <v>157</v>
      </c>
      <c r="G306" s="214">
        <f>PA[[#This Row],[Date]]-DAY(PA[[#This Row],[Date]])+1</f>
        <v>1</v>
      </c>
      <c r="H306" s="32">
        <f>DAY(EOMONTH(PA[[#This Row],[Month Year]],0))</f>
        <v>31</v>
      </c>
      <c r="I306" s="34"/>
      <c r="J306" s="34"/>
      <c r="K306" s="35">
        <f>IFERROR((PA[[#This Row],[Sunset Time (POA&lt;20 W/m2)]]-PA[[#This Row],[Sunrise Time (POA&gt;20 W/m2)]])*24,"")</f>
        <v>0</v>
      </c>
      <c r="L306" s="33"/>
      <c r="M306" s="33"/>
      <c r="N306" s="33"/>
      <c r="O306" s="36"/>
      <c r="P306" s="36"/>
      <c r="Q306" s="33"/>
      <c r="R306" s="32">
        <f>IF((PA[[#This Row],[String Type(If String BD)]]&amp;PA[[#This Row],[Equipment (If any BD other than PV  array and inv)]])="",1,0)</f>
        <v>1</v>
      </c>
      <c r="S306" s="32">
        <f>IF(PA[[#This Row],[String Type(If String BD)]]="",1,0)</f>
        <v>1</v>
      </c>
      <c r="T3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6" s="35" t="str">
        <f>IFERROR(_xlfn.XLOOKUP(PA[[#This Row],[Affected Equipment ]],'Basic Data'!N:N,'Basic Data'!Q:Q),"")</f>
        <v/>
      </c>
      <c r="V306" s="207" t="str">
        <f>IFERROR(_xlfn.XLOOKUP(PA[[#This Row],[Affected Equipment ]],'Basic Data'!N:N,'Basic Data'!R:R),"")</f>
        <v/>
      </c>
      <c r="W306" s="36"/>
      <c r="X306" s="40"/>
      <c r="Y306" s="41"/>
      <c r="Z306" s="46"/>
      <c r="AA306" s="46"/>
      <c r="AB306" s="46"/>
      <c r="AC306" s="46"/>
      <c r="AD306" s="44">
        <f>IF(PA[[#This Row],[Acknowledgement Time ]]="NA","",(PA[[#This Row],[Acknowledgement Time ]]-PA[[#This Row],[Fault Time]])*24)</f>
        <v>0</v>
      </c>
      <c r="AE306" s="44">
        <f>IF(PA[[#This Row],[Work Start time on Fault]]="NA","",(PA[[#This Row],[Work Start time on Fault]]-PA[[#This Row],[Fault Time]])*24)</f>
        <v>0</v>
      </c>
      <c r="AF306" s="45">
        <f>IF(PA[[#This Row],[Status]]="Open","",(PA[[#This Row],[Work Completion time on fault]]-PA[[#This Row],[Fault Time]])*24)</f>
        <v>0</v>
      </c>
      <c r="AG306" s="44">
        <f>IFERROR((PA[[#This Row],[Work Completion time on fault]]-PA[[#This Row],[Fault Time]])*24,"")</f>
        <v>0</v>
      </c>
      <c r="AH306" s="36"/>
      <c r="AI306" s="33"/>
      <c r="AJ306" s="35" t="str">
        <f>IFERROR(PA[[#This Row],[Breakdown Time]]*PA[[#This Row],[Plant Equivalent Weightage]],"")</f>
        <v/>
      </c>
      <c r="AK306" s="36"/>
      <c r="AL306" s="51" t="str">
        <f>IFERROR((_xlfn.XLOOKUP($G306,'Modelling New'!D:D,'Modelling New'!$O:$O)*PA[[#This Row],[Lost PoA(kWh/m2)]]*PA[[#This Row],[DC Capacity Affected (kW)]]),"")</f>
        <v/>
      </c>
      <c r="AM306" s="33"/>
      <c r="AN306" s="33"/>
      <c r="AO306" s="33"/>
      <c r="AP306" s="33"/>
    </row>
    <row r="307" spans="1:42">
      <c r="A307" s="30">
        <f t="shared" si="2"/>
        <v>306</v>
      </c>
      <c r="B307" s="165"/>
      <c r="C307" s="212">
        <f>YEAR(PA[[#This Row],[Date]])+IF(MONTH(PA[[#This Row],[Date]])&gt;=4,1,0)</f>
        <v>1900</v>
      </c>
      <c r="D307" s="212">
        <f>YEAR(PA[[#This Row],[Date]])</f>
        <v>1900</v>
      </c>
      <c r="E307" s="37" t="s">
        <v>157</v>
      </c>
      <c r="F307" s="37" t="s">
        <v>157</v>
      </c>
      <c r="G307" s="214">
        <f>PA[[#This Row],[Date]]-DAY(PA[[#This Row],[Date]])+1</f>
        <v>1</v>
      </c>
      <c r="H307" s="32">
        <f>DAY(EOMONTH(PA[[#This Row],[Month Year]],0))</f>
        <v>31</v>
      </c>
      <c r="I307" s="34"/>
      <c r="J307" s="34"/>
      <c r="K307" s="35">
        <f>IFERROR((PA[[#This Row],[Sunset Time (POA&lt;20 W/m2)]]-PA[[#This Row],[Sunrise Time (POA&gt;20 W/m2)]])*24,"")</f>
        <v>0</v>
      </c>
      <c r="L307" s="33"/>
      <c r="M307" s="33"/>
      <c r="N307" s="33"/>
      <c r="O307" s="36"/>
      <c r="P307" s="36"/>
      <c r="Q307" s="33"/>
      <c r="R307" s="32">
        <f>IF((PA[[#This Row],[String Type(If String BD)]]&amp;PA[[#This Row],[Equipment (If any BD other than PV  array and inv)]])="",1,0)</f>
        <v>1</v>
      </c>
      <c r="S307" s="32">
        <f>IF(PA[[#This Row],[String Type(If String BD)]]="",1,0)</f>
        <v>1</v>
      </c>
      <c r="T3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7" s="35" t="str">
        <f>IFERROR(_xlfn.XLOOKUP(PA[[#This Row],[Affected Equipment ]],'Basic Data'!N:N,'Basic Data'!Q:Q),"")</f>
        <v/>
      </c>
      <c r="V307" s="207" t="str">
        <f>IFERROR(_xlfn.XLOOKUP(PA[[#This Row],[Affected Equipment ]],'Basic Data'!N:N,'Basic Data'!R:R),"")</f>
        <v/>
      </c>
      <c r="W307" s="36"/>
      <c r="X307" s="40"/>
      <c r="Y307" s="41"/>
      <c r="Z307" s="46"/>
      <c r="AA307" s="46"/>
      <c r="AB307" s="46"/>
      <c r="AC307" s="46"/>
      <c r="AD307" s="44">
        <f>IF(PA[[#This Row],[Acknowledgement Time ]]="NA","",(PA[[#This Row],[Acknowledgement Time ]]-PA[[#This Row],[Fault Time]])*24)</f>
        <v>0</v>
      </c>
      <c r="AE307" s="44">
        <f>IF(PA[[#This Row],[Work Start time on Fault]]="NA","",(PA[[#This Row],[Work Start time on Fault]]-PA[[#This Row],[Fault Time]])*24)</f>
        <v>0</v>
      </c>
      <c r="AF307" s="45">
        <f>IF(PA[[#This Row],[Status]]="Open","",(PA[[#This Row],[Work Completion time on fault]]-PA[[#This Row],[Fault Time]])*24)</f>
        <v>0</v>
      </c>
      <c r="AG307" s="44">
        <f>IFERROR((PA[[#This Row],[Work Completion time on fault]]-PA[[#This Row],[Fault Time]])*24,"")</f>
        <v>0</v>
      </c>
      <c r="AH307" s="36"/>
      <c r="AI307" s="33"/>
      <c r="AJ307" s="35" t="str">
        <f>IFERROR(PA[[#This Row],[Breakdown Time]]*PA[[#This Row],[Plant Equivalent Weightage]],"")</f>
        <v/>
      </c>
      <c r="AK307" s="36"/>
      <c r="AL307" s="51" t="str">
        <f>IFERROR((_xlfn.XLOOKUP($G307,'Modelling New'!D:D,'Modelling New'!$O:$O)*PA[[#This Row],[Lost PoA(kWh/m2)]]*PA[[#This Row],[DC Capacity Affected (kW)]]),"")</f>
        <v/>
      </c>
      <c r="AM307" s="33"/>
      <c r="AN307" s="33"/>
      <c r="AO307" s="33"/>
      <c r="AP307" s="33"/>
    </row>
    <row r="308" spans="1:42">
      <c r="A308" s="30">
        <f t="shared" si="2"/>
        <v>307</v>
      </c>
      <c r="B308" s="165"/>
      <c r="C308" s="212">
        <f>YEAR(PA[[#This Row],[Date]])+IF(MONTH(PA[[#This Row],[Date]])&gt;=4,1,0)</f>
        <v>1900</v>
      </c>
      <c r="D308" s="212">
        <f>YEAR(PA[[#This Row],[Date]])</f>
        <v>1900</v>
      </c>
      <c r="E308" s="37" t="s">
        <v>157</v>
      </c>
      <c r="F308" s="37" t="s">
        <v>157</v>
      </c>
      <c r="G308" s="214">
        <f>PA[[#This Row],[Date]]-DAY(PA[[#This Row],[Date]])+1</f>
        <v>1</v>
      </c>
      <c r="H308" s="32">
        <f>DAY(EOMONTH(PA[[#This Row],[Month Year]],0))</f>
        <v>31</v>
      </c>
      <c r="I308" s="34"/>
      <c r="J308" s="34"/>
      <c r="K308" s="35">
        <f>IFERROR((PA[[#This Row],[Sunset Time (POA&lt;20 W/m2)]]-PA[[#This Row],[Sunrise Time (POA&gt;20 W/m2)]])*24,"")</f>
        <v>0</v>
      </c>
      <c r="L308" s="37"/>
      <c r="M308" s="37"/>
      <c r="N308" s="33"/>
      <c r="O308" s="36"/>
      <c r="P308" s="36"/>
      <c r="Q308" s="33"/>
      <c r="R308" s="32">
        <f>IF((PA[[#This Row],[String Type(If String BD)]]&amp;PA[[#This Row],[Equipment (If any BD other than PV  array and inv)]])="",1,0)</f>
        <v>1</v>
      </c>
      <c r="S308" s="32">
        <f>IF(PA[[#This Row],[String Type(If String BD)]]="",1,0)</f>
        <v>1</v>
      </c>
      <c r="T3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8" s="35" t="str">
        <f>IFERROR(_xlfn.XLOOKUP(PA[[#This Row],[Affected Equipment ]],'Basic Data'!N:N,'Basic Data'!Q:Q),"")</f>
        <v/>
      </c>
      <c r="V308" s="207" t="str">
        <f>IFERROR(_xlfn.XLOOKUP(PA[[#This Row],[Affected Equipment ]],'Basic Data'!N:N,'Basic Data'!R:R),"")</f>
        <v/>
      </c>
      <c r="W308" s="36"/>
      <c r="X308" s="40"/>
      <c r="Y308" s="41"/>
      <c r="Z308" s="46"/>
      <c r="AA308" s="46"/>
      <c r="AB308" s="46"/>
      <c r="AC308" s="46"/>
      <c r="AD308" s="44">
        <f>IF(PA[[#This Row],[Acknowledgement Time ]]="NA","",(PA[[#This Row],[Acknowledgement Time ]]-PA[[#This Row],[Fault Time]])*24)</f>
        <v>0</v>
      </c>
      <c r="AE308" s="44">
        <f>IF(PA[[#This Row],[Work Start time on Fault]]="NA","",(PA[[#This Row],[Work Start time on Fault]]-PA[[#This Row],[Fault Time]])*24)</f>
        <v>0</v>
      </c>
      <c r="AF308" s="45">
        <f>IF(PA[[#This Row],[Status]]="Open","",(PA[[#This Row],[Work Completion time on fault]]-PA[[#This Row],[Fault Time]])*24)</f>
        <v>0</v>
      </c>
      <c r="AG308" s="44">
        <f>IFERROR((PA[[#This Row],[Work Completion time on fault]]-PA[[#This Row],[Fault Time]])*24,"")</f>
        <v>0</v>
      </c>
      <c r="AH308" s="36"/>
      <c r="AI308" s="33"/>
      <c r="AJ308" s="35" t="str">
        <f>IFERROR(PA[[#This Row],[Breakdown Time]]*PA[[#This Row],[Plant Equivalent Weightage]],"")</f>
        <v/>
      </c>
      <c r="AK308" s="36"/>
      <c r="AL308" s="51" t="str">
        <f>IFERROR((_xlfn.XLOOKUP($G308,'Modelling New'!D:D,'Modelling New'!$O:$O)*PA[[#This Row],[Lost PoA(kWh/m2)]]*PA[[#This Row],[DC Capacity Affected (kW)]]),"")</f>
        <v/>
      </c>
      <c r="AM308" s="33"/>
      <c r="AN308" s="33"/>
      <c r="AO308" s="33"/>
      <c r="AP308" s="33"/>
    </row>
    <row r="309" spans="1:42">
      <c r="A309" s="30">
        <f t="shared" si="2"/>
        <v>308</v>
      </c>
      <c r="B309" s="165"/>
      <c r="C309" s="211">
        <f>YEAR(PA[[#This Row],[Date]])+IF(MONTH(PA[[#This Row],[Date]])&gt;=4,1,0)</f>
        <v>1900</v>
      </c>
      <c r="D309" s="211">
        <f>YEAR(PA[[#This Row],[Date]])</f>
        <v>1900</v>
      </c>
      <c r="E309" s="37" t="s">
        <v>157</v>
      </c>
      <c r="F309" s="37" t="s">
        <v>157</v>
      </c>
      <c r="G309" s="214">
        <f>PA[[#This Row],[Date]]-DAY(PA[[#This Row],[Date]])+1</f>
        <v>1</v>
      </c>
      <c r="H309" s="202">
        <f>DAY(EOMONTH(PA[[#This Row],[Month Year]],0))</f>
        <v>31</v>
      </c>
      <c r="I309" s="34"/>
      <c r="J309" s="34"/>
      <c r="K309" s="35">
        <f>IFERROR((PA[[#This Row],[Sunset Time (POA&lt;20 W/m2)]]-PA[[#This Row],[Sunrise Time (POA&gt;20 W/m2)]])*24,"")</f>
        <v>0</v>
      </c>
      <c r="L309" s="33"/>
      <c r="M309" s="37"/>
      <c r="N309" s="33"/>
      <c r="O309" s="38"/>
      <c r="P309" s="38"/>
      <c r="Q309" s="37"/>
      <c r="R309" s="202">
        <f>IF((PA[[#This Row],[String Type(If String BD)]]&amp;PA[[#This Row],[Equipment (If any BD other than PV  array and inv)]])="",1,0)</f>
        <v>1</v>
      </c>
      <c r="S309" s="202">
        <f>IF(PA[[#This Row],[String Type(If String BD)]]="",1,0)</f>
        <v>1</v>
      </c>
      <c r="T30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09" s="204" t="str">
        <f>IFERROR(_xlfn.XLOOKUP(PA[[#This Row],[Affected Equipment ]],'Basic Data'!N:N,'Basic Data'!Q:Q),"")</f>
        <v/>
      </c>
      <c r="V309" s="208" t="str">
        <f>IFERROR(_xlfn.XLOOKUP(PA[[#This Row],[Affected Equipment ]],'Basic Data'!N:N,'Basic Data'!R:R),"")</f>
        <v/>
      </c>
      <c r="W309" s="38"/>
      <c r="X309" s="41"/>
      <c r="Y309" s="41"/>
      <c r="Z309" s="47"/>
      <c r="AA309" s="47"/>
      <c r="AB309" s="47"/>
      <c r="AC309" s="47"/>
      <c r="AD309" s="205">
        <f>IF(PA[[#This Row],[Acknowledgement Time ]]="NA","",(PA[[#This Row],[Acknowledgement Time ]]-PA[[#This Row],[Fault Time]])*24)</f>
        <v>0</v>
      </c>
      <c r="AE309" s="205">
        <f>IF(PA[[#This Row],[Work Start time on Fault]]="NA","",(PA[[#This Row],[Work Start time on Fault]]-PA[[#This Row],[Fault Time]])*24)</f>
        <v>0</v>
      </c>
      <c r="AF309" s="206">
        <f>IF(PA[[#This Row],[Status]]="Open","",(PA[[#This Row],[Work Completion time on fault]]-PA[[#This Row],[Fault Time]])*24)</f>
        <v>0</v>
      </c>
      <c r="AG309" s="205">
        <f>IFERROR((PA[[#This Row],[Work Completion time on fault]]-PA[[#This Row],[Fault Time]])*24,"")</f>
        <v>0</v>
      </c>
      <c r="AH309" s="36"/>
      <c r="AI309" s="33"/>
      <c r="AJ309" s="204" t="str">
        <f>IFERROR(PA[[#This Row],[Breakdown Time]]*PA[[#This Row],[Plant Equivalent Weightage]],"")</f>
        <v/>
      </c>
      <c r="AK309" s="38"/>
      <c r="AL309" s="51" t="str">
        <f>IFERROR((_xlfn.XLOOKUP($G309,'Modelling New'!D:D,'Modelling New'!$O:$O)*PA[[#This Row],[Lost PoA(kWh/m2)]]*PA[[#This Row],[DC Capacity Affected (kW)]]),"")</f>
        <v/>
      </c>
      <c r="AM309" s="33"/>
      <c r="AN309" s="33"/>
      <c r="AO309" s="33"/>
      <c r="AP309" s="33"/>
    </row>
    <row r="310" spans="1:42">
      <c r="A310" s="30">
        <f t="shared" si="2"/>
        <v>309</v>
      </c>
      <c r="B310" s="165"/>
      <c r="C310" s="212">
        <f>YEAR(PA[[#This Row],[Date]])+IF(MONTH(PA[[#This Row],[Date]])&gt;=4,1,0)</f>
        <v>1900</v>
      </c>
      <c r="D310" s="212">
        <f>YEAR(PA[[#This Row],[Date]])</f>
        <v>1900</v>
      </c>
      <c r="E310" s="37" t="s">
        <v>157</v>
      </c>
      <c r="F310" s="37" t="s">
        <v>157</v>
      </c>
      <c r="G310" s="214">
        <f>PA[[#This Row],[Date]]-DAY(PA[[#This Row],[Date]])+1</f>
        <v>1</v>
      </c>
      <c r="H310" s="32">
        <f>DAY(EOMONTH(PA[[#This Row],[Month Year]],0))</f>
        <v>31</v>
      </c>
      <c r="I310" s="34"/>
      <c r="J310" s="34"/>
      <c r="K310" s="35">
        <f>IFERROR((PA[[#This Row],[Sunset Time (POA&lt;20 W/m2)]]-PA[[#This Row],[Sunrise Time (POA&gt;20 W/m2)]])*24,"")</f>
        <v>0</v>
      </c>
      <c r="L310" s="33"/>
      <c r="M310" s="33"/>
      <c r="N310" s="33"/>
      <c r="O310" s="36"/>
      <c r="P310" s="36"/>
      <c r="Q310" s="33"/>
      <c r="R310" s="32">
        <f>IF((PA[[#This Row],[String Type(If String BD)]]&amp;PA[[#This Row],[Equipment (If any BD other than PV  array and inv)]])="",1,0)</f>
        <v>1</v>
      </c>
      <c r="S310" s="32">
        <f>IF(PA[[#This Row],[String Type(If String BD)]]="",1,0)</f>
        <v>1</v>
      </c>
      <c r="T3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0" s="35" t="str">
        <f>IFERROR(_xlfn.XLOOKUP(PA[[#This Row],[Affected Equipment ]],'Basic Data'!N:N,'Basic Data'!Q:Q),"")</f>
        <v/>
      </c>
      <c r="V310" s="207" t="str">
        <f>IFERROR(_xlfn.XLOOKUP(PA[[#This Row],[Affected Equipment ]],'Basic Data'!N:N,'Basic Data'!R:R),"")</f>
        <v/>
      </c>
      <c r="W310" s="36"/>
      <c r="X310" s="40"/>
      <c r="Y310" s="41"/>
      <c r="Z310" s="47"/>
      <c r="AA310" s="47"/>
      <c r="AB310" s="47"/>
      <c r="AC310" s="47"/>
      <c r="AD310" s="44">
        <f>IF(PA[[#This Row],[Acknowledgement Time ]]="NA","",(PA[[#This Row],[Acknowledgement Time ]]-PA[[#This Row],[Fault Time]])*24)</f>
        <v>0</v>
      </c>
      <c r="AE310" s="44">
        <f>IF(PA[[#This Row],[Work Start time on Fault]]="NA","",(PA[[#This Row],[Work Start time on Fault]]-PA[[#This Row],[Fault Time]])*24)</f>
        <v>0</v>
      </c>
      <c r="AF310" s="45">
        <f>IF(PA[[#This Row],[Status]]="Open","",(PA[[#This Row],[Work Completion time on fault]]-PA[[#This Row],[Fault Time]])*24)</f>
        <v>0</v>
      </c>
      <c r="AG310" s="44">
        <f>IFERROR((PA[[#This Row],[Work Completion time on fault]]-PA[[#This Row],[Fault Time]])*24,"")</f>
        <v>0</v>
      </c>
      <c r="AH310" s="36"/>
      <c r="AI310" s="33"/>
      <c r="AJ310" s="35" t="str">
        <f>IFERROR(PA[[#This Row],[Breakdown Time]]*PA[[#This Row],[Plant Equivalent Weightage]],"")</f>
        <v/>
      </c>
      <c r="AK310" s="38"/>
      <c r="AL310" s="51" t="str">
        <f>IFERROR((_xlfn.XLOOKUP($G310,'Modelling New'!D:D,'Modelling New'!$O:$O)*PA[[#This Row],[Lost PoA(kWh/m2)]]*PA[[#This Row],[DC Capacity Affected (kW)]]),"")</f>
        <v/>
      </c>
      <c r="AM310" s="33"/>
      <c r="AN310" s="33"/>
      <c r="AO310" s="33"/>
      <c r="AP310" s="33"/>
    </row>
    <row r="311" spans="1:42">
      <c r="A311" s="30">
        <f t="shared" si="2"/>
        <v>310</v>
      </c>
      <c r="B311" s="165"/>
      <c r="C311" s="212">
        <f>YEAR(PA[[#This Row],[Date]])+IF(MONTH(PA[[#This Row],[Date]])&gt;=4,1,0)</f>
        <v>1900</v>
      </c>
      <c r="D311" s="212">
        <f>YEAR(PA[[#This Row],[Date]])</f>
        <v>1900</v>
      </c>
      <c r="E311" s="37" t="s">
        <v>157</v>
      </c>
      <c r="F311" s="37" t="s">
        <v>157</v>
      </c>
      <c r="G311" s="214">
        <f>PA[[#This Row],[Date]]-DAY(PA[[#This Row],[Date]])+1</f>
        <v>1</v>
      </c>
      <c r="H311" s="32">
        <f>DAY(EOMONTH(PA[[#This Row],[Month Year]],0))</f>
        <v>31</v>
      </c>
      <c r="I311" s="34"/>
      <c r="J311" s="34"/>
      <c r="K311" s="35">
        <f>IFERROR((PA[[#This Row],[Sunset Time (POA&lt;20 W/m2)]]-PA[[#This Row],[Sunrise Time (POA&gt;20 W/m2)]])*24,"")</f>
        <v>0</v>
      </c>
      <c r="L311" s="33"/>
      <c r="M311" s="33"/>
      <c r="N311" s="33"/>
      <c r="O311" s="36"/>
      <c r="P311" s="36"/>
      <c r="Q311" s="33"/>
      <c r="R311" s="32">
        <f>IF((PA[[#This Row],[String Type(If String BD)]]&amp;PA[[#This Row],[Equipment (If any BD other than PV  array and inv)]])="",1,0)</f>
        <v>1</v>
      </c>
      <c r="S311" s="32">
        <f>IF(PA[[#This Row],[String Type(If String BD)]]="",1,0)</f>
        <v>1</v>
      </c>
      <c r="T3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1" s="35" t="str">
        <f>IFERROR(_xlfn.XLOOKUP(PA[[#This Row],[Affected Equipment ]],'Basic Data'!N:N,'Basic Data'!Q:Q),"")</f>
        <v/>
      </c>
      <c r="V311" s="207" t="str">
        <f>IFERROR(_xlfn.XLOOKUP(PA[[#This Row],[Affected Equipment ]],'Basic Data'!N:N,'Basic Data'!R:R),"")</f>
        <v/>
      </c>
      <c r="W311" s="36"/>
      <c r="X311" s="40"/>
      <c r="Y311" s="41"/>
      <c r="Z311" s="47"/>
      <c r="AA311" s="47"/>
      <c r="AB311" s="47"/>
      <c r="AC311" s="47"/>
      <c r="AD311" s="44">
        <f>IF(PA[[#This Row],[Acknowledgement Time ]]="NA","",(PA[[#This Row],[Acknowledgement Time ]]-PA[[#This Row],[Fault Time]])*24)</f>
        <v>0</v>
      </c>
      <c r="AE311" s="44">
        <f>IF(PA[[#This Row],[Work Start time on Fault]]="NA","",(PA[[#This Row],[Work Start time on Fault]]-PA[[#This Row],[Fault Time]])*24)</f>
        <v>0</v>
      </c>
      <c r="AF311" s="45">
        <f>IF(PA[[#This Row],[Status]]="Open","",(PA[[#This Row],[Work Completion time on fault]]-PA[[#This Row],[Fault Time]])*24)</f>
        <v>0</v>
      </c>
      <c r="AG311" s="44">
        <f>IFERROR((PA[[#This Row],[Work Completion time on fault]]-PA[[#This Row],[Fault Time]])*24,"")</f>
        <v>0</v>
      </c>
      <c r="AH311" s="36"/>
      <c r="AI311" s="33"/>
      <c r="AJ311" s="35" t="str">
        <f>IFERROR(PA[[#This Row],[Breakdown Time]]*PA[[#This Row],[Plant Equivalent Weightage]],"")</f>
        <v/>
      </c>
      <c r="AK311" s="38"/>
      <c r="AL311" s="51" t="str">
        <f>IFERROR((_xlfn.XLOOKUP($G311,'Modelling New'!D:D,'Modelling New'!$O:$O)*PA[[#This Row],[Lost PoA(kWh/m2)]]*PA[[#This Row],[DC Capacity Affected (kW)]]),"")</f>
        <v/>
      </c>
      <c r="AM311" s="33"/>
      <c r="AN311" s="33"/>
      <c r="AO311" s="33"/>
      <c r="AP311" s="33"/>
    </row>
    <row r="312" spans="1:42">
      <c r="A312" s="30">
        <f t="shared" si="2"/>
        <v>311</v>
      </c>
      <c r="B312" s="165"/>
      <c r="C312" s="212">
        <f>YEAR(PA[[#This Row],[Date]])+IF(MONTH(PA[[#This Row],[Date]])&gt;=4,1,0)</f>
        <v>1900</v>
      </c>
      <c r="D312" s="212">
        <f>YEAR(PA[[#This Row],[Date]])</f>
        <v>1900</v>
      </c>
      <c r="E312" s="37" t="s">
        <v>157</v>
      </c>
      <c r="F312" s="37" t="s">
        <v>157</v>
      </c>
      <c r="G312" s="214">
        <f>PA[[#This Row],[Date]]-DAY(PA[[#This Row],[Date]])+1</f>
        <v>1</v>
      </c>
      <c r="H312" s="32">
        <f>DAY(EOMONTH(PA[[#This Row],[Month Year]],0))</f>
        <v>31</v>
      </c>
      <c r="I312" s="34"/>
      <c r="J312" s="34"/>
      <c r="K312" s="35">
        <f>IFERROR((PA[[#This Row],[Sunset Time (POA&lt;20 W/m2)]]-PA[[#This Row],[Sunrise Time (POA&gt;20 W/m2)]])*24,"")</f>
        <v>0</v>
      </c>
      <c r="L312" s="33"/>
      <c r="M312" s="33"/>
      <c r="N312" s="33"/>
      <c r="O312" s="36"/>
      <c r="P312" s="36"/>
      <c r="Q312" s="33"/>
      <c r="R312" s="32">
        <f>IF((PA[[#This Row],[String Type(If String BD)]]&amp;PA[[#This Row],[Equipment (If any BD other than PV  array and inv)]])="",1,0)</f>
        <v>1</v>
      </c>
      <c r="S312" s="32">
        <f>IF(PA[[#This Row],[String Type(If String BD)]]="",1,0)</f>
        <v>1</v>
      </c>
      <c r="T3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2" s="35" t="str">
        <f>IFERROR(_xlfn.XLOOKUP(PA[[#This Row],[Affected Equipment ]],'Basic Data'!N:N,'Basic Data'!Q:Q),"")</f>
        <v/>
      </c>
      <c r="V312" s="207" t="str">
        <f>IFERROR(_xlfn.XLOOKUP(PA[[#This Row],[Affected Equipment ]],'Basic Data'!N:N,'Basic Data'!R:R),"")</f>
        <v/>
      </c>
      <c r="W312" s="36"/>
      <c r="X312" s="40"/>
      <c r="Y312" s="41"/>
      <c r="Z312" s="46"/>
      <c r="AA312" s="46"/>
      <c r="AB312" s="46"/>
      <c r="AC312" s="46"/>
      <c r="AD312" s="44">
        <f>IF(PA[[#This Row],[Acknowledgement Time ]]="NA","",(PA[[#This Row],[Acknowledgement Time ]]-PA[[#This Row],[Fault Time]])*24)</f>
        <v>0</v>
      </c>
      <c r="AE312" s="44">
        <f>IF(PA[[#This Row],[Work Start time on Fault]]="NA","",(PA[[#This Row],[Work Start time on Fault]]-PA[[#This Row],[Fault Time]])*24)</f>
        <v>0</v>
      </c>
      <c r="AF312" s="45">
        <f>IF(PA[[#This Row],[Status]]="Open","",(PA[[#This Row],[Work Completion time on fault]]-PA[[#This Row],[Fault Time]])*24)</f>
        <v>0</v>
      </c>
      <c r="AG312" s="44">
        <f>IFERROR((PA[[#This Row],[Work Completion time on fault]]-PA[[#This Row],[Fault Time]])*24,"")</f>
        <v>0</v>
      </c>
      <c r="AH312" s="36"/>
      <c r="AI312" s="33"/>
      <c r="AJ312" s="35" t="str">
        <f>IFERROR(PA[[#This Row],[Breakdown Time]]*PA[[#This Row],[Plant Equivalent Weightage]],"")</f>
        <v/>
      </c>
      <c r="AK312" s="36"/>
      <c r="AL312" s="51" t="str">
        <f>IFERROR((_xlfn.XLOOKUP($G312,'Modelling New'!D:D,'Modelling New'!$O:$O)*PA[[#This Row],[Lost PoA(kWh/m2)]]*PA[[#This Row],[DC Capacity Affected (kW)]]),"")</f>
        <v/>
      </c>
      <c r="AM312" s="33"/>
      <c r="AN312" s="33"/>
      <c r="AO312" s="33"/>
      <c r="AP312" s="33"/>
    </row>
    <row r="313" spans="1:42">
      <c r="A313" s="30">
        <f t="shared" si="2"/>
        <v>312</v>
      </c>
      <c r="B313" s="165"/>
      <c r="C313" s="212">
        <f>YEAR(PA[[#This Row],[Date]])+IF(MONTH(PA[[#This Row],[Date]])&gt;=4,1,0)</f>
        <v>1900</v>
      </c>
      <c r="D313" s="212">
        <f>YEAR(PA[[#This Row],[Date]])</f>
        <v>1900</v>
      </c>
      <c r="E313" s="37" t="s">
        <v>157</v>
      </c>
      <c r="F313" s="37" t="s">
        <v>157</v>
      </c>
      <c r="G313" s="214">
        <f>PA[[#This Row],[Date]]-DAY(PA[[#This Row],[Date]])+1</f>
        <v>1</v>
      </c>
      <c r="H313" s="32">
        <f>DAY(EOMONTH(PA[[#This Row],[Month Year]],0))</f>
        <v>31</v>
      </c>
      <c r="I313" s="34"/>
      <c r="J313" s="34"/>
      <c r="K313" s="35">
        <f>IFERROR((PA[[#This Row],[Sunset Time (POA&lt;20 W/m2)]]-PA[[#This Row],[Sunrise Time (POA&gt;20 W/m2)]])*24,"")</f>
        <v>0</v>
      </c>
      <c r="L313" s="33"/>
      <c r="M313" s="33"/>
      <c r="N313" s="33"/>
      <c r="O313" s="36"/>
      <c r="P313" s="36"/>
      <c r="Q313" s="33"/>
      <c r="R313" s="32">
        <f>IF((PA[[#This Row],[String Type(If String BD)]]&amp;PA[[#This Row],[Equipment (If any BD other than PV  array and inv)]])="",1,0)</f>
        <v>1</v>
      </c>
      <c r="S313" s="32">
        <f>IF(PA[[#This Row],[String Type(If String BD)]]="",1,0)</f>
        <v>1</v>
      </c>
      <c r="T3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3" s="35" t="str">
        <f>IFERROR(_xlfn.XLOOKUP(PA[[#This Row],[Affected Equipment ]],'Basic Data'!N:N,'Basic Data'!Q:Q),"")</f>
        <v/>
      </c>
      <c r="V313" s="207" t="str">
        <f>IFERROR(_xlfn.XLOOKUP(PA[[#This Row],[Affected Equipment ]],'Basic Data'!N:N,'Basic Data'!R:R),"")</f>
        <v/>
      </c>
      <c r="W313" s="36"/>
      <c r="X313" s="40"/>
      <c r="Y313" s="41"/>
      <c r="Z313" s="46"/>
      <c r="AA313" s="46"/>
      <c r="AB313" s="46"/>
      <c r="AC313" s="46"/>
      <c r="AD313" s="44">
        <f>IF(PA[[#This Row],[Acknowledgement Time ]]="NA","",(PA[[#This Row],[Acknowledgement Time ]]-PA[[#This Row],[Fault Time]])*24)</f>
        <v>0</v>
      </c>
      <c r="AE313" s="44">
        <f>IF(PA[[#This Row],[Work Start time on Fault]]="NA","",(PA[[#This Row],[Work Start time on Fault]]-PA[[#This Row],[Fault Time]])*24)</f>
        <v>0</v>
      </c>
      <c r="AF313" s="45">
        <f>IF(PA[[#This Row],[Status]]="Open","",(PA[[#This Row],[Work Completion time on fault]]-PA[[#This Row],[Fault Time]])*24)</f>
        <v>0</v>
      </c>
      <c r="AG313" s="44">
        <f>IFERROR((PA[[#This Row],[Work Completion time on fault]]-PA[[#This Row],[Fault Time]])*24,"")</f>
        <v>0</v>
      </c>
      <c r="AH313" s="36"/>
      <c r="AI313" s="33"/>
      <c r="AJ313" s="35" t="str">
        <f>IFERROR(PA[[#This Row],[Breakdown Time]]*PA[[#This Row],[Plant Equivalent Weightage]],"")</f>
        <v/>
      </c>
      <c r="AK313" s="36"/>
      <c r="AL313" s="51" t="str">
        <f>IFERROR((_xlfn.XLOOKUP($G313,'Modelling New'!D:D,'Modelling New'!$O:$O)*PA[[#This Row],[Lost PoA(kWh/m2)]]*PA[[#This Row],[DC Capacity Affected (kW)]]),"")</f>
        <v/>
      </c>
      <c r="AM313" s="33"/>
      <c r="AN313" s="33"/>
      <c r="AO313" s="33"/>
      <c r="AP313" s="33"/>
    </row>
    <row r="314" spans="1:42">
      <c r="A314" s="30">
        <f t="shared" si="2"/>
        <v>313</v>
      </c>
      <c r="B314" s="165"/>
      <c r="C314" s="212">
        <f>YEAR(PA[[#This Row],[Date]])+IF(MONTH(PA[[#This Row],[Date]])&gt;=4,1,0)</f>
        <v>1900</v>
      </c>
      <c r="D314" s="212">
        <f>YEAR(PA[[#This Row],[Date]])</f>
        <v>1900</v>
      </c>
      <c r="E314" s="37" t="s">
        <v>157</v>
      </c>
      <c r="F314" s="37" t="s">
        <v>157</v>
      </c>
      <c r="G314" s="214">
        <f>PA[[#This Row],[Date]]-DAY(PA[[#This Row],[Date]])+1</f>
        <v>1</v>
      </c>
      <c r="H314" s="32">
        <f>DAY(EOMONTH(PA[[#This Row],[Month Year]],0))</f>
        <v>31</v>
      </c>
      <c r="I314" s="34"/>
      <c r="J314" s="34"/>
      <c r="K314" s="35">
        <f>IFERROR((PA[[#This Row],[Sunset Time (POA&lt;20 W/m2)]]-PA[[#This Row],[Sunrise Time (POA&gt;20 W/m2)]])*24,"")</f>
        <v>0</v>
      </c>
      <c r="L314" s="33"/>
      <c r="M314" s="33"/>
      <c r="N314" s="33"/>
      <c r="O314" s="36"/>
      <c r="P314" s="36"/>
      <c r="Q314" s="33"/>
      <c r="R314" s="32">
        <f>IF((PA[[#This Row],[String Type(If String BD)]]&amp;PA[[#This Row],[Equipment (If any BD other than PV  array and inv)]])="",1,0)</f>
        <v>1</v>
      </c>
      <c r="S314" s="32">
        <f>IF(PA[[#This Row],[String Type(If String BD)]]="",1,0)</f>
        <v>1</v>
      </c>
      <c r="T3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4" s="35" t="str">
        <f>IFERROR(_xlfn.XLOOKUP(PA[[#This Row],[Affected Equipment ]],'Basic Data'!N:N,'Basic Data'!Q:Q),"")</f>
        <v/>
      </c>
      <c r="V314" s="207" t="str">
        <f>IFERROR(_xlfn.XLOOKUP(PA[[#This Row],[Affected Equipment ]],'Basic Data'!N:N,'Basic Data'!R:R),"")</f>
        <v/>
      </c>
      <c r="W314" s="36"/>
      <c r="X314" s="40"/>
      <c r="Y314" s="41"/>
      <c r="Z314" s="46"/>
      <c r="AA314" s="46"/>
      <c r="AB314" s="46"/>
      <c r="AC314" s="46"/>
      <c r="AD314" s="44">
        <f>IF(PA[[#This Row],[Acknowledgement Time ]]="NA","",(PA[[#This Row],[Acknowledgement Time ]]-PA[[#This Row],[Fault Time]])*24)</f>
        <v>0</v>
      </c>
      <c r="AE314" s="44">
        <f>IF(PA[[#This Row],[Work Start time on Fault]]="NA","",(PA[[#This Row],[Work Start time on Fault]]-PA[[#This Row],[Fault Time]])*24)</f>
        <v>0</v>
      </c>
      <c r="AF314" s="45">
        <f>IF(PA[[#This Row],[Status]]="Open","",(PA[[#This Row],[Work Completion time on fault]]-PA[[#This Row],[Fault Time]])*24)</f>
        <v>0</v>
      </c>
      <c r="AG314" s="44">
        <f>IFERROR((PA[[#This Row],[Work Completion time on fault]]-PA[[#This Row],[Fault Time]])*24,"")</f>
        <v>0</v>
      </c>
      <c r="AH314" s="36"/>
      <c r="AI314" s="33"/>
      <c r="AJ314" s="35" t="str">
        <f>IFERROR(PA[[#This Row],[Breakdown Time]]*PA[[#This Row],[Plant Equivalent Weightage]],"")</f>
        <v/>
      </c>
      <c r="AK314" s="36"/>
      <c r="AL314" s="51" t="str">
        <f>IFERROR((_xlfn.XLOOKUP($G314,'Modelling New'!D:D,'Modelling New'!$O:$O)*PA[[#This Row],[Lost PoA(kWh/m2)]]*PA[[#This Row],[DC Capacity Affected (kW)]]),"")</f>
        <v/>
      </c>
      <c r="AM314" s="33"/>
      <c r="AN314" s="33"/>
      <c r="AO314" s="33"/>
      <c r="AP314" s="33"/>
    </row>
    <row r="315" spans="1:42">
      <c r="A315" s="30">
        <f t="shared" si="2"/>
        <v>314</v>
      </c>
      <c r="B315" s="165"/>
      <c r="C315" s="212">
        <f>YEAR(PA[[#This Row],[Date]])+IF(MONTH(PA[[#This Row],[Date]])&gt;=4,1,0)</f>
        <v>1900</v>
      </c>
      <c r="D315" s="212">
        <f>YEAR(PA[[#This Row],[Date]])</f>
        <v>1900</v>
      </c>
      <c r="E315" s="37" t="s">
        <v>157</v>
      </c>
      <c r="F315" s="37" t="s">
        <v>157</v>
      </c>
      <c r="G315" s="214">
        <f>PA[[#This Row],[Date]]-DAY(PA[[#This Row],[Date]])+1</f>
        <v>1</v>
      </c>
      <c r="H315" s="32">
        <f>DAY(EOMONTH(PA[[#This Row],[Month Year]],0))</f>
        <v>31</v>
      </c>
      <c r="I315" s="34"/>
      <c r="J315" s="34"/>
      <c r="K315" s="35">
        <f>IFERROR((PA[[#This Row],[Sunset Time (POA&lt;20 W/m2)]]-PA[[#This Row],[Sunrise Time (POA&gt;20 W/m2)]])*24,"")</f>
        <v>0</v>
      </c>
      <c r="L315" s="33"/>
      <c r="M315" s="33"/>
      <c r="N315" s="33"/>
      <c r="O315" s="36"/>
      <c r="P315" s="36"/>
      <c r="Q315" s="33"/>
      <c r="R315" s="32">
        <f>IF((PA[[#This Row],[String Type(If String BD)]]&amp;PA[[#This Row],[Equipment (If any BD other than PV  array and inv)]])="",1,0)</f>
        <v>1</v>
      </c>
      <c r="S315" s="32">
        <f>IF(PA[[#This Row],[String Type(If String BD)]]="",1,0)</f>
        <v>1</v>
      </c>
      <c r="T3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5" s="35" t="str">
        <f>IFERROR(_xlfn.XLOOKUP(PA[[#This Row],[Affected Equipment ]],'Basic Data'!N:N,'Basic Data'!Q:Q),"")</f>
        <v/>
      </c>
      <c r="V315" s="207" t="str">
        <f>IFERROR(_xlfn.XLOOKUP(PA[[#This Row],[Affected Equipment ]],'Basic Data'!N:N,'Basic Data'!R:R),"")</f>
        <v/>
      </c>
      <c r="W315" s="36"/>
      <c r="X315" s="40"/>
      <c r="Y315" s="41"/>
      <c r="Z315" s="46"/>
      <c r="AA315" s="46"/>
      <c r="AB315" s="46"/>
      <c r="AC315" s="46"/>
      <c r="AD315" s="44">
        <f>IF(PA[[#This Row],[Acknowledgement Time ]]="NA","",(PA[[#This Row],[Acknowledgement Time ]]-PA[[#This Row],[Fault Time]])*24)</f>
        <v>0</v>
      </c>
      <c r="AE315" s="44">
        <f>IF(PA[[#This Row],[Work Start time on Fault]]="NA","",(PA[[#This Row],[Work Start time on Fault]]-PA[[#This Row],[Fault Time]])*24)</f>
        <v>0</v>
      </c>
      <c r="AF315" s="45">
        <f>IF(PA[[#This Row],[Status]]="Open","",(PA[[#This Row],[Work Completion time on fault]]-PA[[#This Row],[Fault Time]])*24)</f>
        <v>0</v>
      </c>
      <c r="AG315" s="44">
        <f>IFERROR((PA[[#This Row],[Work Completion time on fault]]-PA[[#This Row],[Fault Time]])*24,"")</f>
        <v>0</v>
      </c>
      <c r="AH315" s="36"/>
      <c r="AI315" s="33"/>
      <c r="AJ315" s="35" t="str">
        <f>IFERROR(PA[[#This Row],[Breakdown Time]]*PA[[#This Row],[Plant Equivalent Weightage]],"")</f>
        <v/>
      </c>
      <c r="AK315" s="36"/>
      <c r="AL315" s="51" t="str">
        <f>IFERROR((_xlfn.XLOOKUP($G315,'Modelling New'!D:D,'Modelling New'!$O:$O)*PA[[#This Row],[Lost PoA(kWh/m2)]]*PA[[#This Row],[DC Capacity Affected (kW)]]),"")</f>
        <v/>
      </c>
      <c r="AM315" s="33"/>
      <c r="AN315" s="33"/>
      <c r="AO315" s="33"/>
      <c r="AP315" s="33"/>
    </row>
    <row r="316" spans="1:42">
      <c r="A316" s="30">
        <f t="shared" si="2"/>
        <v>315</v>
      </c>
      <c r="B316" s="165"/>
      <c r="C316" s="212">
        <f>YEAR(PA[[#This Row],[Date]])+IF(MONTH(PA[[#This Row],[Date]])&gt;=4,1,0)</f>
        <v>1900</v>
      </c>
      <c r="D316" s="212">
        <f>YEAR(PA[[#This Row],[Date]])</f>
        <v>1900</v>
      </c>
      <c r="E316" s="37" t="s">
        <v>157</v>
      </c>
      <c r="F316" s="37" t="s">
        <v>157</v>
      </c>
      <c r="G316" s="214">
        <f>PA[[#This Row],[Date]]-DAY(PA[[#This Row],[Date]])+1</f>
        <v>1</v>
      </c>
      <c r="H316" s="32">
        <f>DAY(EOMONTH(PA[[#This Row],[Month Year]],0))</f>
        <v>31</v>
      </c>
      <c r="I316" s="34"/>
      <c r="J316" s="34"/>
      <c r="K316" s="35">
        <f>IFERROR((PA[[#This Row],[Sunset Time (POA&lt;20 W/m2)]]-PA[[#This Row],[Sunrise Time (POA&gt;20 W/m2)]])*24,"")</f>
        <v>0</v>
      </c>
      <c r="L316" s="33"/>
      <c r="M316" s="33"/>
      <c r="N316" s="33"/>
      <c r="O316" s="36"/>
      <c r="P316" s="36"/>
      <c r="Q316" s="33"/>
      <c r="R316" s="32">
        <f>IF((PA[[#This Row],[String Type(If String BD)]]&amp;PA[[#This Row],[Equipment (If any BD other than PV  array and inv)]])="",1,0)</f>
        <v>1</v>
      </c>
      <c r="S316" s="32">
        <f>IF(PA[[#This Row],[String Type(If String BD)]]="",1,0)</f>
        <v>1</v>
      </c>
      <c r="T31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6" s="35" t="str">
        <f>IFERROR(_xlfn.XLOOKUP(PA[[#This Row],[Affected Equipment ]],'Basic Data'!N:N,'Basic Data'!Q:Q),"")</f>
        <v/>
      </c>
      <c r="V316" s="207" t="str">
        <f>IFERROR(_xlfn.XLOOKUP(PA[[#This Row],[Affected Equipment ]],'Basic Data'!N:N,'Basic Data'!R:R),"")</f>
        <v/>
      </c>
      <c r="W316" s="36"/>
      <c r="X316" s="40"/>
      <c r="Y316" s="41"/>
      <c r="Z316" s="46"/>
      <c r="AA316" s="46"/>
      <c r="AB316" s="46"/>
      <c r="AC316" s="46"/>
      <c r="AD316" s="44">
        <f>IF(PA[[#This Row],[Acknowledgement Time ]]="NA","",(PA[[#This Row],[Acknowledgement Time ]]-PA[[#This Row],[Fault Time]])*24)</f>
        <v>0</v>
      </c>
      <c r="AE316" s="44">
        <f>IF(PA[[#This Row],[Work Start time on Fault]]="NA","",(PA[[#This Row],[Work Start time on Fault]]-PA[[#This Row],[Fault Time]])*24)</f>
        <v>0</v>
      </c>
      <c r="AF316" s="45">
        <f>IF(PA[[#This Row],[Status]]="Open","",(PA[[#This Row],[Work Completion time on fault]]-PA[[#This Row],[Fault Time]])*24)</f>
        <v>0</v>
      </c>
      <c r="AG316" s="44">
        <f>IFERROR((PA[[#This Row],[Work Completion time on fault]]-PA[[#This Row],[Fault Time]])*24,"")</f>
        <v>0</v>
      </c>
      <c r="AH316" s="36"/>
      <c r="AI316" s="33"/>
      <c r="AJ316" s="35" t="str">
        <f>IFERROR(PA[[#This Row],[Breakdown Time]]*PA[[#This Row],[Plant Equivalent Weightage]],"")</f>
        <v/>
      </c>
      <c r="AK316" s="36"/>
      <c r="AL316" s="51" t="str">
        <f>IFERROR((_xlfn.XLOOKUP($G316,'Modelling New'!D:D,'Modelling New'!$O:$O)*PA[[#This Row],[Lost PoA(kWh/m2)]]*PA[[#This Row],[DC Capacity Affected (kW)]]),"")</f>
        <v/>
      </c>
      <c r="AM316" s="33"/>
      <c r="AN316" s="33"/>
      <c r="AO316" s="33"/>
      <c r="AP316" s="33"/>
    </row>
    <row r="317" spans="1:42">
      <c r="A317" s="30">
        <f t="shared" si="2"/>
        <v>316</v>
      </c>
      <c r="B317" s="165"/>
      <c r="C317" s="212">
        <f>YEAR(PA[[#This Row],[Date]])+IF(MONTH(PA[[#This Row],[Date]])&gt;=4,1,0)</f>
        <v>1900</v>
      </c>
      <c r="D317" s="212">
        <f>YEAR(PA[[#This Row],[Date]])</f>
        <v>1900</v>
      </c>
      <c r="E317" s="37" t="s">
        <v>157</v>
      </c>
      <c r="F317" s="37" t="s">
        <v>157</v>
      </c>
      <c r="G317" s="214">
        <f>PA[[#This Row],[Date]]-DAY(PA[[#This Row],[Date]])+1</f>
        <v>1</v>
      </c>
      <c r="H317" s="32">
        <f>DAY(EOMONTH(PA[[#This Row],[Month Year]],0))</f>
        <v>31</v>
      </c>
      <c r="I317" s="34"/>
      <c r="J317" s="34"/>
      <c r="K317" s="35">
        <f>IFERROR((PA[[#This Row],[Sunset Time (POA&lt;20 W/m2)]]-PA[[#This Row],[Sunrise Time (POA&gt;20 W/m2)]])*24,"")</f>
        <v>0</v>
      </c>
      <c r="L317" s="33"/>
      <c r="M317" s="33"/>
      <c r="N317" s="33"/>
      <c r="O317" s="36"/>
      <c r="P317" s="36"/>
      <c r="Q317" s="33"/>
      <c r="R317" s="32">
        <f>IF((PA[[#This Row],[String Type(If String BD)]]&amp;PA[[#This Row],[Equipment (If any BD other than PV  array and inv)]])="",1,0)</f>
        <v>1</v>
      </c>
      <c r="S317" s="32">
        <f>IF(PA[[#This Row],[String Type(If String BD)]]="",1,0)</f>
        <v>1</v>
      </c>
      <c r="T31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7" s="35" t="str">
        <f>IFERROR(_xlfn.XLOOKUP(PA[[#This Row],[Affected Equipment ]],'Basic Data'!N:N,'Basic Data'!Q:Q),"")</f>
        <v/>
      </c>
      <c r="V317" s="207" t="str">
        <f>IFERROR(_xlfn.XLOOKUP(PA[[#This Row],[Affected Equipment ]],'Basic Data'!N:N,'Basic Data'!R:R),"")</f>
        <v/>
      </c>
      <c r="W317" s="36"/>
      <c r="X317" s="40"/>
      <c r="Y317" s="41"/>
      <c r="Z317" s="46"/>
      <c r="AA317" s="46"/>
      <c r="AB317" s="46"/>
      <c r="AC317" s="46"/>
      <c r="AD317" s="44">
        <f>IF(PA[[#This Row],[Acknowledgement Time ]]="NA","",(PA[[#This Row],[Acknowledgement Time ]]-PA[[#This Row],[Fault Time]])*24)</f>
        <v>0</v>
      </c>
      <c r="AE317" s="44">
        <f>IF(PA[[#This Row],[Work Start time on Fault]]="NA","",(PA[[#This Row],[Work Start time on Fault]]-PA[[#This Row],[Fault Time]])*24)</f>
        <v>0</v>
      </c>
      <c r="AF317" s="45">
        <f>IF(PA[[#This Row],[Status]]="Open","",(PA[[#This Row],[Work Completion time on fault]]-PA[[#This Row],[Fault Time]])*24)</f>
        <v>0</v>
      </c>
      <c r="AG317" s="44">
        <f>IFERROR((PA[[#This Row],[Work Completion time on fault]]-PA[[#This Row],[Fault Time]])*24,"")</f>
        <v>0</v>
      </c>
      <c r="AH317" s="36"/>
      <c r="AI317" s="33"/>
      <c r="AJ317" s="35" t="str">
        <f>IFERROR(PA[[#This Row],[Breakdown Time]]*PA[[#This Row],[Plant Equivalent Weightage]],"")</f>
        <v/>
      </c>
      <c r="AK317" s="36"/>
      <c r="AL317" s="51" t="str">
        <f>IFERROR((_xlfn.XLOOKUP($G317,'Modelling New'!D:D,'Modelling New'!$O:$O)*PA[[#This Row],[Lost PoA(kWh/m2)]]*PA[[#This Row],[DC Capacity Affected (kW)]]),"")</f>
        <v/>
      </c>
      <c r="AM317" s="33"/>
      <c r="AN317" s="33"/>
      <c r="AO317" s="33"/>
      <c r="AP317" s="33"/>
    </row>
    <row r="318" spans="1:42">
      <c r="A318" s="30">
        <f t="shared" si="2"/>
        <v>317</v>
      </c>
      <c r="B318" s="165"/>
      <c r="C318" s="211">
        <f>YEAR(PA[[#This Row],[Date]])+IF(MONTH(PA[[#This Row],[Date]])&gt;=4,1,0)</f>
        <v>1900</v>
      </c>
      <c r="D318" s="211">
        <f>YEAR(PA[[#This Row],[Date]])</f>
        <v>1900</v>
      </c>
      <c r="E318" s="37" t="s">
        <v>157</v>
      </c>
      <c r="F318" s="37" t="s">
        <v>157</v>
      </c>
      <c r="G318" s="214">
        <f>PA[[#This Row],[Date]]-DAY(PA[[#This Row],[Date]])+1</f>
        <v>1</v>
      </c>
      <c r="H318" s="202">
        <f>DAY(EOMONTH(PA[[#This Row],[Month Year]],0))</f>
        <v>31</v>
      </c>
      <c r="I318" s="34"/>
      <c r="J318" s="34"/>
      <c r="K318" s="35">
        <f>IFERROR((PA[[#This Row],[Sunset Time (POA&lt;20 W/m2)]]-PA[[#This Row],[Sunrise Time (POA&gt;20 W/m2)]])*24,"")</f>
        <v>0</v>
      </c>
      <c r="L318" s="37"/>
      <c r="M318" s="37"/>
      <c r="N318" s="37"/>
      <c r="O318" s="38"/>
      <c r="P318" s="38"/>
      <c r="Q318" s="37"/>
      <c r="R318" s="202">
        <f>IF((PA[[#This Row],[String Type(If String BD)]]&amp;PA[[#This Row],[Equipment (If any BD other than PV  array and inv)]])="",1,0)</f>
        <v>1</v>
      </c>
      <c r="S318" s="202">
        <f>IF(PA[[#This Row],[String Type(If String BD)]]="",1,0)</f>
        <v>1</v>
      </c>
      <c r="T31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8" s="204" t="str">
        <f>IFERROR(_xlfn.XLOOKUP(PA[[#This Row],[Affected Equipment ]],'Basic Data'!N:N,'Basic Data'!Q:Q),"")</f>
        <v/>
      </c>
      <c r="V318" s="208" t="str">
        <f>IFERROR(_xlfn.XLOOKUP(PA[[#This Row],[Affected Equipment ]],'Basic Data'!N:N,'Basic Data'!R:R),"")</f>
        <v/>
      </c>
      <c r="W318" s="38"/>
      <c r="X318" s="41"/>
      <c r="Y318" s="41"/>
      <c r="Z318" s="47"/>
      <c r="AA318" s="47"/>
      <c r="AB318" s="47"/>
      <c r="AC318" s="47"/>
      <c r="AD318" s="205">
        <f>IF(PA[[#This Row],[Acknowledgement Time ]]="NA","",(PA[[#This Row],[Acknowledgement Time ]]-PA[[#This Row],[Fault Time]])*24)</f>
        <v>0</v>
      </c>
      <c r="AE318" s="205">
        <f>IF(PA[[#This Row],[Work Start time on Fault]]="NA","",(PA[[#This Row],[Work Start time on Fault]]-PA[[#This Row],[Fault Time]])*24)</f>
        <v>0</v>
      </c>
      <c r="AF318" s="206">
        <f>IF(PA[[#This Row],[Status]]="Open","",(PA[[#This Row],[Work Completion time on fault]]-PA[[#This Row],[Fault Time]])*24)</f>
        <v>0</v>
      </c>
      <c r="AG318" s="205">
        <f>IFERROR((PA[[#This Row],[Work Completion time on fault]]-PA[[#This Row],[Fault Time]])*24,"")</f>
        <v>0</v>
      </c>
      <c r="AH318" s="36"/>
      <c r="AI318" s="33"/>
      <c r="AJ318" s="204" t="str">
        <f>IFERROR(PA[[#This Row],[Breakdown Time]]*PA[[#This Row],[Plant Equivalent Weightage]],"")</f>
        <v/>
      </c>
      <c r="AK318" s="38"/>
      <c r="AL318" s="51" t="str">
        <f>IFERROR((_xlfn.XLOOKUP($G318,'Modelling New'!D:D,'Modelling New'!$O:$O)*PA[[#This Row],[Lost PoA(kWh/m2)]]*PA[[#This Row],[DC Capacity Affected (kW)]]),"")</f>
        <v/>
      </c>
      <c r="AM318" s="33"/>
      <c r="AN318" s="33"/>
      <c r="AO318" s="33"/>
      <c r="AP318" s="33"/>
    </row>
    <row r="319" spans="1:42">
      <c r="A319" s="30">
        <f t="shared" si="2"/>
        <v>318</v>
      </c>
      <c r="B319" s="165"/>
      <c r="C319" s="212">
        <f>YEAR(PA[[#This Row],[Date]])+IF(MONTH(PA[[#This Row],[Date]])&gt;=4,1,0)</f>
        <v>1900</v>
      </c>
      <c r="D319" s="212">
        <f>YEAR(PA[[#This Row],[Date]])</f>
        <v>1900</v>
      </c>
      <c r="E319" s="37" t="s">
        <v>157</v>
      </c>
      <c r="F319" s="37" t="s">
        <v>157</v>
      </c>
      <c r="G319" s="214">
        <f>PA[[#This Row],[Date]]-DAY(PA[[#This Row],[Date]])+1</f>
        <v>1</v>
      </c>
      <c r="H319" s="32">
        <f>DAY(EOMONTH(PA[[#This Row],[Month Year]],0))</f>
        <v>31</v>
      </c>
      <c r="I319" s="34"/>
      <c r="J319" s="34"/>
      <c r="K319" s="35">
        <f>IFERROR((PA[[#This Row],[Sunset Time (POA&lt;20 W/m2)]]-PA[[#This Row],[Sunrise Time (POA&gt;20 W/m2)]])*24,"")</f>
        <v>0</v>
      </c>
      <c r="L319" s="33"/>
      <c r="M319" s="37"/>
      <c r="N319" s="37"/>
      <c r="O319" s="36"/>
      <c r="P319" s="36"/>
      <c r="Q319" s="33"/>
      <c r="R319" s="32">
        <f>IF((PA[[#This Row],[String Type(If String BD)]]&amp;PA[[#This Row],[Equipment (If any BD other than PV  array and inv)]])="",1,0)</f>
        <v>1</v>
      </c>
      <c r="S319" s="32">
        <f>IF(PA[[#This Row],[String Type(If String BD)]]="",1,0)</f>
        <v>1</v>
      </c>
      <c r="T31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19" s="35" t="str">
        <f>IFERROR(_xlfn.XLOOKUP(PA[[#This Row],[Affected Equipment ]],'Basic Data'!N:N,'Basic Data'!Q:Q),"")</f>
        <v/>
      </c>
      <c r="V319" s="207" t="str">
        <f>IFERROR(_xlfn.XLOOKUP(PA[[#This Row],[Affected Equipment ]],'Basic Data'!N:N,'Basic Data'!R:R),"")</f>
        <v/>
      </c>
      <c r="W319" s="36"/>
      <c r="X319" s="40"/>
      <c r="Y319" s="40"/>
      <c r="Z319" s="46"/>
      <c r="AA319" s="46"/>
      <c r="AB319" s="46"/>
      <c r="AC319" s="46"/>
      <c r="AD319" s="44">
        <f>IF(PA[[#This Row],[Acknowledgement Time ]]="NA","",(PA[[#This Row],[Acknowledgement Time ]]-PA[[#This Row],[Fault Time]])*24)</f>
        <v>0</v>
      </c>
      <c r="AE319" s="44">
        <f>IF(PA[[#This Row],[Work Start time on Fault]]="NA","",(PA[[#This Row],[Work Start time on Fault]]-PA[[#This Row],[Fault Time]])*24)</f>
        <v>0</v>
      </c>
      <c r="AF319" s="45">
        <f>IF(PA[[#This Row],[Status]]="Open","",(PA[[#This Row],[Work Completion time on fault]]-PA[[#This Row],[Fault Time]])*24)</f>
        <v>0</v>
      </c>
      <c r="AG319" s="44">
        <f>IFERROR((PA[[#This Row],[Work Completion time on fault]]-PA[[#This Row],[Fault Time]])*24,"")</f>
        <v>0</v>
      </c>
      <c r="AH319" s="282"/>
      <c r="AI319" s="33"/>
      <c r="AJ319" s="35" t="str">
        <f>IFERROR(PA[[#This Row],[Breakdown Time]]*PA[[#This Row],[Plant Equivalent Weightage]],"")</f>
        <v/>
      </c>
      <c r="AK319" s="36"/>
      <c r="AL319" s="51" t="str">
        <f>IFERROR((_xlfn.XLOOKUP($G319,'Modelling New'!D:D,'Modelling New'!$O:$O)*PA[[#This Row],[Lost PoA(kWh/m2)]]*PA[[#This Row],[DC Capacity Affected (kW)]]),"")</f>
        <v/>
      </c>
      <c r="AM319" s="33"/>
      <c r="AN319" s="33"/>
      <c r="AO319" s="33"/>
      <c r="AP319" s="33"/>
    </row>
    <row r="320" spans="1:42">
      <c r="A320" s="30">
        <f t="shared" si="2"/>
        <v>319</v>
      </c>
      <c r="B320" s="165"/>
      <c r="C320" s="212">
        <f>YEAR(PA[[#This Row],[Date]])+IF(MONTH(PA[[#This Row],[Date]])&gt;=4,1,0)</f>
        <v>1900</v>
      </c>
      <c r="D320" s="212">
        <f>YEAR(PA[[#This Row],[Date]])</f>
        <v>1900</v>
      </c>
      <c r="E320" s="37" t="s">
        <v>157</v>
      </c>
      <c r="F320" s="37" t="s">
        <v>157</v>
      </c>
      <c r="G320" s="214">
        <f>PA[[#This Row],[Date]]-DAY(PA[[#This Row],[Date]])+1</f>
        <v>1</v>
      </c>
      <c r="H320" s="32">
        <f>DAY(EOMONTH(PA[[#This Row],[Month Year]],0))</f>
        <v>31</v>
      </c>
      <c r="I320" s="34"/>
      <c r="J320" s="34"/>
      <c r="K320" s="35">
        <f>IFERROR((PA[[#This Row],[Sunset Time (POA&lt;20 W/m2)]]-PA[[#This Row],[Sunrise Time (POA&gt;20 W/m2)]])*24,"")</f>
        <v>0</v>
      </c>
      <c r="L320" s="37"/>
      <c r="M320" s="37"/>
      <c r="N320" s="33"/>
      <c r="O320" s="36"/>
      <c r="P320" s="36"/>
      <c r="Q320" s="33"/>
      <c r="R320" s="32">
        <f>IF((PA[[#This Row],[String Type(If String BD)]]&amp;PA[[#This Row],[Equipment (If any BD other than PV  array and inv)]])="",1,0)</f>
        <v>1</v>
      </c>
      <c r="S320" s="32">
        <f>IF(PA[[#This Row],[String Type(If String BD)]]="",1,0)</f>
        <v>1</v>
      </c>
      <c r="T32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0" s="35" t="str">
        <f>IFERROR(_xlfn.XLOOKUP(PA[[#This Row],[Affected Equipment ]],'Basic Data'!N:N,'Basic Data'!Q:Q),"")</f>
        <v/>
      </c>
      <c r="V320" s="207" t="str">
        <f>IFERROR(_xlfn.XLOOKUP(PA[[#This Row],[Affected Equipment ]],'Basic Data'!N:N,'Basic Data'!R:R),"")</f>
        <v/>
      </c>
      <c r="W320" s="36"/>
      <c r="X320" s="40"/>
      <c r="Y320" s="286"/>
      <c r="Z320" s="46"/>
      <c r="AA320" s="46"/>
      <c r="AB320" s="46"/>
      <c r="AC320" s="46"/>
      <c r="AD320" s="44">
        <f>IF(PA[[#This Row],[Acknowledgement Time ]]="NA","",(PA[[#This Row],[Acknowledgement Time ]]-PA[[#This Row],[Fault Time]])*24)</f>
        <v>0</v>
      </c>
      <c r="AE320" s="44">
        <f>IF(PA[[#This Row],[Work Start time on Fault]]="NA","",(PA[[#This Row],[Work Start time on Fault]]-PA[[#This Row],[Fault Time]])*24)</f>
        <v>0</v>
      </c>
      <c r="AF320" s="45">
        <f>IF(PA[[#This Row],[Status]]="Open","",(PA[[#This Row],[Work Completion time on fault]]-PA[[#This Row],[Fault Time]])*24)</f>
        <v>0</v>
      </c>
      <c r="AG320" s="44">
        <f>IFERROR((PA[[#This Row],[Work Completion time on fault]]-PA[[#This Row],[Fault Time]])*24,"")</f>
        <v>0</v>
      </c>
      <c r="AH320" s="36"/>
      <c r="AI320" s="33"/>
      <c r="AJ320" s="35" t="str">
        <f>IFERROR(PA[[#This Row],[Breakdown Time]]*PA[[#This Row],[Plant Equivalent Weightage]],"")</f>
        <v/>
      </c>
      <c r="AK320" s="36"/>
      <c r="AL320" s="51" t="str">
        <f>IFERROR((_xlfn.XLOOKUP($G320,'Modelling New'!D:D,'Modelling New'!$O:$O)*PA[[#This Row],[Lost PoA(kWh/m2)]]*PA[[#This Row],[DC Capacity Affected (kW)]]),"")</f>
        <v/>
      </c>
      <c r="AM320" s="33"/>
      <c r="AN320" s="33"/>
      <c r="AO320" s="33"/>
      <c r="AP320" s="33"/>
    </row>
    <row r="321" spans="1:42">
      <c r="A321" s="30">
        <f t="shared" si="2"/>
        <v>320</v>
      </c>
      <c r="B321" s="31"/>
      <c r="C321" s="212">
        <f>YEAR(PA[[#This Row],[Date]])+IF(MONTH(PA[[#This Row],[Date]])&gt;=4,1,0)</f>
        <v>1900</v>
      </c>
      <c r="D321" s="212">
        <f>YEAR(PA[[#This Row],[Date]])</f>
        <v>1900</v>
      </c>
      <c r="E321" s="37" t="s">
        <v>157</v>
      </c>
      <c r="F321" s="37" t="s">
        <v>157</v>
      </c>
      <c r="G321" s="214">
        <f>PA[[#This Row],[Date]]-DAY(PA[[#This Row],[Date]])+1</f>
        <v>1</v>
      </c>
      <c r="H321" s="32">
        <f>DAY(EOMONTH(PA[[#This Row],[Month Year]],0))</f>
        <v>31</v>
      </c>
      <c r="I321" s="34"/>
      <c r="J321" s="34"/>
      <c r="K321" s="35">
        <f>IFERROR((PA[[#This Row],[Sunset Time (POA&lt;20 W/m2)]]-PA[[#This Row],[Sunrise Time (POA&gt;20 W/m2)]])*24,"")</f>
        <v>0</v>
      </c>
      <c r="L321" s="37"/>
      <c r="M321" s="37"/>
      <c r="N321" s="33"/>
      <c r="O321" s="36"/>
      <c r="P321" s="36"/>
      <c r="Q321" s="33"/>
      <c r="R321" s="32">
        <f>IF((PA[[#This Row],[String Type(If String BD)]]&amp;PA[[#This Row],[Equipment (If any BD other than PV  array and inv)]])="",1,0)</f>
        <v>1</v>
      </c>
      <c r="S321" s="32">
        <f>IF(PA[[#This Row],[String Type(If String BD)]]="",1,0)</f>
        <v>1</v>
      </c>
      <c r="T3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1" s="35" t="str">
        <f>IFERROR(_xlfn.XLOOKUP(PA[[#This Row],[Affected Equipment ]],'Basic Data'!N:N,'Basic Data'!Q:Q),"")</f>
        <v/>
      </c>
      <c r="V321" s="207" t="str">
        <f>IFERROR(_xlfn.XLOOKUP(PA[[#This Row],[Affected Equipment ]],'Basic Data'!N:N,'Basic Data'!R:R),"")</f>
        <v/>
      </c>
      <c r="W321" s="36"/>
      <c r="X321" s="40"/>
      <c r="Y321" s="286"/>
      <c r="Z321" s="43"/>
      <c r="AA321" s="43"/>
      <c r="AB321" s="43"/>
      <c r="AC321" s="46"/>
      <c r="AD321" s="44">
        <f>IF(PA[[#This Row],[Acknowledgement Time ]]="NA","",(PA[[#This Row],[Acknowledgement Time ]]-PA[[#This Row],[Fault Time]])*24)</f>
        <v>0</v>
      </c>
      <c r="AE321" s="44">
        <f>IF(PA[[#This Row],[Work Start time on Fault]]="NA","",(PA[[#This Row],[Work Start time on Fault]]-PA[[#This Row],[Fault Time]])*24)</f>
        <v>0</v>
      </c>
      <c r="AF321" s="45">
        <f>IF(PA[[#This Row],[Status]]="Open","",(PA[[#This Row],[Work Completion time on fault]]-PA[[#This Row],[Fault Time]])*24)</f>
        <v>0</v>
      </c>
      <c r="AG321" s="44">
        <f>IFERROR((PA[[#This Row],[Work Completion time on fault]]-PA[[#This Row],[Fault Time]])*24,"")</f>
        <v>0</v>
      </c>
      <c r="AH321" s="36"/>
      <c r="AI321" s="33"/>
      <c r="AJ321" s="35" t="str">
        <f>IFERROR(PA[[#This Row],[Breakdown Time]]*PA[[#This Row],[Plant Equivalent Weightage]],"")</f>
        <v/>
      </c>
      <c r="AK321" s="36"/>
      <c r="AL321" s="51" t="str">
        <f>IFERROR((_xlfn.XLOOKUP($G321,'Modelling New'!D:D,'Modelling New'!$O:$O)*PA[[#This Row],[Lost PoA(kWh/m2)]]*PA[[#This Row],[DC Capacity Affected (kW)]]),"")</f>
        <v/>
      </c>
      <c r="AM321" s="33"/>
      <c r="AN321" s="33"/>
      <c r="AO321" s="33"/>
      <c r="AP321" s="33"/>
    </row>
    <row r="322" spans="1:42">
      <c r="A322" s="30">
        <f t="shared" si="2"/>
        <v>321</v>
      </c>
      <c r="B322" s="31"/>
      <c r="C322" s="212">
        <f>YEAR(PA[[#This Row],[Date]])+IF(MONTH(PA[[#This Row],[Date]])&gt;=4,1,0)</f>
        <v>1900</v>
      </c>
      <c r="D322" s="212">
        <f>YEAR(PA[[#This Row],[Date]])</f>
        <v>1900</v>
      </c>
      <c r="E322" s="37" t="s">
        <v>157</v>
      </c>
      <c r="F322" s="37" t="s">
        <v>157</v>
      </c>
      <c r="G322" s="214">
        <f>PA[[#This Row],[Date]]-DAY(PA[[#This Row],[Date]])+1</f>
        <v>1</v>
      </c>
      <c r="H322" s="32">
        <f>DAY(EOMONTH(PA[[#This Row],[Month Year]],0))</f>
        <v>31</v>
      </c>
      <c r="I322" s="34"/>
      <c r="J322" s="34"/>
      <c r="K322" s="35">
        <f>IFERROR((PA[[#This Row],[Sunset Time (POA&lt;20 W/m2)]]-PA[[#This Row],[Sunrise Time (POA&gt;20 W/m2)]])*24,"")</f>
        <v>0</v>
      </c>
      <c r="L322" s="33"/>
      <c r="M322" s="33"/>
      <c r="N322" s="33"/>
      <c r="O322" s="36"/>
      <c r="P322" s="36"/>
      <c r="Q322" s="33"/>
      <c r="R322" s="32">
        <f>IF((PA[[#This Row],[String Type(If String BD)]]&amp;PA[[#This Row],[Equipment (If any BD other than PV  array and inv)]])="",1,0)</f>
        <v>1</v>
      </c>
      <c r="S322" s="32">
        <f>IF(PA[[#This Row],[String Type(If String BD)]]="",1,0)</f>
        <v>1</v>
      </c>
      <c r="T3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2" s="35" t="str">
        <f>IFERROR(_xlfn.XLOOKUP(PA[[#This Row],[Affected Equipment ]],'Basic Data'!N:N,'Basic Data'!Q:Q),"")</f>
        <v/>
      </c>
      <c r="V322" s="207" t="str">
        <f>IFERROR(_xlfn.XLOOKUP(PA[[#This Row],[Affected Equipment ]],'Basic Data'!N:N,'Basic Data'!R:R),"")</f>
        <v/>
      </c>
      <c r="W322" s="36"/>
      <c r="X322" s="40"/>
      <c r="Y322" s="41"/>
      <c r="Z322" s="46"/>
      <c r="AA322" s="46"/>
      <c r="AB322" s="46"/>
      <c r="AC322" s="46"/>
      <c r="AD322" s="44">
        <f>IF(PA[[#This Row],[Acknowledgement Time ]]="NA","",(PA[[#This Row],[Acknowledgement Time ]]-PA[[#This Row],[Fault Time]])*24)</f>
        <v>0</v>
      </c>
      <c r="AE322" s="44">
        <f>IF(PA[[#This Row],[Work Start time on Fault]]="NA","",(PA[[#This Row],[Work Start time on Fault]]-PA[[#This Row],[Fault Time]])*24)</f>
        <v>0</v>
      </c>
      <c r="AF322" s="45">
        <f>IF(PA[[#This Row],[Status]]="Open","",(PA[[#This Row],[Work Completion time on fault]]-PA[[#This Row],[Fault Time]])*24)</f>
        <v>0</v>
      </c>
      <c r="AG322" s="44">
        <f>IFERROR((PA[[#This Row],[Work Completion time on fault]]-PA[[#This Row],[Fault Time]])*24,"")</f>
        <v>0</v>
      </c>
      <c r="AH322" s="36"/>
      <c r="AI322" s="33"/>
      <c r="AJ322" s="35" t="str">
        <f>IFERROR(PA[[#This Row],[Breakdown Time]]*PA[[#This Row],[Plant Equivalent Weightage]],"")</f>
        <v/>
      </c>
      <c r="AK322" s="36"/>
      <c r="AL322" s="51" t="str">
        <f>IFERROR((_xlfn.XLOOKUP($G322,'Modelling New'!D:D,'Modelling New'!$O:$O)*PA[[#This Row],[Lost PoA(kWh/m2)]]*PA[[#This Row],[DC Capacity Affected (kW)]]),"")</f>
        <v/>
      </c>
      <c r="AM322" s="33"/>
      <c r="AN322" s="33"/>
      <c r="AO322" s="33"/>
      <c r="AP322" s="33"/>
    </row>
    <row r="323" spans="1:42">
      <c r="A323" s="30">
        <f t="shared" si="2"/>
        <v>322</v>
      </c>
      <c r="B323" s="31"/>
      <c r="C323" s="212">
        <f>YEAR(PA[[#This Row],[Date]])+IF(MONTH(PA[[#This Row],[Date]])&gt;=4,1,0)</f>
        <v>1900</v>
      </c>
      <c r="D323" s="212">
        <f>YEAR(PA[[#This Row],[Date]])</f>
        <v>1900</v>
      </c>
      <c r="E323" s="37" t="s">
        <v>157</v>
      </c>
      <c r="F323" s="37" t="s">
        <v>157</v>
      </c>
      <c r="G323" s="214">
        <f>PA[[#This Row],[Date]]-DAY(PA[[#This Row],[Date]])+1</f>
        <v>1</v>
      </c>
      <c r="H323" s="32">
        <f>DAY(EOMONTH(PA[[#This Row],[Month Year]],0))</f>
        <v>31</v>
      </c>
      <c r="I323" s="34"/>
      <c r="J323" s="34"/>
      <c r="K323" s="35">
        <f>IFERROR((PA[[#This Row],[Sunset Time (POA&lt;20 W/m2)]]-PA[[#This Row],[Sunrise Time (POA&gt;20 W/m2)]])*24,"")</f>
        <v>0</v>
      </c>
      <c r="L323" s="33"/>
      <c r="M323" s="33"/>
      <c r="N323" s="33"/>
      <c r="O323" s="36"/>
      <c r="P323" s="36"/>
      <c r="Q323" s="33"/>
      <c r="R323" s="32">
        <f>IF((PA[[#This Row],[String Type(If String BD)]]&amp;PA[[#This Row],[Equipment (If any BD other than PV  array and inv)]])="",1,0)</f>
        <v>1</v>
      </c>
      <c r="S323" s="32">
        <f>IF(PA[[#This Row],[String Type(If String BD)]]="",1,0)</f>
        <v>1</v>
      </c>
      <c r="T3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3" s="35" t="str">
        <f>IFERROR(_xlfn.XLOOKUP(PA[[#This Row],[Affected Equipment ]],'Basic Data'!N:N,'Basic Data'!Q:Q),"")</f>
        <v/>
      </c>
      <c r="V323" s="207" t="str">
        <f>IFERROR(_xlfn.XLOOKUP(PA[[#This Row],[Affected Equipment ]],'Basic Data'!N:N,'Basic Data'!R:R),"")</f>
        <v/>
      </c>
      <c r="W323" s="36"/>
      <c r="X323" s="40"/>
      <c r="Y323" s="41"/>
      <c r="Z323" s="46"/>
      <c r="AA323" s="46"/>
      <c r="AB323" s="46"/>
      <c r="AC323" s="46"/>
      <c r="AD323" s="44">
        <f>IF(PA[[#This Row],[Acknowledgement Time ]]="NA","",(PA[[#This Row],[Acknowledgement Time ]]-PA[[#This Row],[Fault Time]])*24)</f>
        <v>0</v>
      </c>
      <c r="AE323" s="44">
        <f>IF(PA[[#This Row],[Work Start time on Fault]]="NA","",(PA[[#This Row],[Work Start time on Fault]]-PA[[#This Row],[Fault Time]])*24)</f>
        <v>0</v>
      </c>
      <c r="AF323" s="45">
        <f>IF(PA[[#This Row],[Status]]="Open","",(PA[[#This Row],[Work Completion time on fault]]-PA[[#This Row],[Fault Time]])*24)</f>
        <v>0</v>
      </c>
      <c r="AG323" s="44">
        <f>IFERROR((PA[[#This Row],[Work Completion time on fault]]-PA[[#This Row],[Fault Time]])*24,"")</f>
        <v>0</v>
      </c>
      <c r="AH323" s="36"/>
      <c r="AI323" s="33"/>
      <c r="AJ323" s="35" t="str">
        <f>IFERROR(PA[[#This Row],[Breakdown Time]]*PA[[#This Row],[Plant Equivalent Weightage]],"")</f>
        <v/>
      </c>
      <c r="AK323" s="36"/>
      <c r="AL323" s="51" t="str">
        <f>IFERROR((_xlfn.XLOOKUP($G323,'Modelling New'!D:D,'Modelling New'!$O:$O)*PA[[#This Row],[Lost PoA(kWh/m2)]]*PA[[#This Row],[DC Capacity Affected (kW)]]),"")</f>
        <v/>
      </c>
      <c r="AM323" s="33"/>
      <c r="AN323" s="33"/>
      <c r="AO323" s="33"/>
      <c r="AP323" s="33"/>
    </row>
    <row r="324" spans="1:42">
      <c r="A324" s="30">
        <f t="shared" si="2"/>
        <v>323</v>
      </c>
      <c r="B324" s="31"/>
      <c r="C324" s="212">
        <f>YEAR(PA[[#This Row],[Date]])+IF(MONTH(PA[[#This Row],[Date]])&gt;=4,1,0)</f>
        <v>1900</v>
      </c>
      <c r="D324" s="212">
        <f>YEAR(PA[[#This Row],[Date]])</f>
        <v>1900</v>
      </c>
      <c r="E324" s="37" t="s">
        <v>157</v>
      </c>
      <c r="F324" s="37" t="s">
        <v>157</v>
      </c>
      <c r="G324" s="214">
        <f>PA[[#This Row],[Date]]-DAY(PA[[#This Row],[Date]])+1</f>
        <v>1</v>
      </c>
      <c r="H324" s="32">
        <f>DAY(EOMONTH(PA[[#This Row],[Month Year]],0))</f>
        <v>31</v>
      </c>
      <c r="I324" s="34"/>
      <c r="J324" s="34"/>
      <c r="K324" s="35">
        <f>IFERROR((PA[[#This Row],[Sunset Time (POA&lt;20 W/m2)]]-PA[[#This Row],[Sunrise Time (POA&gt;20 W/m2)]])*24,"")</f>
        <v>0</v>
      </c>
      <c r="L324" s="33"/>
      <c r="M324" s="37"/>
      <c r="N324" s="33"/>
      <c r="O324" s="36"/>
      <c r="P324" s="36"/>
      <c r="Q324" s="33"/>
      <c r="R324" s="32">
        <f>IF((PA[[#This Row],[String Type(If String BD)]]&amp;PA[[#This Row],[Equipment (If any BD other than PV  array and inv)]])="",1,0)</f>
        <v>1</v>
      </c>
      <c r="S324" s="32">
        <f>IF(PA[[#This Row],[String Type(If String BD)]]="",1,0)</f>
        <v>1</v>
      </c>
      <c r="T32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4" s="35" t="str">
        <f>IFERROR(_xlfn.XLOOKUP(PA[[#This Row],[Affected Equipment ]],'Basic Data'!N:N,'Basic Data'!Q:Q),"")</f>
        <v/>
      </c>
      <c r="V324" s="207" t="str">
        <f>IFERROR(_xlfn.XLOOKUP(PA[[#This Row],[Affected Equipment ]],'Basic Data'!N:N,'Basic Data'!R:R),"")</f>
        <v/>
      </c>
      <c r="W324" s="36"/>
      <c r="X324" s="40"/>
      <c r="Y324" s="41"/>
      <c r="Z324" s="46"/>
      <c r="AA324" s="46"/>
      <c r="AB324" s="46"/>
      <c r="AC324" s="46"/>
      <c r="AD324" s="44">
        <f>IF(PA[[#This Row],[Acknowledgement Time ]]="NA","",(PA[[#This Row],[Acknowledgement Time ]]-PA[[#This Row],[Fault Time]])*24)</f>
        <v>0</v>
      </c>
      <c r="AE324" s="44">
        <f>IF(PA[[#This Row],[Work Start time on Fault]]="NA","",(PA[[#This Row],[Work Start time on Fault]]-PA[[#This Row],[Fault Time]])*24)</f>
        <v>0</v>
      </c>
      <c r="AF324" s="45">
        <f>IF(PA[[#This Row],[Status]]="Open","",(PA[[#This Row],[Work Completion time on fault]]-PA[[#This Row],[Fault Time]])*24)</f>
        <v>0</v>
      </c>
      <c r="AG324" s="44">
        <f>IFERROR((PA[[#This Row],[Work Completion time on fault]]-PA[[#This Row],[Fault Time]])*24,"")</f>
        <v>0</v>
      </c>
      <c r="AH324" s="36"/>
      <c r="AI324" s="33"/>
      <c r="AJ324" s="35" t="str">
        <f>IFERROR(PA[[#This Row],[Breakdown Time]]*PA[[#This Row],[Plant Equivalent Weightage]],"")</f>
        <v/>
      </c>
      <c r="AK324" s="36"/>
      <c r="AL324" s="51" t="str">
        <f>IFERROR((_xlfn.XLOOKUP($G324,'Modelling New'!D:D,'Modelling New'!$O:$O)*PA[[#This Row],[Lost PoA(kWh/m2)]]*PA[[#This Row],[DC Capacity Affected (kW)]]),"")</f>
        <v/>
      </c>
      <c r="AM324" s="33"/>
      <c r="AN324" s="33"/>
      <c r="AO324" s="33"/>
      <c r="AP324" s="33"/>
    </row>
    <row r="325" spans="1:42">
      <c r="A325" s="30">
        <f t="shared" si="2"/>
        <v>324</v>
      </c>
      <c r="B325" s="31"/>
      <c r="C325" s="212">
        <f>YEAR(PA[[#This Row],[Date]])+IF(MONTH(PA[[#This Row],[Date]])&gt;=4,1,0)</f>
        <v>1900</v>
      </c>
      <c r="D325" s="212">
        <f>YEAR(PA[[#This Row],[Date]])</f>
        <v>1900</v>
      </c>
      <c r="E325" s="37" t="s">
        <v>157</v>
      </c>
      <c r="F325" s="37" t="s">
        <v>157</v>
      </c>
      <c r="G325" s="214">
        <f>PA[[#This Row],[Date]]-DAY(PA[[#This Row],[Date]])+1</f>
        <v>1</v>
      </c>
      <c r="H325" s="32">
        <f>DAY(EOMONTH(PA[[#This Row],[Month Year]],0))</f>
        <v>31</v>
      </c>
      <c r="I325" s="34"/>
      <c r="J325" s="34"/>
      <c r="K325" s="35">
        <f>IFERROR((PA[[#This Row],[Sunset Time (POA&lt;20 W/m2)]]-PA[[#This Row],[Sunrise Time (POA&gt;20 W/m2)]])*24,"")</f>
        <v>0</v>
      </c>
      <c r="L325" s="33"/>
      <c r="M325" s="33"/>
      <c r="N325" s="33"/>
      <c r="O325" s="36"/>
      <c r="P325" s="36"/>
      <c r="Q325" s="33"/>
      <c r="R325" s="32">
        <f>IF((PA[[#This Row],[String Type(If String BD)]]&amp;PA[[#This Row],[Equipment (If any BD other than PV  array and inv)]])="",1,0)</f>
        <v>1</v>
      </c>
      <c r="S325" s="32">
        <f>IF(PA[[#This Row],[String Type(If String BD)]]="",1,0)</f>
        <v>1</v>
      </c>
      <c r="T3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5" s="35" t="str">
        <f>IFERROR(_xlfn.XLOOKUP(PA[[#This Row],[Affected Equipment ]],'Basic Data'!N:N,'Basic Data'!Q:Q),"")</f>
        <v/>
      </c>
      <c r="V325" s="207" t="str">
        <f>IFERROR(_xlfn.XLOOKUP(PA[[#This Row],[Affected Equipment ]],'Basic Data'!N:N,'Basic Data'!R:R),"")</f>
        <v/>
      </c>
      <c r="W325" s="36"/>
      <c r="X325" s="40"/>
      <c r="Y325" s="41"/>
      <c r="Z325" s="46"/>
      <c r="AA325" s="46"/>
      <c r="AB325" s="46"/>
      <c r="AC325" s="46"/>
      <c r="AD325" s="44">
        <f>IF(PA[[#This Row],[Acknowledgement Time ]]="NA","",(PA[[#This Row],[Acknowledgement Time ]]-PA[[#This Row],[Fault Time]])*24)</f>
        <v>0</v>
      </c>
      <c r="AE325" s="44">
        <f>IF(PA[[#This Row],[Work Start time on Fault]]="NA","",(PA[[#This Row],[Work Start time on Fault]]-PA[[#This Row],[Fault Time]])*24)</f>
        <v>0</v>
      </c>
      <c r="AF325" s="45">
        <f>IF(PA[[#This Row],[Status]]="Open","",(PA[[#This Row],[Work Completion time on fault]]-PA[[#This Row],[Fault Time]])*24)</f>
        <v>0</v>
      </c>
      <c r="AG325" s="44">
        <f>IFERROR((PA[[#This Row],[Work Completion time on fault]]-PA[[#This Row],[Fault Time]])*24,"")</f>
        <v>0</v>
      </c>
      <c r="AH325" s="36"/>
      <c r="AI325" s="33"/>
      <c r="AJ325" s="35" t="str">
        <f>IFERROR(PA[[#This Row],[Breakdown Time]]*PA[[#This Row],[Plant Equivalent Weightage]],"")</f>
        <v/>
      </c>
      <c r="AK325" s="36"/>
      <c r="AL325" s="51" t="str">
        <f>IFERROR((_xlfn.XLOOKUP($G325,'Modelling New'!D:D,'Modelling New'!$O:$O)*PA[[#This Row],[Lost PoA(kWh/m2)]]*PA[[#This Row],[DC Capacity Affected (kW)]]),"")</f>
        <v/>
      </c>
      <c r="AM325" s="33"/>
      <c r="AN325" s="33"/>
      <c r="AO325" s="33"/>
      <c r="AP325" s="33"/>
    </row>
    <row r="326" spans="1:42">
      <c r="A326" s="30">
        <f t="shared" si="2"/>
        <v>325</v>
      </c>
      <c r="B326" s="31"/>
      <c r="C326" s="212">
        <f>YEAR(PA[[#This Row],[Date]])+IF(MONTH(PA[[#This Row],[Date]])&gt;=4,1,0)</f>
        <v>1900</v>
      </c>
      <c r="D326" s="212">
        <f>YEAR(PA[[#This Row],[Date]])</f>
        <v>1900</v>
      </c>
      <c r="E326" s="37" t="s">
        <v>157</v>
      </c>
      <c r="F326" s="37" t="s">
        <v>157</v>
      </c>
      <c r="G326" s="214">
        <f>PA[[#This Row],[Date]]-DAY(PA[[#This Row],[Date]])+1</f>
        <v>1</v>
      </c>
      <c r="H326" s="32">
        <f>DAY(EOMONTH(PA[[#This Row],[Month Year]],0))</f>
        <v>31</v>
      </c>
      <c r="I326" s="34"/>
      <c r="J326" s="34"/>
      <c r="K326" s="35">
        <f>IFERROR((PA[[#This Row],[Sunset Time (POA&lt;20 W/m2)]]-PA[[#This Row],[Sunrise Time (POA&gt;20 W/m2)]])*24,"")</f>
        <v>0</v>
      </c>
      <c r="L326" s="33"/>
      <c r="M326" s="33"/>
      <c r="N326" s="33"/>
      <c r="O326" s="36"/>
      <c r="P326" s="36"/>
      <c r="Q326" s="33"/>
      <c r="R326" s="32">
        <f>IF((PA[[#This Row],[String Type(If String BD)]]&amp;PA[[#This Row],[Equipment (If any BD other than PV  array and inv)]])="",1,0)</f>
        <v>1</v>
      </c>
      <c r="S326" s="32">
        <f>IF(PA[[#This Row],[String Type(If String BD)]]="",1,0)</f>
        <v>1</v>
      </c>
      <c r="T3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6" s="35" t="str">
        <f>IFERROR(_xlfn.XLOOKUP(PA[[#This Row],[Affected Equipment ]],'Basic Data'!N:N,'Basic Data'!Q:Q),"")</f>
        <v/>
      </c>
      <c r="V326" s="207" t="str">
        <f>IFERROR(_xlfn.XLOOKUP(PA[[#This Row],[Affected Equipment ]],'Basic Data'!N:N,'Basic Data'!R:R),"")</f>
        <v/>
      </c>
      <c r="W326" s="36"/>
      <c r="X326" s="40"/>
      <c r="Y326" s="41"/>
      <c r="Z326" s="46"/>
      <c r="AA326" s="46"/>
      <c r="AB326" s="46"/>
      <c r="AC326" s="46"/>
      <c r="AD326" s="44">
        <f>IF(PA[[#This Row],[Acknowledgement Time ]]="NA","",(PA[[#This Row],[Acknowledgement Time ]]-PA[[#This Row],[Fault Time]])*24)</f>
        <v>0</v>
      </c>
      <c r="AE326" s="44">
        <f>IF(PA[[#This Row],[Work Start time on Fault]]="NA","",(PA[[#This Row],[Work Start time on Fault]]-PA[[#This Row],[Fault Time]])*24)</f>
        <v>0</v>
      </c>
      <c r="AF326" s="45">
        <f>IF(PA[[#This Row],[Status]]="Open","",(PA[[#This Row],[Work Completion time on fault]]-PA[[#This Row],[Fault Time]])*24)</f>
        <v>0</v>
      </c>
      <c r="AG326" s="44">
        <f>IFERROR((PA[[#This Row],[Work Completion time on fault]]-PA[[#This Row],[Fault Time]])*24,"")</f>
        <v>0</v>
      </c>
      <c r="AH326" s="36"/>
      <c r="AI326" s="33"/>
      <c r="AJ326" s="35" t="str">
        <f>IFERROR(PA[[#This Row],[Breakdown Time]]*PA[[#This Row],[Plant Equivalent Weightage]],"")</f>
        <v/>
      </c>
      <c r="AK326" s="36"/>
      <c r="AL326" s="51" t="str">
        <f>IFERROR((_xlfn.XLOOKUP($G326,'Modelling New'!D:D,'Modelling New'!$O:$O)*PA[[#This Row],[Lost PoA(kWh/m2)]]*PA[[#This Row],[DC Capacity Affected (kW)]]),"")</f>
        <v/>
      </c>
      <c r="AM326" s="33"/>
      <c r="AN326" s="33"/>
      <c r="AO326" s="33"/>
      <c r="AP326" s="33"/>
    </row>
    <row r="327" spans="1:42">
      <c r="A327" s="30">
        <f t="shared" si="2"/>
        <v>326</v>
      </c>
      <c r="B327" s="31"/>
      <c r="C327" s="212">
        <f>YEAR(PA[[#This Row],[Date]])+IF(MONTH(PA[[#This Row],[Date]])&gt;=4,1,0)</f>
        <v>1900</v>
      </c>
      <c r="D327" s="212">
        <f>YEAR(PA[[#This Row],[Date]])</f>
        <v>1900</v>
      </c>
      <c r="E327" s="37" t="s">
        <v>157</v>
      </c>
      <c r="F327" s="37" t="s">
        <v>157</v>
      </c>
      <c r="G327" s="214">
        <f>PA[[#This Row],[Date]]-DAY(PA[[#This Row],[Date]])+1</f>
        <v>1</v>
      </c>
      <c r="H327" s="32">
        <f>DAY(EOMONTH(PA[[#This Row],[Month Year]],0))</f>
        <v>31</v>
      </c>
      <c r="I327" s="34"/>
      <c r="J327" s="34"/>
      <c r="K327" s="35">
        <f>IFERROR((PA[[#This Row],[Sunset Time (POA&lt;20 W/m2)]]-PA[[#This Row],[Sunrise Time (POA&gt;20 W/m2)]])*24,"")</f>
        <v>0</v>
      </c>
      <c r="L327" s="33"/>
      <c r="M327" s="33"/>
      <c r="N327" s="33"/>
      <c r="O327" s="36"/>
      <c r="P327" s="36"/>
      <c r="Q327" s="33"/>
      <c r="R327" s="32">
        <f>IF((PA[[#This Row],[String Type(If String BD)]]&amp;PA[[#This Row],[Equipment (If any BD other than PV  array and inv)]])="",1,0)</f>
        <v>1</v>
      </c>
      <c r="S327" s="32">
        <f>IF(PA[[#This Row],[String Type(If String BD)]]="",1,0)</f>
        <v>1</v>
      </c>
      <c r="T3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7" s="35" t="str">
        <f>IFERROR(_xlfn.XLOOKUP(PA[[#This Row],[Affected Equipment ]],'Basic Data'!N:N,'Basic Data'!Q:Q),"")</f>
        <v/>
      </c>
      <c r="V327" s="207" t="str">
        <f>IFERROR(_xlfn.XLOOKUP(PA[[#This Row],[Affected Equipment ]],'Basic Data'!N:N,'Basic Data'!R:R),"")</f>
        <v/>
      </c>
      <c r="W327" s="36"/>
      <c r="X327" s="40"/>
      <c r="Y327" s="41"/>
      <c r="Z327" s="46"/>
      <c r="AA327" s="46"/>
      <c r="AB327" s="46"/>
      <c r="AC327" s="46"/>
      <c r="AD327" s="44">
        <f>IF(PA[[#This Row],[Acknowledgement Time ]]="NA","",(PA[[#This Row],[Acknowledgement Time ]]-PA[[#This Row],[Fault Time]])*24)</f>
        <v>0</v>
      </c>
      <c r="AE327" s="44">
        <f>IF(PA[[#This Row],[Work Start time on Fault]]="NA","",(PA[[#This Row],[Work Start time on Fault]]-PA[[#This Row],[Fault Time]])*24)</f>
        <v>0</v>
      </c>
      <c r="AF327" s="45">
        <f>IF(PA[[#This Row],[Status]]="Open","",(PA[[#This Row],[Work Completion time on fault]]-PA[[#This Row],[Fault Time]])*24)</f>
        <v>0</v>
      </c>
      <c r="AG327" s="44">
        <f>IFERROR((PA[[#This Row],[Work Completion time on fault]]-PA[[#This Row],[Fault Time]])*24,"")</f>
        <v>0</v>
      </c>
      <c r="AH327" s="36"/>
      <c r="AI327" s="33"/>
      <c r="AJ327" s="35" t="str">
        <f>IFERROR(PA[[#This Row],[Breakdown Time]]*PA[[#This Row],[Plant Equivalent Weightage]],"")</f>
        <v/>
      </c>
      <c r="AK327" s="36"/>
      <c r="AL327" s="51" t="str">
        <f>IFERROR((_xlfn.XLOOKUP($G327,'Modelling New'!D:D,'Modelling New'!$O:$O)*PA[[#This Row],[Lost PoA(kWh/m2)]]*PA[[#This Row],[DC Capacity Affected (kW)]]),"")</f>
        <v/>
      </c>
      <c r="AM327" s="33"/>
      <c r="AN327" s="33"/>
      <c r="AO327" s="33"/>
      <c r="AP327" s="33"/>
    </row>
    <row r="328" spans="1:42">
      <c r="A328" s="30">
        <f t="shared" si="2"/>
        <v>327</v>
      </c>
      <c r="B328" s="31"/>
      <c r="C328" s="212">
        <f>YEAR(PA[[#This Row],[Date]])+IF(MONTH(PA[[#This Row],[Date]])&gt;=4,1,0)</f>
        <v>1900</v>
      </c>
      <c r="D328" s="212">
        <f>YEAR(PA[[#This Row],[Date]])</f>
        <v>1900</v>
      </c>
      <c r="E328" s="37" t="s">
        <v>157</v>
      </c>
      <c r="F328" s="37" t="s">
        <v>157</v>
      </c>
      <c r="G328" s="214">
        <f>PA[[#This Row],[Date]]-DAY(PA[[#This Row],[Date]])+1</f>
        <v>1</v>
      </c>
      <c r="H328" s="32">
        <f>DAY(EOMONTH(PA[[#This Row],[Month Year]],0))</f>
        <v>31</v>
      </c>
      <c r="I328" s="34"/>
      <c r="J328" s="34"/>
      <c r="K328" s="35">
        <f>IFERROR((PA[[#This Row],[Sunset Time (POA&lt;20 W/m2)]]-PA[[#This Row],[Sunrise Time (POA&gt;20 W/m2)]])*24,"")</f>
        <v>0</v>
      </c>
      <c r="L328" s="33"/>
      <c r="M328" s="33"/>
      <c r="N328" s="33"/>
      <c r="O328" s="36"/>
      <c r="P328" s="36"/>
      <c r="Q328" s="33"/>
      <c r="R328" s="32">
        <f>IF((PA[[#This Row],[String Type(If String BD)]]&amp;PA[[#This Row],[Equipment (If any BD other than PV  array and inv)]])="",1,0)</f>
        <v>1</v>
      </c>
      <c r="S328" s="32">
        <f>IF(PA[[#This Row],[String Type(If String BD)]]="",1,0)</f>
        <v>1</v>
      </c>
      <c r="T32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8" s="35" t="str">
        <f>IFERROR(_xlfn.XLOOKUP(PA[[#This Row],[Affected Equipment ]],'Basic Data'!N:N,'Basic Data'!Q:Q),"")</f>
        <v/>
      </c>
      <c r="V328" s="207" t="str">
        <f>IFERROR(_xlfn.XLOOKUP(PA[[#This Row],[Affected Equipment ]],'Basic Data'!N:N,'Basic Data'!R:R),"")</f>
        <v/>
      </c>
      <c r="W328" s="36"/>
      <c r="X328" s="40"/>
      <c r="Y328" s="41"/>
      <c r="Z328" s="46"/>
      <c r="AA328" s="46"/>
      <c r="AB328" s="46"/>
      <c r="AC328" s="46"/>
      <c r="AD328" s="44">
        <f>IF(PA[[#This Row],[Acknowledgement Time ]]="NA","",(PA[[#This Row],[Acknowledgement Time ]]-PA[[#This Row],[Fault Time]])*24)</f>
        <v>0</v>
      </c>
      <c r="AE328" s="44">
        <f>IF(PA[[#This Row],[Work Start time on Fault]]="NA","",(PA[[#This Row],[Work Start time on Fault]]-PA[[#This Row],[Fault Time]])*24)</f>
        <v>0</v>
      </c>
      <c r="AF328" s="45">
        <f>IF(PA[[#This Row],[Status]]="Open","",(PA[[#This Row],[Work Completion time on fault]]-PA[[#This Row],[Fault Time]])*24)</f>
        <v>0</v>
      </c>
      <c r="AG328" s="44">
        <f>IFERROR((PA[[#This Row],[Work Completion time on fault]]-PA[[#This Row],[Fault Time]])*24,"")</f>
        <v>0</v>
      </c>
      <c r="AH328" s="36"/>
      <c r="AI328" s="33"/>
      <c r="AJ328" s="35" t="str">
        <f>IFERROR(PA[[#This Row],[Breakdown Time]]*PA[[#This Row],[Plant Equivalent Weightage]],"")</f>
        <v/>
      </c>
      <c r="AK328" s="36"/>
      <c r="AL328" s="51" t="str">
        <f>IFERROR((_xlfn.XLOOKUP($G328,'Modelling New'!D:D,'Modelling New'!$O:$O)*PA[[#This Row],[Lost PoA(kWh/m2)]]*PA[[#This Row],[DC Capacity Affected (kW)]]),"")</f>
        <v/>
      </c>
      <c r="AM328" s="33"/>
      <c r="AN328" s="33"/>
      <c r="AO328" s="33"/>
      <c r="AP328" s="33"/>
    </row>
    <row r="329" spans="1:42">
      <c r="A329" s="30">
        <f t="shared" si="2"/>
        <v>328</v>
      </c>
      <c r="B329" s="165"/>
      <c r="C329" s="211">
        <f>YEAR(PA[[#This Row],[Date]])+IF(MONTH(PA[[#This Row],[Date]])&gt;=4,1,0)</f>
        <v>1900</v>
      </c>
      <c r="D329" s="211">
        <f>YEAR(PA[[#This Row],[Date]])</f>
        <v>1900</v>
      </c>
      <c r="E329" s="37" t="s">
        <v>157</v>
      </c>
      <c r="F329" s="37" t="s">
        <v>157</v>
      </c>
      <c r="G329" s="214">
        <f>PA[[#This Row],[Date]]-DAY(PA[[#This Row],[Date]])+1</f>
        <v>1</v>
      </c>
      <c r="H329" s="202">
        <f>DAY(EOMONTH(PA[[#This Row],[Month Year]],0))</f>
        <v>31</v>
      </c>
      <c r="I329" s="34"/>
      <c r="J329" s="34"/>
      <c r="K329" s="35">
        <f>IFERROR((PA[[#This Row],[Sunset Time (POA&lt;20 W/m2)]]-PA[[#This Row],[Sunrise Time (POA&gt;20 W/m2)]])*24,"")</f>
        <v>0</v>
      </c>
      <c r="L329" s="33"/>
      <c r="M329" s="33"/>
      <c r="N329" s="33"/>
      <c r="O329" s="38"/>
      <c r="P329" s="38"/>
      <c r="Q329" s="37"/>
      <c r="R329" s="202">
        <f>IF((PA[[#This Row],[String Type(If String BD)]]&amp;PA[[#This Row],[Equipment (If any BD other than PV  array and inv)]])="",1,0)</f>
        <v>1</v>
      </c>
      <c r="S329" s="202">
        <f>IF(PA[[#This Row],[String Type(If String BD)]]="",1,0)</f>
        <v>1</v>
      </c>
      <c r="T32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29" s="204" t="str">
        <f>IFERROR(_xlfn.XLOOKUP(PA[[#This Row],[Affected Equipment ]],'Basic Data'!N:N,'Basic Data'!Q:Q),"")</f>
        <v/>
      </c>
      <c r="V329" s="208" t="str">
        <f>IFERROR(_xlfn.XLOOKUP(PA[[#This Row],[Affected Equipment ]],'Basic Data'!N:N,'Basic Data'!R:R),"")</f>
        <v/>
      </c>
      <c r="W329" s="38"/>
      <c r="X329" s="41"/>
      <c r="Y329" s="41"/>
      <c r="Z329" s="46"/>
      <c r="AA329" s="46"/>
      <c r="AB329" s="46"/>
      <c r="AC329" s="47"/>
      <c r="AD329" s="205">
        <f>IF(PA[[#This Row],[Acknowledgement Time ]]="NA","",(PA[[#This Row],[Acknowledgement Time ]]-PA[[#This Row],[Fault Time]])*24)</f>
        <v>0</v>
      </c>
      <c r="AE329" s="205">
        <f>IF(PA[[#This Row],[Work Start time on Fault]]="NA","",(PA[[#This Row],[Work Start time on Fault]]-PA[[#This Row],[Fault Time]])*24)</f>
        <v>0</v>
      </c>
      <c r="AF329" s="206">
        <f>IF(PA[[#This Row],[Status]]="Open","",(PA[[#This Row],[Work Completion time on fault]]-PA[[#This Row],[Fault Time]])*24)</f>
        <v>0</v>
      </c>
      <c r="AG329" s="205">
        <f>IFERROR((PA[[#This Row],[Work Completion time on fault]]-PA[[#This Row],[Fault Time]])*24,"")</f>
        <v>0</v>
      </c>
      <c r="AH329" s="36"/>
      <c r="AI329" s="33"/>
      <c r="AJ329" s="204" t="str">
        <f>IFERROR(PA[[#This Row],[Breakdown Time]]*PA[[#This Row],[Plant Equivalent Weightage]],"")</f>
        <v/>
      </c>
      <c r="AK329" s="38"/>
      <c r="AL329" s="51" t="str">
        <f>IFERROR((_xlfn.XLOOKUP($G329,'Modelling New'!D:D,'Modelling New'!$O:$O)*PA[[#This Row],[Lost PoA(kWh/m2)]]*PA[[#This Row],[DC Capacity Affected (kW)]]),"")</f>
        <v/>
      </c>
      <c r="AM329" s="33"/>
      <c r="AN329" s="33"/>
      <c r="AO329" s="33"/>
      <c r="AP329" s="33"/>
    </row>
    <row r="330" spans="1:42">
      <c r="A330" s="30">
        <f t="shared" si="2"/>
        <v>329</v>
      </c>
      <c r="B330" s="165"/>
      <c r="C330" s="211">
        <f>YEAR(PA[[#This Row],[Date]])+IF(MONTH(PA[[#This Row],[Date]])&gt;=4,1,0)</f>
        <v>1900</v>
      </c>
      <c r="D330" s="211">
        <f>YEAR(PA[[#This Row],[Date]])</f>
        <v>1900</v>
      </c>
      <c r="E330" s="37" t="s">
        <v>157</v>
      </c>
      <c r="F330" s="37" t="s">
        <v>157</v>
      </c>
      <c r="G330" s="214">
        <f>PA[[#This Row],[Date]]-DAY(PA[[#This Row],[Date]])+1</f>
        <v>1</v>
      </c>
      <c r="H330" s="202">
        <f>DAY(EOMONTH(PA[[#This Row],[Month Year]],0))</f>
        <v>31</v>
      </c>
      <c r="I330" s="34"/>
      <c r="J330" s="34"/>
      <c r="K330" s="35">
        <f>IFERROR((PA[[#This Row],[Sunset Time (POA&lt;20 W/m2)]]-PA[[#This Row],[Sunrise Time (POA&gt;20 W/m2)]])*24,"")</f>
        <v>0</v>
      </c>
      <c r="L330" s="37"/>
      <c r="M330" s="37"/>
      <c r="N330" s="37"/>
      <c r="O330" s="38"/>
      <c r="P330" s="38"/>
      <c r="Q330" s="37"/>
      <c r="R330" s="202">
        <f>IF((PA[[#This Row],[String Type(If String BD)]]&amp;PA[[#This Row],[Equipment (If any BD other than PV  array and inv)]])="",1,0)</f>
        <v>1</v>
      </c>
      <c r="S330" s="202">
        <f>IF(PA[[#This Row],[String Type(If String BD)]]="",1,0)</f>
        <v>1</v>
      </c>
      <c r="T33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0" s="204" t="str">
        <f>IFERROR(_xlfn.XLOOKUP(PA[[#This Row],[Affected Equipment ]],'Basic Data'!N:N,'Basic Data'!Q:Q),"")</f>
        <v/>
      </c>
      <c r="V330" s="208" t="str">
        <f>IFERROR(_xlfn.XLOOKUP(PA[[#This Row],[Affected Equipment ]],'Basic Data'!N:N,'Basic Data'!R:R),"")</f>
        <v/>
      </c>
      <c r="W330" s="38"/>
      <c r="X330" s="41"/>
      <c r="Y330" s="41"/>
      <c r="Z330" s="47"/>
      <c r="AA330" s="47"/>
      <c r="AB330" s="47"/>
      <c r="AC330" s="47"/>
      <c r="AD330" s="205">
        <f>IF(PA[[#This Row],[Acknowledgement Time ]]="NA","",(PA[[#This Row],[Acknowledgement Time ]]-PA[[#This Row],[Fault Time]])*24)</f>
        <v>0</v>
      </c>
      <c r="AE330" s="205">
        <f>IF(PA[[#This Row],[Work Start time on Fault]]="NA","",(PA[[#This Row],[Work Start time on Fault]]-PA[[#This Row],[Fault Time]])*24)</f>
        <v>0</v>
      </c>
      <c r="AF330" s="206">
        <f>IF(PA[[#This Row],[Status]]="Open","",(PA[[#This Row],[Work Completion time on fault]]-PA[[#This Row],[Fault Time]])*24)</f>
        <v>0</v>
      </c>
      <c r="AG330" s="205">
        <f>IFERROR((PA[[#This Row],[Work Completion time on fault]]-PA[[#This Row],[Fault Time]])*24,"")</f>
        <v>0</v>
      </c>
      <c r="AH330" s="282"/>
      <c r="AI330" s="33"/>
      <c r="AJ330" s="204" t="str">
        <f>IFERROR(PA[[#This Row],[Breakdown Time]]*PA[[#This Row],[Plant Equivalent Weightage]],"")</f>
        <v/>
      </c>
      <c r="AK330" s="38"/>
      <c r="AL330" s="51" t="str">
        <f>IFERROR((_xlfn.XLOOKUP($G330,'Modelling New'!D:D,'Modelling New'!$O:$O)*PA[[#This Row],[Lost PoA(kWh/m2)]]*PA[[#This Row],[DC Capacity Affected (kW)]]),"")</f>
        <v/>
      </c>
      <c r="AM330" s="33"/>
      <c r="AN330" s="33"/>
      <c r="AO330" s="33"/>
      <c r="AP330" s="33"/>
    </row>
    <row r="331" spans="1:42">
      <c r="A331" s="30">
        <f t="shared" si="2"/>
        <v>330</v>
      </c>
      <c r="B331" s="165"/>
      <c r="C331" s="211">
        <f>YEAR(PA[[#This Row],[Date]])+IF(MONTH(PA[[#This Row],[Date]])&gt;=4,1,0)</f>
        <v>1900</v>
      </c>
      <c r="D331" s="211">
        <f>YEAR(PA[[#This Row],[Date]])</f>
        <v>1900</v>
      </c>
      <c r="E331" s="37" t="s">
        <v>157</v>
      </c>
      <c r="F331" s="37" t="s">
        <v>157</v>
      </c>
      <c r="G331" s="214">
        <f>PA[[#This Row],[Date]]-DAY(PA[[#This Row],[Date]])+1</f>
        <v>1</v>
      </c>
      <c r="H331" s="202">
        <f>DAY(EOMONTH(PA[[#This Row],[Month Year]],0))</f>
        <v>31</v>
      </c>
      <c r="I331" s="34"/>
      <c r="J331" s="34"/>
      <c r="K331" s="35">
        <f>IFERROR((PA[[#This Row],[Sunset Time (POA&lt;20 W/m2)]]-PA[[#This Row],[Sunrise Time (POA&gt;20 W/m2)]])*24,"")</f>
        <v>0</v>
      </c>
      <c r="L331" s="37"/>
      <c r="M331" s="37"/>
      <c r="N331" s="37"/>
      <c r="O331" s="38"/>
      <c r="P331" s="38"/>
      <c r="Q331" s="37"/>
      <c r="R331" s="202">
        <f>IF((PA[[#This Row],[String Type(If String BD)]]&amp;PA[[#This Row],[Equipment (If any BD other than PV  array and inv)]])="",1,0)</f>
        <v>1</v>
      </c>
      <c r="S331" s="202">
        <f>IF(PA[[#This Row],[String Type(If String BD)]]="",1,0)</f>
        <v>1</v>
      </c>
      <c r="T33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1" s="204" t="str">
        <f>IFERROR(_xlfn.XLOOKUP(PA[[#This Row],[Affected Equipment ]],'Basic Data'!N:N,'Basic Data'!Q:Q),"")</f>
        <v/>
      </c>
      <c r="V331" s="208" t="str">
        <f>IFERROR(_xlfn.XLOOKUP(PA[[#This Row],[Affected Equipment ]],'Basic Data'!N:N,'Basic Data'!R:R),"")</f>
        <v/>
      </c>
      <c r="W331" s="38"/>
      <c r="X331" s="41"/>
      <c r="Y331" s="282"/>
      <c r="Z331" s="47"/>
      <c r="AA331" s="47"/>
      <c r="AB331" s="47"/>
      <c r="AC331" s="47"/>
      <c r="AD331" s="205">
        <f>IF(PA[[#This Row],[Acknowledgement Time ]]="NA","",(PA[[#This Row],[Acknowledgement Time ]]-PA[[#This Row],[Fault Time]])*24)</f>
        <v>0</v>
      </c>
      <c r="AE331" s="205">
        <f>IF(PA[[#This Row],[Work Start time on Fault]]="NA","",(PA[[#This Row],[Work Start time on Fault]]-PA[[#This Row],[Fault Time]])*24)</f>
        <v>0</v>
      </c>
      <c r="AF331" s="206">
        <f>IF(PA[[#This Row],[Status]]="Open","",(PA[[#This Row],[Work Completion time on fault]]-PA[[#This Row],[Fault Time]])*24)</f>
        <v>0</v>
      </c>
      <c r="AG331" s="205">
        <f>IFERROR((PA[[#This Row],[Work Completion time on fault]]-PA[[#This Row],[Fault Time]])*24,"")</f>
        <v>0</v>
      </c>
      <c r="AH331" s="38"/>
      <c r="AI331" s="33"/>
      <c r="AJ331" s="204" t="str">
        <f>IFERROR(PA[[#This Row],[Breakdown Time]]*PA[[#This Row],[Plant Equivalent Weightage]],"")</f>
        <v/>
      </c>
      <c r="AK331" s="38"/>
      <c r="AL331" s="51" t="str">
        <f>IFERROR((_xlfn.XLOOKUP($G331,'Modelling New'!D:D,'Modelling New'!$O:$O)*PA[[#This Row],[Lost PoA(kWh/m2)]]*PA[[#This Row],[DC Capacity Affected (kW)]]),"")</f>
        <v/>
      </c>
      <c r="AM331" s="33"/>
      <c r="AN331" s="33"/>
      <c r="AO331" s="33"/>
      <c r="AP331" s="33"/>
    </row>
    <row r="332" spans="1:42">
      <c r="A332" s="30">
        <f t="shared" si="2"/>
        <v>331</v>
      </c>
      <c r="B332" s="165"/>
      <c r="C332" s="212">
        <f>YEAR(PA[[#This Row],[Date]])+IF(MONTH(PA[[#This Row],[Date]])&gt;=4,1,0)</f>
        <v>1900</v>
      </c>
      <c r="D332" s="212">
        <f>YEAR(PA[[#This Row],[Date]])</f>
        <v>1900</v>
      </c>
      <c r="E332" s="37" t="s">
        <v>157</v>
      </c>
      <c r="F332" s="37" t="s">
        <v>157</v>
      </c>
      <c r="G332" s="214">
        <f>PA[[#This Row],[Date]]-DAY(PA[[#This Row],[Date]])+1</f>
        <v>1</v>
      </c>
      <c r="H332" s="32">
        <f>DAY(EOMONTH(PA[[#This Row],[Month Year]],0))</f>
        <v>31</v>
      </c>
      <c r="I332" s="34"/>
      <c r="J332" s="34"/>
      <c r="K332" s="35">
        <f>IFERROR((PA[[#This Row],[Sunset Time (POA&lt;20 W/m2)]]-PA[[#This Row],[Sunrise Time (POA&gt;20 W/m2)]])*24,"")</f>
        <v>0</v>
      </c>
      <c r="L332" s="33"/>
      <c r="M332" s="33"/>
      <c r="N332" s="33"/>
      <c r="O332" s="36"/>
      <c r="P332" s="36"/>
      <c r="Q332" s="33"/>
      <c r="R332" s="32">
        <f>IF((PA[[#This Row],[String Type(If String BD)]]&amp;PA[[#This Row],[Equipment (If any BD other than PV  array and inv)]])="",1,0)</f>
        <v>1</v>
      </c>
      <c r="S332" s="32">
        <f>IF(PA[[#This Row],[String Type(If String BD)]]="",1,0)</f>
        <v>1</v>
      </c>
      <c r="T3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2" s="35" t="str">
        <f>IFERROR(_xlfn.XLOOKUP(PA[[#This Row],[Affected Equipment ]],'Basic Data'!N:N,'Basic Data'!Q:Q),"")</f>
        <v/>
      </c>
      <c r="V332" s="207" t="str">
        <f>IFERROR(_xlfn.XLOOKUP(PA[[#This Row],[Affected Equipment ]],'Basic Data'!N:N,'Basic Data'!R:R),"")</f>
        <v/>
      </c>
      <c r="W332" s="36"/>
      <c r="X332" s="40"/>
      <c r="Y332" s="41"/>
      <c r="Z332" s="46"/>
      <c r="AA332" s="46"/>
      <c r="AB332" s="46"/>
      <c r="AC332" s="46"/>
      <c r="AD332" s="44">
        <f>IF(PA[[#This Row],[Acknowledgement Time ]]="NA","",(PA[[#This Row],[Acknowledgement Time ]]-PA[[#This Row],[Fault Time]])*24)</f>
        <v>0</v>
      </c>
      <c r="AE332" s="44">
        <f>IF(PA[[#This Row],[Work Start time on Fault]]="NA","",(PA[[#This Row],[Work Start time on Fault]]-PA[[#This Row],[Fault Time]])*24)</f>
        <v>0</v>
      </c>
      <c r="AF332" s="45">
        <f>IF(PA[[#This Row],[Status]]="Open","",(PA[[#This Row],[Work Completion time on fault]]-PA[[#This Row],[Fault Time]])*24)</f>
        <v>0</v>
      </c>
      <c r="AG332" s="44">
        <f>IFERROR((PA[[#This Row],[Work Completion time on fault]]-PA[[#This Row],[Fault Time]])*24,"")</f>
        <v>0</v>
      </c>
      <c r="AH332" s="36"/>
      <c r="AI332" s="33"/>
      <c r="AJ332" s="35" t="str">
        <f>IFERROR(PA[[#This Row],[Breakdown Time]]*PA[[#This Row],[Plant Equivalent Weightage]],"")</f>
        <v/>
      </c>
      <c r="AK332" s="36"/>
      <c r="AL332" s="51" t="str">
        <f>IFERROR((_xlfn.XLOOKUP($G332,'Modelling New'!D:D,'Modelling New'!$O:$O)*PA[[#This Row],[Lost PoA(kWh/m2)]]*PA[[#This Row],[DC Capacity Affected (kW)]]),"")</f>
        <v/>
      </c>
      <c r="AM332" s="33"/>
      <c r="AN332" s="33"/>
      <c r="AO332" s="33"/>
      <c r="AP332" s="33"/>
    </row>
    <row r="333" spans="1:42">
      <c r="A333" s="30">
        <f t="shared" si="2"/>
        <v>332</v>
      </c>
      <c r="B333" s="165"/>
      <c r="C333" s="212">
        <f>YEAR(PA[[#This Row],[Date]])+IF(MONTH(PA[[#This Row],[Date]])&gt;=4,1,0)</f>
        <v>1900</v>
      </c>
      <c r="D333" s="212">
        <f>YEAR(PA[[#This Row],[Date]])</f>
        <v>1900</v>
      </c>
      <c r="E333" s="37" t="s">
        <v>157</v>
      </c>
      <c r="F333" s="37" t="s">
        <v>157</v>
      </c>
      <c r="G333" s="214">
        <f>PA[[#This Row],[Date]]-DAY(PA[[#This Row],[Date]])+1</f>
        <v>1</v>
      </c>
      <c r="H333" s="32">
        <f>DAY(EOMONTH(PA[[#This Row],[Month Year]],0))</f>
        <v>31</v>
      </c>
      <c r="I333" s="34"/>
      <c r="J333" s="34"/>
      <c r="K333" s="35">
        <f>IFERROR((PA[[#This Row],[Sunset Time (POA&lt;20 W/m2)]]-PA[[#This Row],[Sunrise Time (POA&gt;20 W/m2)]])*24,"")</f>
        <v>0</v>
      </c>
      <c r="L333" s="33"/>
      <c r="M333" s="33"/>
      <c r="N333" s="33"/>
      <c r="O333" s="36"/>
      <c r="P333" s="36"/>
      <c r="Q333" s="33"/>
      <c r="R333" s="32">
        <f>IF((PA[[#This Row],[String Type(If String BD)]]&amp;PA[[#This Row],[Equipment (If any BD other than PV  array and inv)]])="",1,0)</f>
        <v>1</v>
      </c>
      <c r="S333" s="32">
        <f>IF(PA[[#This Row],[String Type(If String BD)]]="",1,0)</f>
        <v>1</v>
      </c>
      <c r="T3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3" s="35" t="str">
        <f>IFERROR(_xlfn.XLOOKUP(PA[[#This Row],[Affected Equipment ]],'Basic Data'!N:N,'Basic Data'!Q:Q),"")</f>
        <v/>
      </c>
      <c r="V333" s="207" t="str">
        <f>IFERROR(_xlfn.XLOOKUP(PA[[#This Row],[Affected Equipment ]],'Basic Data'!N:N,'Basic Data'!R:R),"")</f>
        <v/>
      </c>
      <c r="W333" s="36"/>
      <c r="X333" s="40"/>
      <c r="Y333" s="41"/>
      <c r="Z333" s="46"/>
      <c r="AA333" s="46"/>
      <c r="AB333" s="46"/>
      <c r="AC333" s="46"/>
      <c r="AD333" s="44">
        <f>IF(PA[[#This Row],[Acknowledgement Time ]]="NA","",(PA[[#This Row],[Acknowledgement Time ]]-PA[[#This Row],[Fault Time]])*24)</f>
        <v>0</v>
      </c>
      <c r="AE333" s="44">
        <f>IF(PA[[#This Row],[Work Start time on Fault]]="NA","",(PA[[#This Row],[Work Start time on Fault]]-PA[[#This Row],[Fault Time]])*24)</f>
        <v>0</v>
      </c>
      <c r="AF333" s="45">
        <f>IF(PA[[#This Row],[Status]]="Open","",(PA[[#This Row],[Work Completion time on fault]]-PA[[#This Row],[Fault Time]])*24)</f>
        <v>0</v>
      </c>
      <c r="AG333" s="44">
        <f>IFERROR((PA[[#This Row],[Work Completion time on fault]]-PA[[#This Row],[Fault Time]])*24,"")</f>
        <v>0</v>
      </c>
      <c r="AH333" s="36"/>
      <c r="AI333" s="33"/>
      <c r="AJ333" s="35" t="str">
        <f>IFERROR(PA[[#This Row],[Breakdown Time]]*PA[[#This Row],[Plant Equivalent Weightage]],"")</f>
        <v/>
      </c>
      <c r="AK333" s="36"/>
      <c r="AL333" s="51" t="str">
        <f>IFERROR((_xlfn.XLOOKUP($G333,'Modelling New'!D:D,'Modelling New'!$O:$O)*PA[[#This Row],[Lost PoA(kWh/m2)]]*PA[[#This Row],[DC Capacity Affected (kW)]]),"")</f>
        <v/>
      </c>
      <c r="AM333" s="33"/>
      <c r="AN333" s="33"/>
      <c r="AO333" s="33"/>
      <c r="AP333" s="33"/>
    </row>
    <row r="334" spans="1:42">
      <c r="A334" s="30">
        <f t="shared" si="2"/>
        <v>333</v>
      </c>
      <c r="B334" s="165"/>
      <c r="C334" s="212">
        <f>YEAR(PA[[#This Row],[Date]])+IF(MONTH(PA[[#This Row],[Date]])&gt;=4,1,0)</f>
        <v>1900</v>
      </c>
      <c r="D334" s="212">
        <f>YEAR(PA[[#This Row],[Date]])</f>
        <v>1900</v>
      </c>
      <c r="E334" s="37" t="s">
        <v>157</v>
      </c>
      <c r="F334" s="37" t="s">
        <v>157</v>
      </c>
      <c r="G334" s="214">
        <f>PA[[#This Row],[Date]]-DAY(PA[[#This Row],[Date]])+1</f>
        <v>1</v>
      </c>
      <c r="H334" s="32">
        <f>DAY(EOMONTH(PA[[#This Row],[Month Year]],0))</f>
        <v>31</v>
      </c>
      <c r="I334" s="34"/>
      <c r="J334" s="34"/>
      <c r="K334" s="35">
        <f>IFERROR((PA[[#This Row],[Sunset Time (POA&lt;20 W/m2)]]-PA[[#This Row],[Sunrise Time (POA&gt;20 W/m2)]])*24,"")</f>
        <v>0</v>
      </c>
      <c r="L334" s="33"/>
      <c r="M334" s="33"/>
      <c r="N334" s="33"/>
      <c r="O334" s="36"/>
      <c r="P334" s="36"/>
      <c r="Q334" s="33"/>
      <c r="R334" s="32">
        <f>IF((PA[[#This Row],[String Type(If String BD)]]&amp;PA[[#This Row],[Equipment (If any BD other than PV  array and inv)]])="",1,0)</f>
        <v>1</v>
      </c>
      <c r="S334" s="32">
        <f>IF(PA[[#This Row],[String Type(If String BD)]]="",1,0)</f>
        <v>1</v>
      </c>
      <c r="T3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4" s="35" t="str">
        <f>IFERROR(_xlfn.XLOOKUP(PA[[#This Row],[Affected Equipment ]],'Basic Data'!N:N,'Basic Data'!Q:Q),"")</f>
        <v/>
      </c>
      <c r="V334" s="207" t="str">
        <f>IFERROR(_xlfn.XLOOKUP(PA[[#This Row],[Affected Equipment ]],'Basic Data'!N:N,'Basic Data'!R:R),"")</f>
        <v/>
      </c>
      <c r="W334" s="36"/>
      <c r="X334" s="40"/>
      <c r="Y334" s="41"/>
      <c r="Z334" s="46"/>
      <c r="AA334" s="46"/>
      <c r="AB334" s="46"/>
      <c r="AC334" s="46"/>
      <c r="AD334" s="44">
        <f>IF(PA[[#This Row],[Acknowledgement Time ]]="NA","",(PA[[#This Row],[Acknowledgement Time ]]-PA[[#This Row],[Fault Time]])*24)</f>
        <v>0</v>
      </c>
      <c r="AE334" s="44">
        <f>IF(PA[[#This Row],[Work Start time on Fault]]="NA","",(PA[[#This Row],[Work Start time on Fault]]-PA[[#This Row],[Fault Time]])*24)</f>
        <v>0</v>
      </c>
      <c r="AF334" s="45">
        <f>IF(PA[[#This Row],[Status]]="Open","",(PA[[#This Row],[Work Completion time on fault]]-PA[[#This Row],[Fault Time]])*24)</f>
        <v>0</v>
      </c>
      <c r="AG334" s="44">
        <f>IFERROR((PA[[#This Row],[Work Completion time on fault]]-PA[[#This Row],[Fault Time]])*24,"")</f>
        <v>0</v>
      </c>
      <c r="AH334" s="36"/>
      <c r="AI334" s="33"/>
      <c r="AJ334" s="35" t="str">
        <f>IFERROR(PA[[#This Row],[Breakdown Time]]*PA[[#This Row],[Plant Equivalent Weightage]],"")</f>
        <v/>
      </c>
      <c r="AK334" s="36"/>
      <c r="AL334" s="51" t="str">
        <f>IFERROR((_xlfn.XLOOKUP($G334,'Modelling New'!D:D,'Modelling New'!$O:$O)*PA[[#This Row],[Lost PoA(kWh/m2)]]*PA[[#This Row],[DC Capacity Affected (kW)]]),"")</f>
        <v/>
      </c>
      <c r="AM334" s="33"/>
      <c r="AN334" s="33"/>
      <c r="AO334" s="33"/>
      <c r="AP334" s="33"/>
    </row>
    <row r="335" spans="1:42">
      <c r="A335" s="30">
        <f t="shared" si="2"/>
        <v>334</v>
      </c>
      <c r="B335" s="165"/>
      <c r="C335" s="211">
        <f>YEAR(PA[[#This Row],[Date]])+IF(MONTH(PA[[#This Row],[Date]])&gt;=4,1,0)</f>
        <v>1900</v>
      </c>
      <c r="D335" s="211">
        <f>YEAR(PA[[#This Row],[Date]])</f>
        <v>1900</v>
      </c>
      <c r="E335" s="37" t="s">
        <v>157</v>
      </c>
      <c r="F335" s="37" t="s">
        <v>157</v>
      </c>
      <c r="G335" s="214">
        <f>PA[[#This Row],[Date]]-DAY(PA[[#This Row],[Date]])+1</f>
        <v>1</v>
      </c>
      <c r="H335" s="202">
        <f>DAY(EOMONTH(PA[[#This Row],[Month Year]],0))</f>
        <v>31</v>
      </c>
      <c r="I335" s="34"/>
      <c r="J335" s="34"/>
      <c r="K335" s="35">
        <f>IFERROR((PA[[#This Row],[Sunset Time (POA&lt;20 W/m2)]]-PA[[#This Row],[Sunrise Time (POA&gt;20 W/m2)]])*24,"")</f>
        <v>0</v>
      </c>
      <c r="L335" s="37"/>
      <c r="M335" s="37"/>
      <c r="N335" s="37"/>
      <c r="O335" s="38"/>
      <c r="P335" s="38"/>
      <c r="Q335" s="37"/>
      <c r="R335" s="202">
        <f>IF((PA[[#This Row],[String Type(If String BD)]]&amp;PA[[#This Row],[Equipment (If any BD other than PV  array and inv)]])="",1,0)</f>
        <v>1</v>
      </c>
      <c r="S335" s="202">
        <f>IF(PA[[#This Row],[String Type(If String BD)]]="",1,0)</f>
        <v>1</v>
      </c>
      <c r="T33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5" s="204" t="str">
        <f>IFERROR(_xlfn.XLOOKUP(PA[[#This Row],[Affected Equipment ]],'Basic Data'!N:N,'Basic Data'!Q:Q),"")</f>
        <v/>
      </c>
      <c r="V335" s="208" t="str">
        <f>IFERROR(_xlfn.XLOOKUP(PA[[#This Row],[Affected Equipment ]],'Basic Data'!N:N,'Basic Data'!R:R),"")</f>
        <v/>
      </c>
      <c r="W335" s="38"/>
      <c r="X335" s="41"/>
      <c r="Y335" s="41"/>
      <c r="Z335" s="47"/>
      <c r="AA335" s="47"/>
      <c r="AB335" s="47"/>
      <c r="AC335" s="47"/>
      <c r="AD335" s="205">
        <f>IF(PA[[#This Row],[Acknowledgement Time ]]="NA","",(PA[[#This Row],[Acknowledgement Time ]]-PA[[#This Row],[Fault Time]])*24)</f>
        <v>0</v>
      </c>
      <c r="AE335" s="205">
        <f>IF(PA[[#This Row],[Work Start time on Fault]]="NA","",(PA[[#This Row],[Work Start time on Fault]]-PA[[#This Row],[Fault Time]])*24)</f>
        <v>0</v>
      </c>
      <c r="AF335" s="206">
        <f>IF(PA[[#This Row],[Status]]="Open","",(PA[[#This Row],[Work Completion time on fault]]-PA[[#This Row],[Fault Time]])*24)</f>
        <v>0</v>
      </c>
      <c r="AG335" s="205">
        <f>IFERROR((PA[[#This Row],[Work Completion time on fault]]-PA[[#This Row],[Fault Time]])*24,"")</f>
        <v>0</v>
      </c>
      <c r="AH335" s="38"/>
      <c r="AI335" s="33"/>
      <c r="AJ335" s="204" t="str">
        <f>IFERROR(PA[[#This Row],[Breakdown Time]]*PA[[#This Row],[Plant Equivalent Weightage]],"")</f>
        <v/>
      </c>
      <c r="AK335" s="38"/>
      <c r="AL335" s="51" t="str">
        <f>IFERROR((_xlfn.XLOOKUP($G335,'Modelling New'!D:D,'Modelling New'!$O:$O)*PA[[#This Row],[Lost PoA(kWh/m2)]]*PA[[#This Row],[DC Capacity Affected (kW)]]),"")</f>
        <v/>
      </c>
      <c r="AM335" s="33"/>
      <c r="AN335" s="33"/>
      <c r="AO335" s="33"/>
      <c r="AP335" s="33"/>
    </row>
    <row r="336" spans="1:42">
      <c r="A336" s="30">
        <f t="shared" si="2"/>
        <v>335</v>
      </c>
      <c r="B336" s="31"/>
      <c r="C336" s="212">
        <f>YEAR(PA[[#This Row],[Date]])+IF(MONTH(PA[[#This Row],[Date]])&gt;=4,1,0)</f>
        <v>1900</v>
      </c>
      <c r="D336" s="212">
        <f>YEAR(PA[[#This Row],[Date]])</f>
        <v>1900</v>
      </c>
      <c r="E336" s="37" t="s">
        <v>157</v>
      </c>
      <c r="F336" s="37" t="s">
        <v>157</v>
      </c>
      <c r="G336" s="214">
        <f>PA[[#This Row],[Date]]-DAY(PA[[#This Row],[Date]])+1</f>
        <v>1</v>
      </c>
      <c r="H336" s="32">
        <f>DAY(EOMONTH(PA[[#This Row],[Month Year]],0))</f>
        <v>31</v>
      </c>
      <c r="I336" s="34"/>
      <c r="J336" s="34"/>
      <c r="K336" s="35">
        <f>IFERROR((PA[[#This Row],[Sunset Time (POA&lt;20 W/m2)]]-PA[[#This Row],[Sunrise Time (POA&gt;20 W/m2)]])*24,"")</f>
        <v>0</v>
      </c>
      <c r="L336" s="33"/>
      <c r="M336" s="33"/>
      <c r="N336" s="33"/>
      <c r="O336" s="36"/>
      <c r="P336" s="36"/>
      <c r="Q336" s="33"/>
      <c r="R336" s="32">
        <f>IF((PA[[#This Row],[String Type(If String BD)]]&amp;PA[[#This Row],[Equipment (If any BD other than PV  array and inv)]])="",1,0)</f>
        <v>1</v>
      </c>
      <c r="S336" s="32">
        <f>IF(PA[[#This Row],[String Type(If String BD)]]="",1,0)</f>
        <v>1</v>
      </c>
      <c r="T3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6" s="35" t="str">
        <f>IFERROR(_xlfn.XLOOKUP(PA[[#This Row],[Affected Equipment ]],'Basic Data'!N:N,'Basic Data'!Q:Q),"")</f>
        <v/>
      </c>
      <c r="V336" s="207" t="str">
        <f>IFERROR(_xlfn.XLOOKUP(PA[[#This Row],[Affected Equipment ]],'Basic Data'!N:N,'Basic Data'!R:R),"")</f>
        <v/>
      </c>
      <c r="W336" s="36"/>
      <c r="X336" s="40"/>
      <c r="Y336" s="41"/>
      <c r="Z336" s="46"/>
      <c r="AA336" s="46"/>
      <c r="AB336" s="46"/>
      <c r="AC336" s="46"/>
      <c r="AD336" s="44">
        <f>IF(PA[[#This Row],[Acknowledgement Time ]]="NA","",(PA[[#This Row],[Acknowledgement Time ]]-PA[[#This Row],[Fault Time]])*24)</f>
        <v>0</v>
      </c>
      <c r="AE336" s="44">
        <f>IF(PA[[#This Row],[Work Start time on Fault]]="NA","",(PA[[#This Row],[Work Start time on Fault]]-PA[[#This Row],[Fault Time]])*24)</f>
        <v>0</v>
      </c>
      <c r="AF336" s="45">
        <f>IF(PA[[#This Row],[Status]]="Open","",(PA[[#This Row],[Work Completion time on fault]]-PA[[#This Row],[Fault Time]])*24)</f>
        <v>0</v>
      </c>
      <c r="AG336" s="44">
        <f>IFERROR((PA[[#This Row],[Work Completion time on fault]]-PA[[#This Row],[Fault Time]])*24,"")</f>
        <v>0</v>
      </c>
      <c r="AH336" s="36"/>
      <c r="AI336" s="33"/>
      <c r="AJ336" s="35" t="str">
        <f>IFERROR(PA[[#This Row],[Breakdown Time]]*PA[[#This Row],[Plant Equivalent Weightage]],"")</f>
        <v/>
      </c>
      <c r="AK336" s="36"/>
      <c r="AL336" s="51" t="str">
        <f>IFERROR((_xlfn.XLOOKUP($G336,'Modelling New'!D:D,'Modelling New'!$O:$O)*PA[[#This Row],[Lost PoA(kWh/m2)]]*PA[[#This Row],[DC Capacity Affected (kW)]]),"")</f>
        <v/>
      </c>
      <c r="AM336" s="33"/>
      <c r="AN336" s="33"/>
      <c r="AO336" s="33"/>
      <c r="AP336" s="33"/>
    </row>
    <row r="337" spans="1:42">
      <c r="A337" s="30">
        <f t="shared" si="2"/>
        <v>336</v>
      </c>
      <c r="B337" s="31"/>
      <c r="C337" s="212">
        <f>YEAR(PA[[#This Row],[Date]])+IF(MONTH(PA[[#This Row],[Date]])&gt;=4,1,0)</f>
        <v>1900</v>
      </c>
      <c r="D337" s="212">
        <f>YEAR(PA[[#This Row],[Date]])</f>
        <v>1900</v>
      </c>
      <c r="E337" s="37" t="s">
        <v>157</v>
      </c>
      <c r="F337" s="37" t="s">
        <v>157</v>
      </c>
      <c r="G337" s="214">
        <f>PA[[#This Row],[Date]]-DAY(PA[[#This Row],[Date]])+1</f>
        <v>1</v>
      </c>
      <c r="H337" s="32">
        <f>DAY(EOMONTH(PA[[#This Row],[Month Year]],0))</f>
        <v>31</v>
      </c>
      <c r="I337" s="34"/>
      <c r="J337" s="34"/>
      <c r="K337" s="35">
        <f>IFERROR((PA[[#This Row],[Sunset Time (POA&lt;20 W/m2)]]-PA[[#This Row],[Sunrise Time (POA&gt;20 W/m2)]])*24,"")</f>
        <v>0</v>
      </c>
      <c r="L337" s="33"/>
      <c r="M337" s="33"/>
      <c r="N337" s="33"/>
      <c r="O337" s="36"/>
      <c r="P337" s="36"/>
      <c r="Q337" s="33"/>
      <c r="R337" s="32">
        <f>IF((PA[[#This Row],[String Type(If String BD)]]&amp;PA[[#This Row],[Equipment (If any BD other than PV  array and inv)]])="",1,0)</f>
        <v>1</v>
      </c>
      <c r="S337" s="32">
        <f>IF(PA[[#This Row],[String Type(If String BD)]]="",1,0)</f>
        <v>1</v>
      </c>
      <c r="T3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7" s="35" t="str">
        <f>IFERROR(_xlfn.XLOOKUP(PA[[#This Row],[Affected Equipment ]],'Basic Data'!N:N,'Basic Data'!Q:Q),"")</f>
        <v/>
      </c>
      <c r="V337" s="207" t="str">
        <f>IFERROR(_xlfn.XLOOKUP(PA[[#This Row],[Affected Equipment ]],'Basic Data'!N:N,'Basic Data'!R:R),"")</f>
        <v/>
      </c>
      <c r="W337" s="36"/>
      <c r="X337" s="40"/>
      <c r="Y337" s="41"/>
      <c r="Z337" s="46"/>
      <c r="AA337" s="46"/>
      <c r="AB337" s="46"/>
      <c r="AC337" s="46"/>
      <c r="AD337" s="44">
        <f>IF(PA[[#This Row],[Acknowledgement Time ]]="NA","",(PA[[#This Row],[Acknowledgement Time ]]-PA[[#This Row],[Fault Time]])*24)</f>
        <v>0</v>
      </c>
      <c r="AE337" s="44">
        <f>IF(PA[[#This Row],[Work Start time on Fault]]="NA","",(PA[[#This Row],[Work Start time on Fault]]-PA[[#This Row],[Fault Time]])*24)</f>
        <v>0</v>
      </c>
      <c r="AF337" s="45">
        <f>IF(PA[[#This Row],[Status]]="Open","",(PA[[#This Row],[Work Completion time on fault]]-PA[[#This Row],[Fault Time]])*24)</f>
        <v>0</v>
      </c>
      <c r="AG337" s="44">
        <f>IFERROR((PA[[#This Row],[Work Completion time on fault]]-PA[[#This Row],[Fault Time]])*24,"")</f>
        <v>0</v>
      </c>
      <c r="AH337" s="36"/>
      <c r="AI337" s="33"/>
      <c r="AJ337" s="35" t="str">
        <f>IFERROR(PA[[#This Row],[Breakdown Time]]*PA[[#This Row],[Plant Equivalent Weightage]],"")</f>
        <v/>
      </c>
      <c r="AK337" s="36"/>
      <c r="AL337" s="51" t="str">
        <f>IFERROR((_xlfn.XLOOKUP($G337,'Modelling New'!D:D,'Modelling New'!$O:$O)*PA[[#This Row],[Lost PoA(kWh/m2)]]*PA[[#This Row],[DC Capacity Affected (kW)]]),"")</f>
        <v/>
      </c>
      <c r="AM337" s="33"/>
      <c r="AN337" s="33"/>
      <c r="AO337" s="33"/>
      <c r="AP337" s="33"/>
    </row>
    <row r="338" spans="1:42">
      <c r="A338" s="30">
        <f t="shared" si="2"/>
        <v>337</v>
      </c>
      <c r="B338" s="31"/>
      <c r="C338" s="212">
        <f>YEAR(PA[[#This Row],[Date]])+IF(MONTH(PA[[#This Row],[Date]])&gt;=4,1,0)</f>
        <v>1900</v>
      </c>
      <c r="D338" s="212">
        <f>YEAR(PA[[#This Row],[Date]])</f>
        <v>1900</v>
      </c>
      <c r="E338" s="37" t="s">
        <v>157</v>
      </c>
      <c r="F338" s="37" t="s">
        <v>157</v>
      </c>
      <c r="G338" s="214">
        <f>PA[[#This Row],[Date]]-DAY(PA[[#This Row],[Date]])+1</f>
        <v>1</v>
      </c>
      <c r="H338" s="32">
        <f>DAY(EOMONTH(PA[[#This Row],[Month Year]],0))</f>
        <v>31</v>
      </c>
      <c r="I338" s="34"/>
      <c r="J338" s="34"/>
      <c r="K338" s="35">
        <f>IFERROR((PA[[#This Row],[Sunset Time (POA&lt;20 W/m2)]]-PA[[#This Row],[Sunrise Time (POA&gt;20 W/m2)]])*24,"")</f>
        <v>0</v>
      </c>
      <c r="L338" s="33"/>
      <c r="M338" s="37"/>
      <c r="N338" s="33"/>
      <c r="O338" s="36"/>
      <c r="P338" s="36"/>
      <c r="Q338" s="33"/>
      <c r="R338" s="32">
        <f>IF((PA[[#This Row],[String Type(If String BD)]]&amp;PA[[#This Row],[Equipment (If any BD other than PV  array and inv)]])="",1,0)</f>
        <v>1</v>
      </c>
      <c r="S338" s="32">
        <f>IF(PA[[#This Row],[String Type(If String BD)]]="",1,0)</f>
        <v>1</v>
      </c>
      <c r="T3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8" s="35" t="str">
        <f>IFERROR(_xlfn.XLOOKUP(PA[[#This Row],[Affected Equipment ]],'Basic Data'!N:N,'Basic Data'!Q:Q),"")</f>
        <v/>
      </c>
      <c r="V338" s="207" t="str">
        <f>IFERROR(_xlfn.XLOOKUP(PA[[#This Row],[Affected Equipment ]],'Basic Data'!N:N,'Basic Data'!R:R),"")</f>
        <v/>
      </c>
      <c r="W338" s="36"/>
      <c r="X338" s="40"/>
      <c r="Y338" s="41"/>
      <c r="Z338" s="46"/>
      <c r="AA338" s="46"/>
      <c r="AB338" s="46"/>
      <c r="AC338" s="46"/>
      <c r="AD338" s="44">
        <f>IF(PA[[#This Row],[Acknowledgement Time ]]="NA","",(PA[[#This Row],[Acknowledgement Time ]]-PA[[#This Row],[Fault Time]])*24)</f>
        <v>0</v>
      </c>
      <c r="AE338" s="44">
        <f>IF(PA[[#This Row],[Work Start time on Fault]]="NA","",(PA[[#This Row],[Work Start time on Fault]]-PA[[#This Row],[Fault Time]])*24)</f>
        <v>0</v>
      </c>
      <c r="AF338" s="45">
        <f>IF(PA[[#This Row],[Status]]="Open","",(PA[[#This Row],[Work Completion time on fault]]-PA[[#This Row],[Fault Time]])*24)</f>
        <v>0</v>
      </c>
      <c r="AG338" s="44">
        <f>IFERROR((PA[[#This Row],[Work Completion time on fault]]-PA[[#This Row],[Fault Time]])*24,"")</f>
        <v>0</v>
      </c>
      <c r="AH338" s="36"/>
      <c r="AI338" s="33"/>
      <c r="AJ338" s="35" t="str">
        <f>IFERROR(PA[[#This Row],[Breakdown Time]]*PA[[#This Row],[Plant Equivalent Weightage]],"")</f>
        <v/>
      </c>
      <c r="AK338" s="36"/>
      <c r="AL338" s="51" t="str">
        <f>IFERROR((_xlfn.XLOOKUP($G338,'Modelling New'!D:D,'Modelling New'!$O:$O)*PA[[#This Row],[Lost PoA(kWh/m2)]]*PA[[#This Row],[DC Capacity Affected (kW)]]),"")</f>
        <v/>
      </c>
      <c r="AM338" s="33"/>
      <c r="AN338" s="33"/>
      <c r="AO338" s="33"/>
      <c r="AP338" s="33"/>
    </row>
    <row r="339" spans="1:42">
      <c r="A339" s="30">
        <f t="shared" si="2"/>
        <v>338</v>
      </c>
      <c r="B339" s="31"/>
      <c r="C339" s="212">
        <f>YEAR(PA[[#This Row],[Date]])+IF(MONTH(PA[[#This Row],[Date]])&gt;=4,1,0)</f>
        <v>1900</v>
      </c>
      <c r="D339" s="212">
        <f>YEAR(PA[[#This Row],[Date]])</f>
        <v>1900</v>
      </c>
      <c r="E339" s="37" t="s">
        <v>157</v>
      </c>
      <c r="F339" s="37" t="s">
        <v>157</v>
      </c>
      <c r="G339" s="214">
        <f>PA[[#This Row],[Date]]-DAY(PA[[#This Row],[Date]])+1</f>
        <v>1</v>
      </c>
      <c r="H339" s="32">
        <f>DAY(EOMONTH(PA[[#This Row],[Month Year]],0))</f>
        <v>31</v>
      </c>
      <c r="I339" s="34"/>
      <c r="J339" s="34"/>
      <c r="K339" s="35">
        <f>IFERROR((PA[[#This Row],[Sunset Time (POA&lt;20 W/m2)]]-PA[[#This Row],[Sunrise Time (POA&gt;20 W/m2)]])*24,"")</f>
        <v>0</v>
      </c>
      <c r="L339" s="33"/>
      <c r="M339" s="33"/>
      <c r="N339" s="33"/>
      <c r="O339" s="36"/>
      <c r="P339" s="36"/>
      <c r="Q339" s="33"/>
      <c r="R339" s="32">
        <f>IF((PA[[#This Row],[String Type(If String BD)]]&amp;PA[[#This Row],[Equipment (If any BD other than PV  array and inv)]])="",1,0)</f>
        <v>1</v>
      </c>
      <c r="S339" s="32">
        <f>IF(PA[[#This Row],[String Type(If String BD)]]="",1,0)</f>
        <v>1</v>
      </c>
      <c r="T3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39" s="35" t="str">
        <f>IFERROR(_xlfn.XLOOKUP(PA[[#This Row],[Affected Equipment ]],'Basic Data'!N:N,'Basic Data'!Q:Q),"")</f>
        <v/>
      </c>
      <c r="V339" s="207" t="str">
        <f>IFERROR(_xlfn.XLOOKUP(PA[[#This Row],[Affected Equipment ]],'Basic Data'!N:N,'Basic Data'!R:R),"")</f>
        <v/>
      </c>
      <c r="W339" s="36"/>
      <c r="X339" s="40"/>
      <c r="Y339" s="41"/>
      <c r="Z339" s="46"/>
      <c r="AA339" s="46"/>
      <c r="AB339" s="46"/>
      <c r="AC339" s="46"/>
      <c r="AD339" s="44">
        <f>IF(PA[[#This Row],[Acknowledgement Time ]]="NA","",(PA[[#This Row],[Acknowledgement Time ]]-PA[[#This Row],[Fault Time]])*24)</f>
        <v>0</v>
      </c>
      <c r="AE339" s="44">
        <f>IF(PA[[#This Row],[Work Start time on Fault]]="NA","",(PA[[#This Row],[Work Start time on Fault]]-PA[[#This Row],[Fault Time]])*24)</f>
        <v>0</v>
      </c>
      <c r="AF339" s="45">
        <f>IF(PA[[#This Row],[Status]]="Open","",(PA[[#This Row],[Work Completion time on fault]]-PA[[#This Row],[Fault Time]])*24)</f>
        <v>0</v>
      </c>
      <c r="AG339" s="44">
        <f>IFERROR((PA[[#This Row],[Work Completion time on fault]]-PA[[#This Row],[Fault Time]])*24,"")</f>
        <v>0</v>
      </c>
      <c r="AH339" s="36"/>
      <c r="AI339" s="33"/>
      <c r="AJ339" s="35" t="str">
        <f>IFERROR(PA[[#This Row],[Breakdown Time]]*PA[[#This Row],[Plant Equivalent Weightage]],"")</f>
        <v/>
      </c>
      <c r="AK339" s="36"/>
      <c r="AL339" s="51" t="str">
        <f>IFERROR((_xlfn.XLOOKUP($G339,'Modelling New'!D:D,'Modelling New'!$O:$O)*PA[[#This Row],[Lost PoA(kWh/m2)]]*PA[[#This Row],[DC Capacity Affected (kW)]]),"")</f>
        <v/>
      </c>
      <c r="AM339" s="33"/>
      <c r="AN339" s="33"/>
      <c r="AO339" s="33"/>
      <c r="AP339" s="33"/>
    </row>
    <row r="340" spans="1:42">
      <c r="A340" s="30">
        <f t="shared" si="2"/>
        <v>339</v>
      </c>
      <c r="B340" s="31"/>
      <c r="C340" s="212">
        <f>YEAR(PA[[#This Row],[Date]])+IF(MONTH(PA[[#This Row],[Date]])&gt;=4,1,0)</f>
        <v>1900</v>
      </c>
      <c r="D340" s="212">
        <f>YEAR(PA[[#This Row],[Date]])</f>
        <v>1900</v>
      </c>
      <c r="E340" s="37" t="s">
        <v>157</v>
      </c>
      <c r="F340" s="37" t="s">
        <v>157</v>
      </c>
      <c r="G340" s="214">
        <f>PA[[#This Row],[Date]]-DAY(PA[[#This Row],[Date]])+1</f>
        <v>1</v>
      </c>
      <c r="H340" s="32">
        <f>DAY(EOMONTH(PA[[#This Row],[Month Year]],0))</f>
        <v>31</v>
      </c>
      <c r="I340" s="34"/>
      <c r="J340" s="34"/>
      <c r="K340" s="35">
        <f>IFERROR((PA[[#This Row],[Sunset Time (POA&lt;20 W/m2)]]-PA[[#This Row],[Sunrise Time (POA&gt;20 W/m2)]])*24,"")</f>
        <v>0</v>
      </c>
      <c r="L340" s="33"/>
      <c r="M340" s="33"/>
      <c r="N340" s="33"/>
      <c r="O340" s="36"/>
      <c r="P340" s="36"/>
      <c r="Q340" s="33"/>
      <c r="R340" s="32">
        <f>IF((PA[[#This Row],[String Type(If String BD)]]&amp;PA[[#This Row],[Equipment (If any BD other than PV  array and inv)]])="",1,0)</f>
        <v>1</v>
      </c>
      <c r="S340" s="32">
        <f>IF(PA[[#This Row],[String Type(If String BD)]]="",1,0)</f>
        <v>1</v>
      </c>
      <c r="T3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0" s="35" t="str">
        <f>IFERROR(_xlfn.XLOOKUP(PA[[#This Row],[Affected Equipment ]],'Basic Data'!N:N,'Basic Data'!Q:Q),"")</f>
        <v/>
      </c>
      <c r="V340" s="207" t="str">
        <f>IFERROR(_xlfn.XLOOKUP(PA[[#This Row],[Affected Equipment ]],'Basic Data'!N:N,'Basic Data'!R:R),"")</f>
        <v/>
      </c>
      <c r="W340" s="36"/>
      <c r="X340" s="40"/>
      <c r="Y340" s="41"/>
      <c r="Z340" s="46"/>
      <c r="AA340" s="46"/>
      <c r="AB340" s="46"/>
      <c r="AC340" s="46"/>
      <c r="AD340" s="44">
        <f>IF(PA[[#This Row],[Acknowledgement Time ]]="NA","",(PA[[#This Row],[Acknowledgement Time ]]-PA[[#This Row],[Fault Time]])*24)</f>
        <v>0</v>
      </c>
      <c r="AE340" s="44">
        <f>IF(PA[[#This Row],[Work Start time on Fault]]="NA","",(PA[[#This Row],[Work Start time on Fault]]-PA[[#This Row],[Fault Time]])*24)</f>
        <v>0</v>
      </c>
      <c r="AF340" s="45">
        <f>IF(PA[[#This Row],[Status]]="Open","",(PA[[#This Row],[Work Completion time on fault]]-PA[[#This Row],[Fault Time]])*24)</f>
        <v>0</v>
      </c>
      <c r="AG340" s="44">
        <f>IFERROR((PA[[#This Row],[Work Completion time on fault]]-PA[[#This Row],[Fault Time]])*24,"")</f>
        <v>0</v>
      </c>
      <c r="AH340" s="36"/>
      <c r="AI340" s="33"/>
      <c r="AJ340" s="35" t="str">
        <f>IFERROR(PA[[#This Row],[Breakdown Time]]*PA[[#This Row],[Plant Equivalent Weightage]],"")</f>
        <v/>
      </c>
      <c r="AK340" s="36"/>
      <c r="AL340" s="51" t="str">
        <f>IFERROR((_xlfn.XLOOKUP($G340,'Modelling New'!D:D,'Modelling New'!$O:$O)*PA[[#This Row],[Lost PoA(kWh/m2)]]*PA[[#This Row],[DC Capacity Affected (kW)]]),"")</f>
        <v/>
      </c>
      <c r="AM340" s="33"/>
      <c r="AN340" s="33"/>
      <c r="AO340" s="33"/>
      <c r="AP340" s="33"/>
    </row>
    <row r="341" spans="1:42">
      <c r="A341" s="30">
        <f t="shared" ref="A341:A404" si="3">A340+1</f>
        <v>340</v>
      </c>
      <c r="B341" s="31"/>
      <c r="C341" s="212">
        <f>YEAR(PA[[#This Row],[Date]])+IF(MONTH(PA[[#This Row],[Date]])&gt;=4,1,0)</f>
        <v>1900</v>
      </c>
      <c r="D341" s="212">
        <f>YEAR(PA[[#This Row],[Date]])</f>
        <v>1900</v>
      </c>
      <c r="E341" s="37" t="s">
        <v>157</v>
      </c>
      <c r="F341" s="37" t="s">
        <v>157</v>
      </c>
      <c r="G341" s="214">
        <f>PA[[#This Row],[Date]]-DAY(PA[[#This Row],[Date]])+1</f>
        <v>1</v>
      </c>
      <c r="H341" s="32">
        <f>DAY(EOMONTH(PA[[#This Row],[Month Year]],0))</f>
        <v>31</v>
      </c>
      <c r="I341" s="34"/>
      <c r="J341" s="34"/>
      <c r="K341" s="35">
        <f>IFERROR((PA[[#This Row],[Sunset Time (POA&lt;20 W/m2)]]-PA[[#This Row],[Sunrise Time (POA&gt;20 W/m2)]])*24,"")</f>
        <v>0</v>
      </c>
      <c r="L341" s="33"/>
      <c r="M341" s="33"/>
      <c r="N341" s="33"/>
      <c r="O341" s="36"/>
      <c r="P341" s="36"/>
      <c r="Q341" s="33"/>
      <c r="R341" s="32">
        <f>IF((PA[[#This Row],[String Type(If String BD)]]&amp;PA[[#This Row],[Equipment (If any BD other than PV  array and inv)]])="",1,0)</f>
        <v>1</v>
      </c>
      <c r="S341" s="32">
        <f>IF(PA[[#This Row],[String Type(If String BD)]]="",1,0)</f>
        <v>1</v>
      </c>
      <c r="T34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1" s="35" t="str">
        <f>IFERROR(_xlfn.XLOOKUP(PA[[#This Row],[Affected Equipment ]],'Basic Data'!N:N,'Basic Data'!Q:Q),"")</f>
        <v/>
      </c>
      <c r="V341" s="207" t="str">
        <f>IFERROR(_xlfn.XLOOKUP(PA[[#This Row],[Affected Equipment ]],'Basic Data'!N:N,'Basic Data'!R:R),"")</f>
        <v/>
      </c>
      <c r="W341" s="36"/>
      <c r="X341" s="40"/>
      <c r="Y341" s="41"/>
      <c r="Z341" s="46"/>
      <c r="AA341" s="46"/>
      <c r="AB341" s="46"/>
      <c r="AC341" s="46"/>
      <c r="AD341" s="44">
        <f>IF(PA[[#This Row],[Acknowledgement Time ]]="NA","",(PA[[#This Row],[Acknowledgement Time ]]-PA[[#This Row],[Fault Time]])*24)</f>
        <v>0</v>
      </c>
      <c r="AE341" s="44">
        <f>IF(PA[[#This Row],[Work Start time on Fault]]="NA","",(PA[[#This Row],[Work Start time on Fault]]-PA[[#This Row],[Fault Time]])*24)</f>
        <v>0</v>
      </c>
      <c r="AF341" s="45">
        <f>IF(PA[[#This Row],[Status]]="Open","",(PA[[#This Row],[Work Completion time on fault]]-PA[[#This Row],[Fault Time]])*24)</f>
        <v>0</v>
      </c>
      <c r="AG341" s="44">
        <f>IFERROR((PA[[#This Row],[Work Completion time on fault]]-PA[[#This Row],[Fault Time]])*24,"")</f>
        <v>0</v>
      </c>
      <c r="AH341" s="36"/>
      <c r="AI341" s="33"/>
      <c r="AJ341" s="35" t="str">
        <f>IFERROR(PA[[#This Row],[Breakdown Time]]*PA[[#This Row],[Plant Equivalent Weightage]],"")</f>
        <v/>
      </c>
      <c r="AK341" s="36"/>
      <c r="AL341" s="51" t="str">
        <f>IFERROR((_xlfn.XLOOKUP($G341,'Modelling New'!D:D,'Modelling New'!$O:$O)*PA[[#This Row],[Lost PoA(kWh/m2)]]*PA[[#This Row],[DC Capacity Affected (kW)]]),"")</f>
        <v/>
      </c>
      <c r="AM341" s="33"/>
      <c r="AN341" s="33"/>
      <c r="AO341" s="33"/>
      <c r="AP341" s="33"/>
    </row>
    <row r="342" spans="1:42">
      <c r="A342" s="30">
        <f t="shared" si="3"/>
        <v>341</v>
      </c>
      <c r="B342" s="31"/>
      <c r="C342" s="212">
        <f>YEAR(PA[[#This Row],[Date]])+IF(MONTH(PA[[#This Row],[Date]])&gt;=4,1,0)</f>
        <v>1900</v>
      </c>
      <c r="D342" s="212">
        <f>YEAR(PA[[#This Row],[Date]])</f>
        <v>1900</v>
      </c>
      <c r="E342" s="37" t="s">
        <v>157</v>
      </c>
      <c r="F342" s="37" t="s">
        <v>157</v>
      </c>
      <c r="G342" s="214">
        <f>PA[[#This Row],[Date]]-DAY(PA[[#This Row],[Date]])+1</f>
        <v>1</v>
      </c>
      <c r="H342" s="32">
        <f>DAY(EOMONTH(PA[[#This Row],[Month Year]],0))</f>
        <v>31</v>
      </c>
      <c r="I342" s="34"/>
      <c r="J342" s="34"/>
      <c r="K342" s="35">
        <f>IFERROR((PA[[#This Row],[Sunset Time (POA&lt;20 W/m2)]]-PA[[#This Row],[Sunrise Time (POA&gt;20 W/m2)]])*24,"")</f>
        <v>0</v>
      </c>
      <c r="L342" s="33"/>
      <c r="M342" s="33"/>
      <c r="N342" s="33"/>
      <c r="O342" s="36"/>
      <c r="P342" s="36"/>
      <c r="Q342" s="33"/>
      <c r="R342" s="32">
        <f>IF((PA[[#This Row],[String Type(If String BD)]]&amp;PA[[#This Row],[Equipment (If any BD other than PV  array and inv)]])="",1,0)</f>
        <v>1</v>
      </c>
      <c r="S342" s="32">
        <f>IF(PA[[#This Row],[String Type(If String BD)]]="",1,0)</f>
        <v>1</v>
      </c>
      <c r="T34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2" s="35" t="str">
        <f>IFERROR(_xlfn.XLOOKUP(PA[[#This Row],[Affected Equipment ]],'Basic Data'!N:N,'Basic Data'!Q:Q),"")</f>
        <v/>
      </c>
      <c r="V342" s="207" t="str">
        <f>IFERROR(_xlfn.XLOOKUP(PA[[#This Row],[Affected Equipment ]],'Basic Data'!N:N,'Basic Data'!R:R),"")</f>
        <v/>
      </c>
      <c r="W342" s="36"/>
      <c r="X342" s="40"/>
      <c r="Y342" s="41"/>
      <c r="Z342" s="46"/>
      <c r="AA342" s="46"/>
      <c r="AB342" s="46"/>
      <c r="AC342" s="46"/>
      <c r="AD342" s="44">
        <f>IF(PA[[#This Row],[Acknowledgement Time ]]="NA","",(PA[[#This Row],[Acknowledgement Time ]]-PA[[#This Row],[Fault Time]])*24)</f>
        <v>0</v>
      </c>
      <c r="AE342" s="44">
        <f>IF(PA[[#This Row],[Work Start time on Fault]]="NA","",(PA[[#This Row],[Work Start time on Fault]]-PA[[#This Row],[Fault Time]])*24)</f>
        <v>0</v>
      </c>
      <c r="AF342" s="45">
        <f>IF(PA[[#This Row],[Status]]="Open","",(PA[[#This Row],[Work Completion time on fault]]-PA[[#This Row],[Fault Time]])*24)</f>
        <v>0</v>
      </c>
      <c r="AG342" s="44">
        <f>IFERROR((PA[[#This Row],[Work Completion time on fault]]-PA[[#This Row],[Fault Time]])*24,"")</f>
        <v>0</v>
      </c>
      <c r="AH342" s="36"/>
      <c r="AI342" s="33"/>
      <c r="AJ342" s="35" t="str">
        <f>IFERROR(PA[[#This Row],[Breakdown Time]]*PA[[#This Row],[Plant Equivalent Weightage]],"")</f>
        <v/>
      </c>
      <c r="AK342" s="36"/>
      <c r="AL342" s="51" t="str">
        <f>IFERROR((_xlfn.XLOOKUP($G342,'Modelling New'!D:D,'Modelling New'!$O:$O)*PA[[#This Row],[Lost PoA(kWh/m2)]]*PA[[#This Row],[DC Capacity Affected (kW)]]),"")</f>
        <v/>
      </c>
      <c r="AM342" s="33"/>
      <c r="AN342" s="33"/>
      <c r="AO342" s="33"/>
      <c r="AP342" s="33"/>
    </row>
    <row r="343" spans="1:42">
      <c r="A343" s="30">
        <f t="shared" si="3"/>
        <v>342</v>
      </c>
      <c r="B343" s="31"/>
      <c r="C343" s="212">
        <f>YEAR(PA[[#This Row],[Date]])+IF(MONTH(PA[[#This Row],[Date]])&gt;=4,1,0)</f>
        <v>1900</v>
      </c>
      <c r="D343" s="212">
        <f>YEAR(PA[[#This Row],[Date]])</f>
        <v>1900</v>
      </c>
      <c r="E343" s="37" t="s">
        <v>157</v>
      </c>
      <c r="F343" s="37" t="s">
        <v>157</v>
      </c>
      <c r="G343" s="214">
        <f>PA[[#This Row],[Date]]-DAY(PA[[#This Row],[Date]])+1</f>
        <v>1</v>
      </c>
      <c r="H343" s="32">
        <f>DAY(EOMONTH(PA[[#This Row],[Month Year]],0))</f>
        <v>31</v>
      </c>
      <c r="I343" s="34"/>
      <c r="J343" s="34"/>
      <c r="K343" s="35">
        <f>IFERROR((PA[[#This Row],[Sunset Time (POA&lt;20 W/m2)]]-PA[[#This Row],[Sunrise Time (POA&gt;20 W/m2)]])*24,"")</f>
        <v>0</v>
      </c>
      <c r="L343" s="33"/>
      <c r="M343" s="33"/>
      <c r="N343" s="33"/>
      <c r="O343" s="36"/>
      <c r="P343" s="36"/>
      <c r="Q343" s="33"/>
      <c r="R343" s="32">
        <f>IF((PA[[#This Row],[String Type(If String BD)]]&amp;PA[[#This Row],[Equipment (If any BD other than PV  array and inv)]])="",1,0)</f>
        <v>1</v>
      </c>
      <c r="S343" s="32">
        <f>IF(PA[[#This Row],[String Type(If String BD)]]="",1,0)</f>
        <v>1</v>
      </c>
      <c r="T3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3" s="35" t="str">
        <f>IFERROR(_xlfn.XLOOKUP(PA[[#This Row],[Affected Equipment ]],'Basic Data'!N:N,'Basic Data'!Q:Q),"")</f>
        <v/>
      </c>
      <c r="V343" s="207" t="str">
        <f>IFERROR(_xlfn.XLOOKUP(PA[[#This Row],[Affected Equipment ]],'Basic Data'!N:N,'Basic Data'!R:R),"")</f>
        <v/>
      </c>
      <c r="W343" s="36"/>
      <c r="X343" s="40"/>
      <c r="Y343" s="41"/>
      <c r="Z343" s="46"/>
      <c r="AA343" s="46"/>
      <c r="AB343" s="46"/>
      <c r="AC343" s="46"/>
      <c r="AD343" s="44">
        <f>IF(PA[[#This Row],[Acknowledgement Time ]]="NA","",(PA[[#This Row],[Acknowledgement Time ]]-PA[[#This Row],[Fault Time]])*24)</f>
        <v>0</v>
      </c>
      <c r="AE343" s="44">
        <f>IF(PA[[#This Row],[Work Start time on Fault]]="NA","",(PA[[#This Row],[Work Start time on Fault]]-PA[[#This Row],[Fault Time]])*24)</f>
        <v>0</v>
      </c>
      <c r="AF343" s="45">
        <f>IF(PA[[#This Row],[Status]]="Open","",(PA[[#This Row],[Work Completion time on fault]]-PA[[#This Row],[Fault Time]])*24)</f>
        <v>0</v>
      </c>
      <c r="AG343" s="44">
        <f>IFERROR((PA[[#This Row],[Work Completion time on fault]]-PA[[#This Row],[Fault Time]])*24,"")</f>
        <v>0</v>
      </c>
      <c r="AH343" s="36"/>
      <c r="AI343" s="33"/>
      <c r="AJ343" s="35" t="str">
        <f>IFERROR(PA[[#This Row],[Breakdown Time]]*PA[[#This Row],[Plant Equivalent Weightage]],"")</f>
        <v/>
      </c>
      <c r="AK343" s="36"/>
      <c r="AL343" s="51" t="str">
        <f>IFERROR((_xlfn.XLOOKUP($G343,'Modelling New'!D:D,'Modelling New'!$O:$O)*PA[[#This Row],[Lost PoA(kWh/m2)]]*PA[[#This Row],[DC Capacity Affected (kW)]]),"")</f>
        <v/>
      </c>
      <c r="AM343" s="33"/>
      <c r="AN343" s="33"/>
      <c r="AO343" s="33"/>
      <c r="AP343" s="33"/>
    </row>
    <row r="344" spans="1:42">
      <c r="A344" s="30">
        <f t="shared" si="3"/>
        <v>343</v>
      </c>
      <c r="B344" s="31"/>
      <c r="C344" s="212">
        <f>YEAR(PA[[#This Row],[Date]])+IF(MONTH(PA[[#This Row],[Date]])&gt;=4,1,0)</f>
        <v>1900</v>
      </c>
      <c r="D344" s="212">
        <f>YEAR(PA[[#This Row],[Date]])</f>
        <v>1900</v>
      </c>
      <c r="E344" s="37" t="s">
        <v>157</v>
      </c>
      <c r="F344" s="37" t="s">
        <v>157</v>
      </c>
      <c r="G344" s="214">
        <f>PA[[#This Row],[Date]]-DAY(PA[[#This Row],[Date]])+1</f>
        <v>1</v>
      </c>
      <c r="H344" s="32">
        <f>DAY(EOMONTH(PA[[#This Row],[Month Year]],0))</f>
        <v>31</v>
      </c>
      <c r="I344" s="34"/>
      <c r="J344" s="34"/>
      <c r="K344" s="35">
        <f>IFERROR((PA[[#This Row],[Sunset Time (POA&lt;20 W/m2)]]-PA[[#This Row],[Sunrise Time (POA&gt;20 W/m2)]])*24,"")</f>
        <v>0</v>
      </c>
      <c r="L344" s="33"/>
      <c r="M344" s="33"/>
      <c r="N344" s="33"/>
      <c r="O344" s="36"/>
      <c r="P344" s="36"/>
      <c r="Q344" s="33"/>
      <c r="R344" s="32">
        <f>IF((PA[[#This Row],[String Type(If String BD)]]&amp;PA[[#This Row],[Equipment (If any BD other than PV  array and inv)]])="",1,0)</f>
        <v>1</v>
      </c>
      <c r="S344" s="32">
        <f>IF(PA[[#This Row],[String Type(If String BD)]]="",1,0)</f>
        <v>1</v>
      </c>
      <c r="T3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4" s="35" t="str">
        <f>IFERROR(_xlfn.XLOOKUP(PA[[#This Row],[Affected Equipment ]],'Basic Data'!N:N,'Basic Data'!Q:Q),"")</f>
        <v/>
      </c>
      <c r="V344" s="207" t="str">
        <f>IFERROR(_xlfn.XLOOKUP(PA[[#This Row],[Affected Equipment ]],'Basic Data'!N:N,'Basic Data'!R:R),"")</f>
        <v/>
      </c>
      <c r="W344" s="36"/>
      <c r="X344" s="40"/>
      <c r="Y344" s="41"/>
      <c r="Z344" s="46"/>
      <c r="AA344" s="46"/>
      <c r="AB344" s="46"/>
      <c r="AC344" s="46"/>
      <c r="AD344" s="44">
        <f>IF(PA[[#This Row],[Acknowledgement Time ]]="NA","",(PA[[#This Row],[Acknowledgement Time ]]-PA[[#This Row],[Fault Time]])*24)</f>
        <v>0</v>
      </c>
      <c r="AE344" s="44">
        <f>IF(PA[[#This Row],[Work Start time on Fault]]="NA","",(PA[[#This Row],[Work Start time on Fault]]-PA[[#This Row],[Fault Time]])*24)</f>
        <v>0</v>
      </c>
      <c r="AF344" s="45">
        <f>IF(PA[[#This Row],[Status]]="Open","",(PA[[#This Row],[Work Completion time on fault]]-PA[[#This Row],[Fault Time]])*24)</f>
        <v>0</v>
      </c>
      <c r="AG344" s="44">
        <f>IFERROR((PA[[#This Row],[Work Completion time on fault]]-PA[[#This Row],[Fault Time]])*24,"")</f>
        <v>0</v>
      </c>
      <c r="AH344" s="36"/>
      <c r="AI344" s="33"/>
      <c r="AJ344" s="35" t="str">
        <f>IFERROR(PA[[#This Row],[Breakdown Time]]*PA[[#This Row],[Plant Equivalent Weightage]],"")</f>
        <v/>
      </c>
      <c r="AK344" s="36"/>
      <c r="AL344" s="51" t="str">
        <f>IFERROR((_xlfn.XLOOKUP($G344,'Modelling New'!D:D,'Modelling New'!$O:$O)*PA[[#This Row],[Lost PoA(kWh/m2)]]*PA[[#This Row],[DC Capacity Affected (kW)]]),"")</f>
        <v/>
      </c>
      <c r="AM344" s="33"/>
      <c r="AN344" s="33"/>
      <c r="AO344" s="33"/>
      <c r="AP344" s="33"/>
    </row>
    <row r="345" spans="1:42">
      <c r="A345" s="30">
        <f t="shared" si="3"/>
        <v>344</v>
      </c>
      <c r="B345" s="31"/>
      <c r="C345" s="211">
        <f>YEAR(PA[[#This Row],[Date]])+IF(MONTH(PA[[#This Row],[Date]])&gt;=4,1,0)</f>
        <v>1900</v>
      </c>
      <c r="D345" s="211">
        <f>YEAR(PA[[#This Row],[Date]])</f>
        <v>1900</v>
      </c>
      <c r="E345" s="37" t="s">
        <v>157</v>
      </c>
      <c r="F345" s="37" t="s">
        <v>157</v>
      </c>
      <c r="G345" s="214">
        <f>PA[[#This Row],[Date]]-DAY(PA[[#This Row],[Date]])+1</f>
        <v>1</v>
      </c>
      <c r="H345" s="202">
        <f>DAY(EOMONTH(PA[[#This Row],[Month Year]],0))</f>
        <v>31</v>
      </c>
      <c r="I345" s="34"/>
      <c r="J345" s="34"/>
      <c r="K345" s="35">
        <f>IFERROR((PA[[#This Row],[Sunset Time (POA&lt;20 W/m2)]]-PA[[#This Row],[Sunrise Time (POA&gt;20 W/m2)]])*24,"")</f>
        <v>0</v>
      </c>
      <c r="L345" s="33"/>
      <c r="M345" s="33"/>
      <c r="N345" s="33"/>
      <c r="O345" s="38"/>
      <c r="P345" s="38"/>
      <c r="Q345" s="37"/>
      <c r="R345" s="202">
        <f>IF((PA[[#This Row],[String Type(If String BD)]]&amp;PA[[#This Row],[Equipment (If any BD other than PV  array and inv)]])="",1,0)</f>
        <v>1</v>
      </c>
      <c r="S345" s="202">
        <f>IF(PA[[#This Row],[String Type(If String BD)]]="",1,0)</f>
        <v>1</v>
      </c>
      <c r="T34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5" s="204" t="str">
        <f>IFERROR(_xlfn.XLOOKUP(PA[[#This Row],[Affected Equipment ]],'Basic Data'!N:N,'Basic Data'!Q:Q),"")</f>
        <v/>
      </c>
      <c r="V345" s="208" t="str">
        <f>IFERROR(_xlfn.XLOOKUP(PA[[#This Row],[Affected Equipment ]],'Basic Data'!N:N,'Basic Data'!R:R),"")</f>
        <v/>
      </c>
      <c r="W345" s="38"/>
      <c r="X345" s="41"/>
      <c r="Y345" s="41"/>
      <c r="Z345" s="46"/>
      <c r="AA345" s="46"/>
      <c r="AB345" s="46"/>
      <c r="AC345" s="47"/>
      <c r="AD345" s="205">
        <f>IF(PA[[#This Row],[Acknowledgement Time ]]="NA","",(PA[[#This Row],[Acknowledgement Time ]]-PA[[#This Row],[Fault Time]])*24)</f>
        <v>0</v>
      </c>
      <c r="AE345" s="205">
        <f>IF(PA[[#This Row],[Work Start time on Fault]]="NA","",(PA[[#This Row],[Work Start time on Fault]]-PA[[#This Row],[Fault Time]])*24)</f>
        <v>0</v>
      </c>
      <c r="AF345" s="206">
        <f>IF(PA[[#This Row],[Status]]="Open","",(PA[[#This Row],[Work Completion time on fault]]-PA[[#This Row],[Fault Time]])*24)</f>
        <v>0</v>
      </c>
      <c r="AG345" s="205">
        <f>IFERROR((PA[[#This Row],[Work Completion time on fault]]-PA[[#This Row],[Fault Time]])*24,"")</f>
        <v>0</v>
      </c>
      <c r="AH345" s="36"/>
      <c r="AI345" s="33"/>
      <c r="AJ345" s="204" t="str">
        <f>IFERROR(PA[[#This Row],[Breakdown Time]]*PA[[#This Row],[Plant Equivalent Weightage]],"")</f>
        <v/>
      </c>
      <c r="AK345" s="36"/>
      <c r="AL345" s="51" t="str">
        <f>IFERROR((_xlfn.XLOOKUP($G345,'Modelling New'!D:D,'Modelling New'!$O:$O)*PA[[#This Row],[Lost PoA(kWh/m2)]]*PA[[#This Row],[DC Capacity Affected (kW)]]),"")</f>
        <v/>
      </c>
      <c r="AM345" s="33"/>
      <c r="AN345" s="33"/>
      <c r="AO345" s="33"/>
      <c r="AP345" s="33"/>
    </row>
    <row r="346" spans="1:42">
      <c r="A346" s="30">
        <f t="shared" si="3"/>
        <v>345</v>
      </c>
      <c r="B346" s="31"/>
      <c r="C346" s="212">
        <f>YEAR(PA[[#This Row],[Date]])+IF(MONTH(PA[[#This Row],[Date]])&gt;=4,1,0)</f>
        <v>1900</v>
      </c>
      <c r="D346" s="212">
        <f>YEAR(PA[[#This Row],[Date]])</f>
        <v>1900</v>
      </c>
      <c r="E346" s="37" t="s">
        <v>157</v>
      </c>
      <c r="F346" s="37" t="s">
        <v>157</v>
      </c>
      <c r="G346" s="214">
        <f>PA[[#This Row],[Date]]-DAY(PA[[#This Row],[Date]])+1</f>
        <v>1</v>
      </c>
      <c r="H346" s="32">
        <f>DAY(EOMONTH(PA[[#This Row],[Month Year]],0))</f>
        <v>31</v>
      </c>
      <c r="I346" s="34"/>
      <c r="J346" s="34"/>
      <c r="K346" s="35">
        <f>IFERROR((PA[[#This Row],[Sunset Time (POA&lt;20 W/m2)]]-PA[[#This Row],[Sunrise Time (POA&gt;20 W/m2)]])*24,"")</f>
        <v>0</v>
      </c>
      <c r="L346" s="33"/>
      <c r="M346" s="33"/>
      <c r="N346" s="33"/>
      <c r="O346" s="36"/>
      <c r="P346" s="36"/>
      <c r="Q346" s="33"/>
      <c r="R346" s="32">
        <f>IF((PA[[#This Row],[String Type(If String BD)]]&amp;PA[[#This Row],[Equipment (If any BD other than PV  array and inv)]])="",1,0)</f>
        <v>1</v>
      </c>
      <c r="S346" s="32">
        <f>IF(PA[[#This Row],[String Type(If String BD)]]="",1,0)</f>
        <v>1</v>
      </c>
      <c r="T34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6" s="35" t="str">
        <f>IFERROR(_xlfn.XLOOKUP(PA[[#This Row],[Affected Equipment ]],'Basic Data'!N:N,'Basic Data'!Q:Q),"")</f>
        <v/>
      </c>
      <c r="V346" s="207" t="str">
        <f>IFERROR(_xlfn.XLOOKUP(PA[[#This Row],[Affected Equipment ]],'Basic Data'!N:N,'Basic Data'!R:R),"")</f>
        <v/>
      </c>
      <c r="W346" s="36"/>
      <c r="X346" s="40"/>
      <c r="Y346" s="41"/>
      <c r="Z346" s="46"/>
      <c r="AA346" s="46"/>
      <c r="AB346" s="46"/>
      <c r="AC346" s="47"/>
      <c r="AD346" s="44">
        <f>IF(PA[[#This Row],[Acknowledgement Time ]]="NA","",(PA[[#This Row],[Acknowledgement Time ]]-PA[[#This Row],[Fault Time]])*24)</f>
        <v>0</v>
      </c>
      <c r="AE346" s="44">
        <f>IF(PA[[#This Row],[Work Start time on Fault]]="NA","",(PA[[#This Row],[Work Start time on Fault]]-PA[[#This Row],[Fault Time]])*24)</f>
        <v>0</v>
      </c>
      <c r="AF346" s="45">
        <f>IF(PA[[#This Row],[Status]]="Open","",(PA[[#This Row],[Work Completion time on fault]]-PA[[#This Row],[Fault Time]])*24)</f>
        <v>0</v>
      </c>
      <c r="AG346" s="44">
        <f>IFERROR((PA[[#This Row],[Work Completion time on fault]]-PA[[#This Row],[Fault Time]])*24,"")</f>
        <v>0</v>
      </c>
      <c r="AH346" s="36"/>
      <c r="AI346" s="33"/>
      <c r="AJ346" s="35" t="str">
        <f>IFERROR(PA[[#This Row],[Breakdown Time]]*PA[[#This Row],[Plant Equivalent Weightage]],"")</f>
        <v/>
      </c>
      <c r="AK346" s="36"/>
      <c r="AL346" s="51" t="str">
        <f>IFERROR((_xlfn.XLOOKUP($G346,'Modelling New'!D:D,'Modelling New'!$O:$O)*PA[[#This Row],[Lost PoA(kWh/m2)]]*PA[[#This Row],[DC Capacity Affected (kW)]]),"")</f>
        <v/>
      </c>
      <c r="AM346" s="33"/>
      <c r="AN346" s="33"/>
      <c r="AO346" s="33"/>
      <c r="AP346" s="33"/>
    </row>
    <row r="347" spans="1:42">
      <c r="A347" s="30">
        <f t="shared" si="3"/>
        <v>346</v>
      </c>
      <c r="B347" s="31"/>
      <c r="C347" s="211">
        <f>YEAR(PA[[#This Row],[Date]])+IF(MONTH(PA[[#This Row],[Date]])&gt;=4,1,0)</f>
        <v>1900</v>
      </c>
      <c r="D347" s="211">
        <f>YEAR(PA[[#This Row],[Date]])</f>
        <v>1900</v>
      </c>
      <c r="E347" s="37" t="s">
        <v>157</v>
      </c>
      <c r="F347" s="37" t="s">
        <v>157</v>
      </c>
      <c r="G347" s="214">
        <f>PA[[#This Row],[Date]]-DAY(PA[[#This Row],[Date]])+1</f>
        <v>1</v>
      </c>
      <c r="H347" s="202">
        <f>DAY(EOMONTH(PA[[#This Row],[Month Year]],0))</f>
        <v>31</v>
      </c>
      <c r="I347" s="34"/>
      <c r="J347" s="34"/>
      <c r="K347" s="35">
        <f>IFERROR((PA[[#This Row],[Sunset Time (POA&lt;20 W/m2)]]-PA[[#This Row],[Sunrise Time (POA&gt;20 W/m2)]])*24,"")</f>
        <v>0</v>
      </c>
      <c r="L347" s="37"/>
      <c r="M347" s="37"/>
      <c r="N347" s="37"/>
      <c r="O347" s="38"/>
      <c r="P347" s="38"/>
      <c r="Q347" s="37"/>
      <c r="R347" s="202">
        <f>IF((PA[[#This Row],[String Type(If String BD)]]&amp;PA[[#This Row],[Equipment (If any BD other than PV  array and inv)]])="",1,0)</f>
        <v>1</v>
      </c>
      <c r="S347" s="202">
        <f>IF(PA[[#This Row],[String Type(If String BD)]]="",1,0)</f>
        <v>1</v>
      </c>
      <c r="T34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7" s="204" t="str">
        <f>IFERROR(_xlfn.XLOOKUP(PA[[#This Row],[Affected Equipment ]],'Basic Data'!N:N,'Basic Data'!Q:Q),"")</f>
        <v/>
      </c>
      <c r="V347" s="208" t="str">
        <f>IFERROR(_xlfn.XLOOKUP(PA[[#This Row],[Affected Equipment ]],'Basic Data'!N:N,'Basic Data'!R:R),"")</f>
        <v/>
      </c>
      <c r="W347" s="38"/>
      <c r="X347" s="41"/>
      <c r="Y347" s="41"/>
      <c r="Z347" s="47"/>
      <c r="AA347" s="47"/>
      <c r="AB347" s="47"/>
      <c r="AC347" s="47"/>
      <c r="AD347" s="205">
        <f>IF(PA[[#This Row],[Acknowledgement Time ]]="NA","",(PA[[#This Row],[Acknowledgement Time ]]-PA[[#This Row],[Fault Time]])*24)</f>
        <v>0</v>
      </c>
      <c r="AE347" s="205">
        <f>IF(PA[[#This Row],[Work Start time on Fault]]="NA","",(PA[[#This Row],[Work Start time on Fault]]-PA[[#This Row],[Fault Time]])*24)</f>
        <v>0</v>
      </c>
      <c r="AF347" s="206">
        <f>IF(PA[[#This Row],[Status]]="Open","",(PA[[#This Row],[Work Completion time on fault]]-PA[[#This Row],[Fault Time]])*24)</f>
        <v>0</v>
      </c>
      <c r="AG347" s="205">
        <f>IFERROR((PA[[#This Row],[Work Completion time on fault]]-PA[[#This Row],[Fault Time]])*24,"")</f>
        <v>0</v>
      </c>
      <c r="AH347" s="36"/>
      <c r="AI347" s="33"/>
      <c r="AJ347" s="204" t="str">
        <f>IFERROR(PA[[#This Row],[Breakdown Time]]*PA[[#This Row],[Plant Equivalent Weightage]],"")</f>
        <v/>
      </c>
      <c r="AK347" s="38"/>
      <c r="AL347" s="51" t="str">
        <f>IFERROR((_xlfn.XLOOKUP($G347,'Modelling New'!D:D,'Modelling New'!$O:$O)*PA[[#This Row],[Lost PoA(kWh/m2)]]*PA[[#This Row],[DC Capacity Affected (kW)]]),"")</f>
        <v/>
      </c>
      <c r="AM347" s="33"/>
      <c r="AN347" s="33"/>
      <c r="AO347" s="33"/>
      <c r="AP347" s="33"/>
    </row>
    <row r="348" spans="1:42">
      <c r="A348" s="30">
        <f t="shared" si="3"/>
        <v>347</v>
      </c>
      <c r="B348" s="31"/>
      <c r="C348" s="211">
        <f>YEAR(PA[[#This Row],[Date]])+IF(MONTH(PA[[#This Row],[Date]])&gt;=4,1,0)</f>
        <v>1900</v>
      </c>
      <c r="D348" s="211">
        <f>YEAR(PA[[#This Row],[Date]])</f>
        <v>1900</v>
      </c>
      <c r="E348" s="37" t="s">
        <v>157</v>
      </c>
      <c r="F348" s="37" t="s">
        <v>157</v>
      </c>
      <c r="G348" s="214">
        <f>PA[[#This Row],[Date]]-DAY(PA[[#This Row],[Date]])+1</f>
        <v>1</v>
      </c>
      <c r="H348" s="202">
        <f>DAY(EOMONTH(PA[[#This Row],[Month Year]],0))</f>
        <v>31</v>
      </c>
      <c r="I348" s="34"/>
      <c r="J348" s="34"/>
      <c r="K348" s="35">
        <f>IFERROR((PA[[#This Row],[Sunset Time (POA&lt;20 W/m2)]]-PA[[#This Row],[Sunrise Time (POA&gt;20 W/m2)]])*24,"")</f>
        <v>0</v>
      </c>
      <c r="L348" s="37"/>
      <c r="M348" s="37"/>
      <c r="N348" s="37"/>
      <c r="O348" s="38"/>
      <c r="P348" s="38"/>
      <c r="Q348" s="37"/>
      <c r="R348" s="202">
        <f>IF((PA[[#This Row],[String Type(If String BD)]]&amp;PA[[#This Row],[Equipment (If any BD other than PV  array and inv)]])="",1,0)</f>
        <v>1</v>
      </c>
      <c r="S348" s="202">
        <f>IF(PA[[#This Row],[String Type(If String BD)]]="",1,0)</f>
        <v>1</v>
      </c>
      <c r="T3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8" s="204" t="str">
        <f>IFERROR(_xlfn.XLOOKUP(PA[[#This Row],[Affected Equipment ]],'Basic Data'!N:N,'Basic Data'!Q:Q),"")</f>
        <v/>
      </c>
      <c r="V348" s="208" t="str">
        <f>IFERROR(_xlfn.XLOOKUP(PA[[#This Row],[Affected Equipment ]],'Basic Data'!N:N,'Basic Data'!R:R),"")</f>
        <v/>
      </c>
      <c r="W348" s="38"/>
      <c r="X348" s="41"/>
      <c r="Y348" s="286"/>
      <c r="Z348" s="47"/>
      <c r="AA348" s="47"/>
      <c r="AB348" s="47"/>
      <c r="AC348" s="47"/>
      <c r="AD348" s="205">
        <f>IF(PA[[#This Row],[Acknowledgement Time ]]="NA","",(PA[[#This Row],[Acknowledgement Time ]]-PA[[#This Row],[Fault Time]])*24)</f>
        <v>0</v>
      </c>
      <c r="AE348" s="205">
        <f>IF(PA[[#This Row],[Work Start time on Fault]]="NA","",(PA[[#This Row],[Work Start time on Fault]]-PA[[#This Row],[Fault Time]])*24)</f>
        <v>0</v>
      </c>
      <c r="AF348" s="206">
        <f>IF(PA[[#This Row],[Status]]="Open","",(PA[[#This Row],[Work Completion time on fault]]-PA[[#This Row],[Fault Time]])*24)</f>
        <v>0</v>
      </c>
      <c r="AG348" s="205">
        <f>IFERROR((PA[[#This Row],[Work Completion time on fault]]-PA[[#This Row],[Fault Time]])*24,"")</f>
        <v>0</v>
      </c>
      <c r="AH348" s="286"/>
      <c r="AI348" s="33"/>
      <c r="AJ348" s="204" t="str">
        <f>IFERROR(PA[[#This Row],[Breakdown Time]]*PA[[#This Row],[Plant Equivalent Weightage]],"")</f>
        <v/>
      </c>
      <c r="AK348" s="38"/>
      <c r="AL348" s="51" t="str">
        <f>IFERROR((_xlfn.XLOOKUP($G348,'Modelling New'!D:D,'Modelling New'!$O:$O)*PA[[#This Row],[Lost PoA(kWh/m2)]]*PA[[#This Row],[DC Capacity Affected (kW)]]),"")</f>
        <v/>
      </c>
      <c r="AM348" s="33"/>
      <c r="AN348" s="33"/>
      <c r="AO348" s="33"/>
      <c r="AP348" s="33"/>
    </row>
    <row r="349" spans="1:42">
      <c r="A349" s="30">
        <f t="shared" si="3"/>
        <v>348</v>
      </c>
      <c r="B349" s="31"/>
      <c r="C349" s="212">
        <f>YEAR(PA[[#This Row],[Date]])+IF(MONTH(PA[[#This Row],[Date]])&gt;=4,1,0)</f>
        <v>1900</v>
      </c>
      <c r="D349" s="212">
        <f>YEAR(PA[[#This Row],[Date]])</f>
        <v>1900</v>
      </c>
      <c r="E349" s="37" t="s">
        <v>157</v>
      </c>
      <c r="F349" s="37" t="s">
        <v>157</v>
      </c>
      <c r="G349" s="214">
        <f>PA[[#This Row],[Date]]-DAY(PA[[#This Row],[Date]])+1</f>
        <v>1</v>
      </c>
      <c r="H349" s="32">
        <f>DAY(EOMONTH(PA[[#This Row],[Month Year]],0))</f>
        <v>31</v>
      </c>
      <c r="I349" s="34"/>
      <c r="J349" s="34"/>
      <c r="K349" s="35">
        <f>IFERROR((PA[[#This Row],[Sunset Time (POA&lt;20 W/m2)]]-PA[[#This Row],[Sunrise Time (POA&gt;20 W/m2)]])*24,"")</f>
        <v>0</v>
      </c>
      <c r="L349" s="37"/>
      <c r="M349" s="37"/>
      <c r="N349" s="37"/>
      <c r="O349" s="36"/>
      <c r="P349" s="36"/>
      <c r="Q349" s="33"/>
      <c r="R349" s="32">
        <f>IF((PA[[#This Row],[String Type(If String BD)]]&amp;PA[[#This Row],[Equipment (If any BD other than PV  array and inv)]])="",1,0)</f>
        <v>1</v>
      </c>
      <c r="S349" s="32">
        <f>IF(PA[[#This Row],[String Type(If String BD)]]="",1,0)</f>
        <v>1</v>
      </c>
      <c r="T34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49" s="35" t="str">
        <f>IFERROR(_xlfn.XLOOKUP(PA[[#This Row],[Affected Equipment ]],'Basic Data'!N:N,'Basic Data'!Q:Q),"")</f>
        <v/>
      </c>
      <c r="V349" s="207" t="str">
        <f>IFERROR(_xlfn.XLOOKUP(PA[[#This Row],[Affected Equipment ]],'Basic Data'!N:N,'Basic Data'!R:R),"")</f>
        <v/>
      </c>
      <c r="W349" s="36"/>
      <c r="X349" s="40"/>
      <c r="Y349" s="286"/>
      <c r="Z349" s="46"/>
      <c r="AA349" s="46"/>
      <c r="AB349" s="46"/>
      <c r="AC349" s="46"/>
      <c r="AD349" s="44">
        <f>IF(PA[[#This Row],[Acknowledgement Time ]]="NA","",(PA[[#This Row],[Acknowledgement Time ]]-PA[[#This Row],[Fault Time]])*24)</f>
        <v>0</v>
      </c>
      <c r="AE349" s="44">
        <f>IF(PA[[#This Row],[Work Start time on Fault]]="NA","",(PA[[#This Row],[Work Start time on Fault]]-PA[[#This Row],[Fault Time]])*24)</f>
        <v>0</v>
      </c>
      <c r="AF349" s="45">
        <f>IF(PA[[#This Row],[Status]]="Open","",(PA[[#This Row],[Work Completion time on fault]]-PA[[#This Row],[Fault Time]])*24)</f>
        <v>0</v>
      </c>
      <c r="AG349" s="44">
        <f>IFERROR((PA[[#This Row],[Work Completion time on fault]]-PA[[#This Row],[Fault Time]])*24,"")</f>
        <v>0</v>
      </c>
      <c r="AH349" s="36"/>
      <c r="AI349" s="33"/>
      <c r="AJ349" s="35" t="str">
        <f>IFERROR(PA[[#This Row],[Breakdown Time]]*PA[[#This Row],[Plant Equivalent Weightage]],"")</f>
        <v/>
      </c>
      <c r="AK349" s="36"/>
      <c r="AL349" s="51" t="str">
        <f>IFERROR((_xlfn.XLOOKUP($G349,'Modelling New'!D:D,'Modelling New'!$O:$O)*PA[[#This Row],[Lost PoA(kWh/m2)]]*PA[[#This Row],[DC Capacity Affected (kW)]]),"")</f>
        <v/>
      </c>
      <c r="AM349" s="33"/>
      <c r="AN349" s="33"/>
      <c r="AO349" s="33"/>
      <c r="AP349" s="33"/>
    </row>
    <row r="350" spans="1:42">
      <c r="A350" s="30">
        <f t="shared" si="3"/>
        <v>349</v>
      </c>
      <c r="B350" s="31"/>
      <c r="C350" s="212">
        <f>YEAR(PA[[#This Row],[Date]])+IF(MONTH(PA[[#This Row],[Date]])&gt;=4,1,0)</f>
        <v>1900</v>
      </c>
      <c r="D350" s="212">
        <f>YEAR(PA[[#This Row],[Date]])</f>
        <v>1900</v>
      </c>
      <c r="E350" s="37" t="s">
        <v>157</v>
      </c>
      <c r="F350" s="37" t="s">
        <v>157</v>
      </c>
      <c r="G350" s="214">
        <f>PA[[#This Row],[Date]]-DAY(PA[[#This Row],[Date]])+1</f>
        <v>1</v>
      </c>
      <c r="H350" s="32">
        <f>DAY(EOMONTH(PA[[#This Row],[Month Year]],0))</f>
        <v>31</v>
      </c>
      <c r="I350" s="34"/>
      <c r="J350" s="34"/>
      <c r="K350" s="35">
        <f>IFERROR((PA[[#This Row],[Sunset Time (POA&lt;20 W/m2)]]-PA[[#This Row],[Sunrise Time (POA&gt;20 W/m2)]])*24,"")</f>
        <v>0</v>
      </c>
      <c r="L350" s="37"/>
      <c r="M350" s="37"/>
      <c r="N350" s="37"/>
      <c r="O350" s="36"/>
      <c r="P350" s="36"/>
      <c r="Q350" s="33"/>
      <c r="R350" s="32">
        <f>IF((PA[[#This Row],[String Type(If String BD)]]&amp;PA[[#This Row],[Equipment (If any BD other than PV  array and inv)]])="",1,0)</f>
        <v>1</v>
      </c>
      <c r="S350" s="32">
        <f>IF(PA[[#This Row],[String Type(If String BD)]]="",1,0)</f>
        <v>1</v>
      </c>
      <c r="T35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0" s="35" t="str">
        <f>IFERROR(_xlfn.XLOOKUP(PA[[#This Row],[Affected Equipment ]],'Basic Data'!N:N,'Basic Data'!Q:Q),"")</f>
        <v/>
      </c>
      <c r="V350" s="207" t="str">
        <f>IFERROR(_xlfn.XLOOKUP(PA[[#This Row],[Affected Equipment ]],'Basic Data'!N:N,'Basic Data'!R:R),"")</f>
        <v/>
      </c>
      <c r="W350" s="36"/>
      <c r="X350" s="40"/>
      <c r="Y350" s="40"/>
      <c r="Z350" s="46"/>
      <c r="AA350" s="46"/>
      <c r="AB350" s="46"/>
      <c r="AC350" s="46"/>
      <c r="AD350" s="44">
        <f>IF(PA[[#This Row],[Acknowledgement Time ]]="NA","",(PA[[#This Row],[Acknowledgement Time ]]-PA[[#This Row],[Fault Time]])*24)</f>
        <v>0</v>
      </c>
      <c r="AE350" s="44">
        <f>IF(PA[[#This Row],[Work Start time on Fault]]="NA","",(PA[[#This Row],[Work Start time on Fault]]-PA[[#This Row],[Fault Time]])*24)</f>
        <v>0</v>
      </c>
      <c r="AF350" s="45">
        <f>IF(PA[[#This Row],[Status]]="Open","",(PA[[#This Row],[Work Completion time on fault]]-PA[[#This Row],[Fault Time]])*24)</f>
        <v>0</v>
      </c>
      <c r="AG350" s="44">
        <f>IFERROR((PA[[#This Row],[Work Completion time on fault]]-PA[[#This Row],[Fault Time]])*24,"")</f>
        <v>0</v>
      </c>
      <c r="AH350" s="282"/>
      <c r="AI350" s="33"/>
      <c r="AJ350" s="35" t="str">
        <f>IFERROR(PA[[#This Row],[Breakdown Time]]*PA[[#This Row],[Plant Equivalent Weightage]],"")</f>
        <v/>
      </c>
      <c r="AK350" s="36"/>
      <c r="AL350" s="51" t="str">
        <f>IFERROR((_xlfn.XLOOKUP($G350,'Modelling New'!D:D,'Modelling New'!$O:$O)*PA[[#This Row],[Lost PoA(kWh/m2)]]*PA[[#This Row],[DC Capacity Affected (kW)]]),"")</f>
        <v/>
      </c>
      <c r="AM350" s="33"/>
      <c r="AN350" s="33"/>
      <c r="AO350" s="33"/>
      <c r="AP350" s="33"/>
    </row>
    <row r="351" spans="1:42">
      <c r="A351" s="30">
        <f t="shared" si="3"/>
        <v>350</v>
      </c>
      <c r="B351" s="31"/>
      <c r="C351" s="211">
        <f>YEAR(PA[[#This Row],[Date]])+IF(MONTH(PA[[#This Row],[Date]])&gt;=4,1,0)</f>
        <v>1900</v>
      </c>
      <c r="D351" s="211">
        <f>YEAR(PA[[#This Row],[Date]])</f>
        <v>1900</v>
      </c>
      <c r="E351" s="37" t="s">
        <v>157</v>
      </c>
      <c r="F351" s="37" t="s">
        <v>157</v>
      </c>
      <c r="G351" s="214">
        <f>PA[[#This Row],[Date]]-DAY(PA[[#This Row],[Date]])+1</f>
        <v>1</v>
      </c>
      <c r="H351" s="202">
        <f>DAY(EOMONTH(PA[[#This Row],[Month Year]],0))</f>
        <v>31</v>
      </c>
      <c r="I351" s="34"/>
      <c r="J351" s="34"/>
      <c r="K351" s="35">
        <f>IFERROR((PA[[#This Row],[Sunset Time (POA&lt;20 W/m2)]]-PA[[#This Row],[Sunrise Time (POA&gt;20 W/m2)]])*24,"")</f>
        <v>0</v>
      </c>
      <c r="L351" s="37"/>
      <c r="M351" s="37"/>
      <c r="N351" s="37"/>
      <c r="O351" s="36"/>
      <c r="P351" s="36"/>
      <c r="Q351" s="37"/>
      <c r="R351" s="202">
        <f>IF((PA[[#This Row],[String Type(If String BD)]]&amp;PA[[#This Row],[Equipment (If any BD other than PV  array and inv)]])="",1,0)</f>
        <v>1</v>
      </c>
      <c r="S351" s="202">
        <f>IF(PA[[#This Row],[String Type(If String BD)]]="",1,0)</f>
        <v>1</v>
      </c>
      <c r="T35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1" s="204" t="str">
        <f>IFERROR(_xlfn.XLOOKUP(PA[[#This Row],[Affected Equipment ]],'Basic Data'!N:N,'Basic Data'!Q:Q),"")</f>
        <v/>
      </c>
      <c r="V351" s="208" t="str">
        <f>IFERROR(_xlfn.XLOOKUP(PA[[#This Row],[Affected Equipment ]],'Basic Data'!N:N,'Basic Data'!R:R),"")</f>
        <v/>
      </c>
      <c r="W351" s="38"/>
      <c r="X351" s="41"/>
      <c r="Y351" s="40"/>
      <c r="Z351" s="47"/>
      <c r="AA351" s="47"/>
      <c r="AB351" s="47"/>
      <c r="AC351" s="46"/>
      <c r="AD351" s="205">
        <f>IF(PA[[#This Row],[Acknowledgement Time ]]="NA","",(PA[[#This Row],[Acknowledgement Time ]]-PA[[#This Row],[Fault Time]])*24)</f>
        <v>0</v>
      </c>
      <c r="AE351" s="205">
        <f>IF(PA[[#This Row],[Work Start time on Fault]]="NA","",(PA[[#This Row],[Work Start time on Fault]]-PA[[#This Row],[Fault Time]])*24)</f>
        <v>0</v>
      </c>
      <c r="AF351" s="206">
        <f>IF(PA[[#This Row],[Status]]="Open","",(PA[[#This Row],[Work Completion time on fault]]-PA[[#This Row],[Fault Time]])*24)</f>
        <v>0</v>
      </c>
      <c r="AG351" s="205">
        <f>IFERROR((PA[[#This Row],[Work Completion time on fault]]-PA[[#This Row],[Fault Time]])*24,"")</f>
        <v>0</v>
      </c>
      <c r="AH351" s="282"/>
      <c r="AI351" s="33"/>
      <c r="AJ351" s="204" t="str">
        <f>IFERROR(PA[[#This Row],[Breakdown Time]]*PA[[#This Row],[Plant Equivalent Weightage]],"")</f>
        <v/>
      </c>
      <c r="AK351" s="36"/>
      <c r="AL351" s="51" t="str">
        <f>IFERROR((_xlfn.XLOOKUP($G351,'Modelling New'!D:D,'Modelling New'!$O:$O)*PA[[#This Row],[Lost PoA(kWh/m2)]]*PA[[#This Row],[DC Capacity Affected (kW)]]),"")</f>
        <v/>
      </c>
      <c r="AM351" s="33"/>
      <c r="AN351" s="33"/>
      <c r="AO351" s="33"/>
      <c r="AP351" s="33"/>
    </row>
    <row r="352" spans="1:42">
      <c r="A352" s="30">
        <f t="shared" si="3"/>
        <v>351</v>
      </c>
      <c r="B352" s="31"/>
      <c r="C352" s="211">
        <f>YEAR(PA[[#This Row],[Date]])+IF(MONTH(PA[[#This Row],[Date]])&gt;=4,1,0)</f>
        <v>1900</v>
      </c>
      <c r="D352" s="211">
        <f>YEAR(PA[[#This Row],[Date]])</f>
        <v>1900</v>
      </c>
      <c r="E352" s="37" t="s">
        <v>157</v>
      </c>
      <c r="F352" s="37" t="s">
        <v>157</v>
      </c>
      <c r="G352" s="214">
        <f>PA[[#This Row],[Date]]-DAY(PA[[#This Row],[Date]])+1</f>
        <v>1</v>
      </c>
      <c r="H352" s="202">
        <f>DAY(EOMONTH(PA[[#This Row],[Month Year]],0))</f>
        <v>31</v>
      </c>
      <c r="I352" s="34"/>
      <c r="J352" s="34"/>
      <c r="K352" s="35">
        <f>IFERROR((PA[[#This Row],[Sunset Time (POA&lt;20 W/m2)]]-PA[[#This Row],[Sunrise Time (POA&gt;20 W/m2)]])*24,"")</f>
        <v>0</v>
      </c>
      <c r="L352" s="37"/>
      <c r="M352" s="37"/>
      <c r="N352" s="37"/>
      <c r="O352" s="36"/>
      <c r="P352" s="36"/>
      <c r="Q352" s="37"/>
      <c r="R352" s="202">
        <f>IF((PA[[#This Row],[String Type(If String BD)]]&amp;PA[[#This Row],[Equipment (If any BD other than PV  array and inv)]])="",1,0)</f>
        <v>1</v>
      </c>
      <c r="S352" s="202">
        <f>IF(PA[[#This Row],[String Type(If String BD)]]="",1,0)</f>
        <v>1</v>
      </c>
      <c r="T35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2" s="204" t="str">
        <f>IFERROR(_xlfn.XLOOKUP(PA[[#This Row],[Affected Equipment ]],'Basic Data'!N:N,'Basic Data'!Q:Q),"")</f>
        <v/>
      </c>
      <c r="V352" s="208" t="str">
        <f>IFERROR(_xlfn.XLOOKUP(PA[[#This Row],[Affected Equipment ]],'Basic Data'!N:N,'Basic Data'!R:R),"")</f>
        <v/>
      </c>
      <c r="W352" s="38"/>
      <c r="X352" s="41"/>
      <c r="Y352" s="40"/>
      <c r="Z352" s="47"/>
      <c r="AA352" s="47"/>
      <c r="AB352" s="47"/>
      <c r="AC352" s="47"/>
      <c r="AD352" s="205">
        <f>IF(PA[[#This Row],[Acknowledgement Time ]]="NA","",(PA[[#This Row],[Acknowledgement Time ]]-PA[[#This Row],[Fault Time]])*24)</f>
        <v>0</v>
      </c>
      <c r="AE352" s="205">
        <f>IF(PA[[#This Row],[Work Start time on Fault]]="NA","",(PA[[#This Row],[Work Start time on Fault]]-PA[[#This Row],[Fault Time]])*24)</f>
        <v>0</v>
      </c>
      <c r="AF352" s="206">
        <f>IF(PA[[#This Row],[Status]]="Open","",(PA[[#This Row],[Work Completion time on fault]]-PA[[#This Row],[Fault Time]])*24)</f>
        <v>0</v>
      </c>
      <c r="AG352" s="205">
        <f>IFERROR((PA[[#This Row],[Work Completion time on fault]]-PA[[#This Row],[Fault Time]])*24,"")</f>
        <v>0</v>
      </c>
      <c r="AH352" s="282"/>
      <c r="AI352" s="33"/>
      <c r="AJ352" s="204" t="str">
        <f>IFERROR(PA[[#This Row],[Breakdown Time]]*PA[[#This Row],[Plant Equivalent Weightage]],"")</f>
        <v/>
      </c>
      <c r="AK352" s="36"/>
      <c r="AL352" s="51" t="str">
        <f>IFERROR((_xlfn.XLOOKUP($G352,'Modelling New'!D:D,'Modelling New'!$O:$O)*PA[[#This Row],[Lost PoA(kWh/m2)]]*PA[[#This Row],[DC Capacity Affected (kW)]]),"")</f>
        <v/>
      </c>
      <c r="AM352" s="33"/>
      <c r="AN352" s="33"/>
      <c r="AO352" s="33"/>
      <c r="AP352" s="33"/>
    </row>
    <row r="353" spans="1:42">
      <c r="A353" s="30">
        <f t="shared" si="3"/>
        <v>352</v>
      </c>
      <c r="B353" s="31"/>
      <c r="C353" s="212">
        <f>YEAR(PA[[#This Row],[Date]])+IF(MONTH(PA[[#This Row],[Date]])&gt;=4,1,0)</f>
        <v>1900</v>
      </c>
      <c r="D353" s="212">
        <f>YEAR(PA[[#This Row],[Date]])</f>
        <v>1900</v>
      </c>
      <c r="E353" s="37" t="s">
        <v>157</v>
      </c>
      <c r="F353" s="37" t="s">
        <v>157</v>
      </c>
      <c r="G353" s="214">
        <f>PA[[#This Row],[Date]]-DAY(PA[[#This Row],[Date]])+1</f>
        <v>1</v>
      </c>
      <c r="H353" s="32">
        <f>DAY(EOMONTH(PA[[#This Row],[Month Year]],0))</f>
        <v>31</v>
      </c>
      <c r="I353" s="34"/>
      <c r="J353" s="34"/>
      <c r="K353" s="35">
        <f>IFERROR((PA[[#This Row],[Sunset Time (POA&lt;20 W/m2)]]-PA[[#This Row],[Sunrise Time (POA&gt;20 W/m2)]])*24,"")</f>
        <v>0</v>
      </c>
      <c r="L353" s="33"/>
      <c r="M353" s="33"/>
      <c r="N353" s="33"/>
      <c r="O353" s="36"/>
      <c r="P353" s="36"/>
      <c r="Q353" s="33"/>
      <c r="R353" s="32">
        <f>IF((PA[[#This Row],[String Type(If String BD)]]&amp;PA[[#This Row],[Equipment (If any BD other than PV  array and inv)]])="",1,0)</f>
        <v>1</v>
      </c>
      <c r="S353" s="32">
        <f>IF(PA[[#This Row],[String Type(If String BD)]]="",1,0)</f>
        <v>1</v>
      </c>
      <c r="T35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3" s="35" t="str">
        <f>IFERROR(_xlfn.XLOOKUP(PA[[#This Row],[Affected Equipment ]],'Basic Data'!N:N,'Basic Data'!Q:Q),"")</f>
        <v/>
      </c>
      <c r="V353" s="207" t="str">
        <f>IFERROR(_xlfn.XLOOKUP(PA[[#This Row],[Affected Equipment ]],'Basic Data'!N:N,'Basic Data'!R:R),"")</f>
        <v/>
      </c>
      <c r="W353" s="36"/>
      <c r="X353" s="40"/>
      <c r="Y353" s="41"/>
      <c r="Z353" s="46"/>
      <c r="AA353" s="46"/>
      <c r="AB353" s="46"/>
      <c r="AC353" s="46"/>
      <c r="AD353" s="44">
        <f>IF(PA[[#This Row],[Acknowledgement Time ]]="NA","",(PA[[#This Row],[Acknowledgement Time ]]-PA[[#This Row],[Fault Time]])*24)</f>
        <v>0</v>
      </c>
      <c r="AE353" s="44">
        <f>IF(PA[[#This Row],[Work Start time on Fault]]="NA","",(PA[[#This Row],[Work Start time on Fault]]-PA[[#This Row],[Fault Time]])*24)</f>
        <v>0</v>
      </c>
      <c r="AF353" s="45">
        <f>IF(PA[[#This Row],[Status]]="Open","",(PA[[#This Row],[Work Completion time on fault]]-PA[[#This Row],[Fault Time]])*24)</f>
        <v>0</v>
      </c>
      <c r="AG353" s="44">
        <f>IFERROR((PA[[#This Row],[Work Completion time on fault]]-PA[[#This Row],[Fault Time]])*24,"")</f>
        <v>0</v>
      </c>
      <c r="AH353" s="36"/>
      <c r="AI353" s="33"/>
      <c r="AJ353" s="35" t="str">
        <f>IFERROR(PA[[#This Row],[Breakdown Time]]*PA[[#This Row],[Plant Equivalent Weightage]],"")</f>
        <v/>
      </c>
      <c r="AK353" s="36"/>
      <c r="AL353" s="51" t="str">
        <f>IFERROR((_xlfn.XLOOKUP($G353,'Modelling New'!D:D,'Modelling New'!$O:$O)*PA[[#This Row],[Lost PoA(kWh/m2)]]*PA[[#This Row],[DC Capacity Affected (kW)]]),"")</f>
        <v/>
      </c>
      <c r="AM353" s="33"/>
      <c r="AN353" s="33"/>
      <c r="AO353" s="33"/>
      <c r="AP353" s="33"/>
    </row>
    <row r="354" spans="1:42">
      <c r="A354" s="30">
        <f t="shared" si="3"/>
        <v>353</v>
      </c>
      <c r="B354" s="31"/>
      <c r="C354" s="212">
        <f>YEAR(PA[[#This Row],[Date]])+IF(MONTH(PA[[#This Row],[Date]])&gt;=4,1,0)</f>
        <v>1900</v>
      </c>
      <c r="D354" s="212">
        <f>YEAR(PA[[#This Row],[Date]])</f>
        <v>1900</v>
      </c>
      <c r="E354" s="37" t="s">
        <v>157</v>
      </c>
      <c r="F354" s="37" t="s">
        <v>157</v>
      </c>
      <c r="G354" s="214">
        <f>PA[[#This Row],[Date]]-DAY(PA[[#This Row],[Date]])+1</f>
        <v>1</v>
      </c>
      <c r="H354" s="32">
        <f>DAY(EOMONTH(PA[[#This Row],[Month Year]],0))</f>
        <v>31</v>
      </c>
      <c r="I354" s="34"/>
      <c r="J354" s="34"/>
      <c r="K354" s="35">
        <f>IFERROR((PA[[#This Row],[Sunset Time (POA&lt;20 W/m2)]]-PA[[#This Row],[Sunrise Time (POA&gt;20 W/m2)]])*24,"")</f>
        <v>0</v>
      </c>
      <c r="L354" s="33"/>
      <c r="M354" s="33"/>
      <c r="N354" s="33"/>
      <c r="O354" s="36"/>
      <c r="P354" s="36"/>
      <c r="Q354" s="33"/>
      <c r="R354" s="32">
        <f>IF((PA[[#This Row],[String Type(If String BD)]]&amp;PA[[#This Row],[Equipment (If any BD other than PV  array and inv)]])="",1,0)</f>
        <v>1</v>
      </c>
      <c r="S354" s="32">
        <f>IF(PA[[#This Row],[String Type(If String BD)]]="",1,0)</f>
        <v>1</v>
      </c>
      <c r="T35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4" s="35" t="str">
        <f>IFERROR(_xlfn.XLOOKUP(PA[[#This Row],[Affected Equipment ]],'Basic Data'!N:N,'Basic Data'!Q:Q),"")</f>
        <v/>
      </c>
      <c r="V354" s="207" t="str">
        <f>IFERROR(_xlfn.XLOOKUP(PA[[#This Row],[Affected Equipment ]],'Basic Data'!N:N,'Basic Data'!R:R),"")</f>
        <v/>
      </c>
      <c r="W354" s="36"/>
      <c r="X354" s="40"/>
      <c r="Y354" s="41"/>
      <c r="Z354" s="46"/>
      <c r="AA354" s="46"/>
      <c r="AB354" s="46"/>
      <c r="AC354" s="46"/>
      <c r="AD354" s="44">
        <f>IF(PA[[#This Row],[Acknowledgement Time ]]="NA","",(PA[[#This Row],[Acknowledgement Time ]]-PA[[#This Row],[Fault Time]])*24)</f>
        <v>0</v>
      </c>
      <c r="AE354" s="44">
        <f>IF(PA[[#This Row],[Work Start time on Fault]]="NA","",(PA[[#This Row],[Work Start time on Fault]]-PA[[#This Row],[Fault Time]])*24)</f>
        <v>0</v>
      </c>
      <c r="AF354" s="45">
        <f>IF(PA[[#This Row],[Status]]="Open","",(PA[[#This Row],[Work Completion time on fault]]-PA[[#This Row],[Fault Time]])*24)</f>
        <v>0</v>
      </c>
      <c r="AG354" s="44">
        <f>IFERROR((PA[[#This Row],[Work Completion time on fault]]-PA[[#This Row],[Fault Time]])*24,"")</f>
        <v>0</v>
      </c>
      <c r="AH354" s="36"/>
      <c r="AI354" s="33"/>
      <c r="AJ354" s="35" t="str">
        <f>IFERROR(PA[[#This Row],[Breakdown Time]]*PA[[#This Row],[Plant Equivalent Weightage]],"")</f>
        <v/>
      </c>
      <c r="AK354" s="36"/>
      <c r="AL354" s="51" t="str">
        <f>IFERROR((_xlfn.XLOOKUP($G354,'Modelling New'!D:D,'Modelling New'!$O:$O)*PA[[#This Row],[Lost PoA(kWh/m2)]]*PA[[#This Row],[DC Capacity Affected (kW)]]),"")</f>
        <v/>
      </c>
      <c r="AM354" s="33"/>
      <c r="AN354" s="33"/>
      <c r="AO354" s="33"/>
      <c r="AP354" s="33"/>
    </row>
    <row r="355" spans="1:42">
      <c r="A355" s="30">
        <f t="shared" si="3"/>
        <v>354</v>
      </c>
      <c r="B355" s="31"/>
      <c r="C355" s="212">
        <f>YEAR(PA[[#This Row],[Date]])+IF(MONTH(PA[[#This Row],[Date]])&gt;=4,1,0)</f>
        <v>1900</v>
      </c>
      <c r="D355" s="212">
        <f>YEAR(PA[[#This Row],[Date]])</f>
        <v>1900</v>
      </c>
      <c r="E355" s="37" t="s">
        <v>157</v>
      </c>
      <c r="F355" s="37" t="s">
        <v>157</v>
      </c>
      <c r="G355" s="214">
        <f>PA[[#This Row],[Date]]-DAY(PA[[#This Row],[Date]])+1</f>
        <v>1</v>
      </c>
      <c r="H355" s="32">
        <f>DAY(EOMONTH(PA[[#This Row],[Month Year]],0))</f>
        <v>31</v>
      </c>
      <c r="I355" s="34"/>
      <c r="J355" s="34"/>
      <c r="K355" s="35">
        <f>IFERROR((PA[[#This Row],[Sunset Time (POA&lt;20 W/m2)]]-PA[[#This Row],[Sunrise Time (POA&gt;20 W/m2)]])*24,"")</f>
        <v>0</v>
      </c>
      <c r="L355" s="33"/>
      <c r="M355" s="37"/>
      <c r="N355" s="33"/>
      <c r="O355" s="36"/>
      <c r="P355" s="36"/>
      <c r="Q355" s="33"/>
      <c r="R355" s="32">
        <f>IF((PA[[#This Row],[String Type(If String BD)]]&amp;PA[[#This Row],[Equipment (If any BD other than PV  array and inv)]])="",1,0)</f>
        <v>1</v>
      </c>
      <c r="S355" s="32">
        <f>IF(PA[[#This Row],[String Type(If String BD)]]="",1,0)</f>
        <v>1</v>
      </c>
      <c r="T35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5" s="35" t="str">
        <f>IFERROR(_xlfn.XLOOKUP(PA[[#This Row],[Affected Equipment ]],'Basic Data'!N:N,'Basic Data'!Q:Q),"")</f>
        <v/>
      </c>
      <c r="V355" s="207" t="str">
        <f>IFERROR(_xlfn.XLOOKUP(PA[[#This Row],[Affected Equipment ]],'Basic Data'!N:N,'Basic Data'!R:R),"")</f>
        <v/>
      </c>
      <c r="W355" s="36"/>
      <c r="X355" s="40"/>
      <c r="Y355" s="41"/>
      <c r="Z355" s="46"/>
      <c r="AA355" s="46"/>
      <c r="AB355" s="46"/>
      <c r="AC355" s="46"/>
      <c r="AD355" s="44">
        <f>IF(PA[[#This Row],[Acknowledgement Time ]]="NA","",(PA[[#This Row],[Acknowledgement Time ]]-PA[[#This Row],[Fault Time]])*24)</f>
        <v>0</v>
      </c>
      <c r="AE355" s="44">
        <f>IF(PA[[#This Row],[Work Start time on Fault]]="NA","",(PA[[#This Row],[Work Start time on Fault]]-PA[[#This Row],[Fault Time]])*24)</f>
        <v>0</v>
      </c>
      <c r="AF355" s="45">
        <f>IF(PA[[#This Row],[Status]]="Open","",(PA[[#This Row],[Work Completion time on fault]]-PA[[#This Row],[Fault Time]])*24)</f>
        <v>0</v>
      </c>
      <c r="AG355" s="44">
        <f>IFERROR((PA[[#This Row],[Work Completion time on fault]]-PA[[#This Row],[Fault Time]])*24,"")</f>
        <v>0</v>
      </c>
      <c r="AH355" s="36"/>
      <c r="AI355" s="33"/>
      <c r="AJ355" s="35" t="str">
        <f>IFERROR(PA[[#This Row],[Breakdown Time]]*PA[[#This Row],[Plant Equivalent Weightage]],"")</f>
        <v/>
      </c>
      <c r="AK355" s="36"/>
      <c r="AL355" s="51" t="str">
        <f>IFERROR((_xlfn.XLOOKUP($G355,'Modelling New'!D:D,'Modelling New'!$O:$O)*PA[[#This Row],[Lost PoA(kWh/m2)]]*PA[[#This Row],[DC Capacity Affected (kW)]]),"")</f>
        <v/>
      </c>
      <c r="AM355" s="33"/>
      <c r="AN355" s="33"/>
      <c r="AO355" s="33"/>
      <c r="AP355" s="33"/>
    </row>
    <row r="356" spans="1:42">
      <c r="A356" s="30">
        <f t="shared" si="3"/>
        <v>355</v>
      </c>
      <c r="B356" s="31"/>
      <c r="C356" s="212">
        <f>YEAR(PA[[#This Row],[Date]])+IF(MONTH(PA[[#This Row],[Date]])&gt;=4,1,0)</f>
        <v>1900</v>
      </c>
      <c r="D356" s="212">
        <f>YEAR(PA[[#This Row],[Date]])</f>
        <v>1900</v>
      </c>
      <c r="E356" s="37" t="s">
        <v>157</v>
      </c>
      <c r="F356" s="37" t="s">
        <v>157</v>
      </c>
      <c r="G356" s="214">
        <f>PA[[#This Row],[Date]]-DAY(PA[[#This Row],[Date]])+1</f>
        <v>1</v>
      </c>
      <c r="H356" s="32">
        <f>DAY(EOMONTH(PA[[#This Row],[Month Year]],0))</f>
        <v>31</v>
      </c>
      <c r="I356" s="34"/>
      <c r="J356" s="34"/>
      <c r="K356" s="35">
        <f>IFERROR((PA[[#This Row],[Sunset Time (POA&lt;20 W/m2)]]-PA[[#This Row],[Sunrise Time (POA&gt;20 W/m2)]])*24,"")</f>
        <v>0</v>
      </c>
      <c r="L356" s="33"/>
      <c r="M356" s="33"/>
      <c r="N356" s="33"/>
      <c r="O356" s="36"/>
      <c r="P356" s="36"/>
      <c r="Q356" s="33"/>
      <c r="R356" s="32">
        <f>IF((PA[[#This Row],[String Type(If String BD)]]&amp;PA[[#This Row],[Equipment (If any BD other than PV  array and inv)]])="",1,0)</f>
        <v>1</v>
      </c>
      <c r="S356" s="32">
        <f>IF(PA[[#This Row],[String Type(If String BD)]]="",1,0)</f>
        <v>1</v>
      </c>
      <c r="T35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6" s="35" t="str">
        <f>IFERROR(_xlfn.XLOOKUP(PA[[#This Row],[Affected Equipment ]],'Basic Data'!N:N,'Basic Data'!Q:Q),"")</f>
        <v/>
      </c>
      <c r="V356" s="207" t="str">
        <f>IFERROR(_xlfn.XLOOKUP(PA[[#This Row],[Affected Equipment ]],'Basic Data'!N:N,'Basic Data'!R:R),"")</f>
        <v/>
      </c>
      <c r="W356" s="36"/>
      <c r="X356" s="40"/>
      <c r="Y356" s="41"/>
      <c r="Z356" s="46"/>
      <c r="AA356" s="46"/>
      <c r="AB356" s="46"/>
      <c r="AC356" s="46"/>
      <c r="AD356" s="44">
        <f>IF(PA[[#This Row],[Acknowledgement Time ]]="NA","",(PA[[#This Row],[Acknowledgement Time ]]-PA[[#This Row],[Fault Time]])*24)</f>
        <v>0</v>
      </c>
      <c r="AE356" s="44">
        <f>IF(PA[[#This Row],[Work Start time on Fault]]="NA","",(PA[[#This Row],[Work Start time on Fault]]-PA[[#This Row],[Fault Time]])*24)</f>
        <v>0</v>
      </c>
      <c r="AF356" s="45">
        <f>IF(PA[[#This Row],[Status]]="Open","",(PA[[#This Row],[Work Completion time on fault]]-PA[[#This Row],[Fault Time]])*24)</f>
        <v>0</v>
      </c>
      <c r="AG356" s="44">
        <f>IFERROR((PA[[#This Row],[Work Completion time on fault]]-PA[[#This Row],[Fault Time]])*24,"")</f>
        <v>0</v>
      </c>
      <c r="AH356" s="36"/>
      <c r="AI356" s="33"/>
      <c r="AJ356" s="35" t="str">
        <f>IFERROR(PA[[#This Row],[Breakdown Time]]*PA[[#This Row],[Plant Equivalent Weightage]],"")</f>
        <v/>
      </c>
      <c r="AK356" s="36"/>
      <c r="AL356" s="51" t="str">
        <f>IFERROR((_xlfn.XLOOKUP($G356,'Modelling New'!D:D,'Modelling New'!$O:$O)*PA[[#This Row],[Lost PoA(kWh/m2)]]*PA[[#This Row],[DC Capacity Affected (kW)]]),"")</f>
        <v/>
      </c>
      <c r="AM356" s="33"/>
      <c r="AN356" s="33"/>
      <c r="AO356" s="33"/>
      <c r="AP356" s="33"/>
    </row>
    <row r="357" spans="1:42">
      <c r="A357" s="30">
        <f t="shared" si="3"/>
        <v>356</v>
      </c>
      <c r="B357" s="31"/>
      <c r="C357" s="212">
        <f>YEAR(PA[[#This Row],[Date]])+IF(MONTH(PA[[#This Row],[Date]])&gt;=4,1,0)</f>
        <v>1900</v>
      </c>
      <c r="D357" s="212">
        <f>YEAR(PA[[#This Row],[Date]])</f>
        <v>1900</v>
      </c>
      <c r="E357" s="37" t="s">
        <v>157</v>
      </c>
      <c r="F357" s="37" t="s">
        <v>157</v>
      </c>
      <c r="G357" s="214">
        <f>PA[[#This Row],[Date]]-DAY(PA[[#This Row],[Date]])+1</f>
        <v>1</v>
      </c>
      <c r="H357" s="32">
        <f>DAY(EOMONTH(PA[[#This Row],[Month Year]],0))</f>
        <v>31</v>
      </c>
      <c r="I357" s="34"/>
      <c r="J357" s="34"/>
      <c r="K357" s="35">
        <f>IFERROR((PA[[#This Row],[Sunset Time (POA&lt;20 W/m2)]]-PA[[#This Row],[Sunrise Time (POA&gt;20 W/m2)]])*24,"")</f>
        <v>0</v>
      </c>
      <c r="L357" s="33"/>
      <c r="M357" s="33"/>
      <c r="N357" s="33"/>
      <c r="O357" s="36"/>
      <c r="P357" s="36"/>
      <c r="Q357" s="33"/>
      <c r="R357" s="32">
        <f>IF((PA[[#This Row],[String Type(If String BD)]]&amp;PA[[#This Row],[Equipment (If any BD other than PV  array and inv)]])="",1,0)</f>
        <v>1</v>
      </c>
      <c r="S357" s="32">
        <f>IF(PA[[#This Row],[String Type(If String BD)]]="",1,0)</f>
        <v>1</v>
      </c>
      <c r="T35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7" s="35" t="str">
        <f>IFERROR(_xlfn.XLOOKUP(PA[[#This Row],[Affected Equipment ]],'Basic Data'!N:N,'Basic Data'!Q:Q),"")</f>
        <v/>
      </c>
      <c r="V357" s="207" t="str">
        <f>IFERROR(_xlfn.XLOOKUP(PA[[#This Row],[Affected Equipment ]],'Basic Data'!N:N,'Basic Data'!R:R),"")</f>
        <v/>
      </c>
      <c r="W357" s="36"/>
      <c r="X357" s="40"/>
      <c r="Y357" s="41"/>
      <c r="Z357" s="46"/>
      <c r="AA357" s="46"/>
      <c r="AB357" s="46"/>
      <c r="AC357" s="46"/>
      <c r="AD357" s="44">
        <f>IF(PA[[#This Row],[Acknowledgement Time ]]="NA","",(PA[[#This Row],[Acknowledgement Time ]]-PA[[#This Row],[Fault Time]])*24)</f>
        <v>0</v>
      </c>
      <c r="AE357" s="44">
        <f>IF(PA[[#This Row],[Work Start time on Fault]]="NA","",(PA[[#This Row],[Work Start time on Fault]]-PA[[#This Row],[Fault Time]])*24)</f>
        <v>0</v>
      </c>
      <c r="AF357" s="45">
        <f>IF(PA[[#This Row],[Status]]="Open","",(PA[[#This Row],[Work Completion time on fault]]-PA[[#This Row],[Fault Time]])*24)</f>
        <v>0</v>
      </c>
      <c r="AG357" s="44">
        <f>IFERROR((PA[[#This Row],[Work Completion time on fault]]-PA[[#This Row],[Fault Time]])*24,"")</f>
        <v>0</v>
      </c>
      <c r="AH357" s="36"/>
      <c r="AI357" s="33"/>
      <c r="AJ357" s="35" t="str">
        <f>IFERROR(PA[[#This Row],[Breakdown Time]]*PA[[#This Row],[Plant Equivalent Weightage]],"")</f>
        <v/>
      </c>
      <c r="AK357" s="36"/>
      <c r="AL357" s="51" t="str">
        <f>IFERROR((_xlfn.XLOOKUP($G357,'Modelling New'!D:D,'Modelling New'!$O:$O)*PA[[#This Row],[Lost PoA(kWh/m2)]]*PA[[#This Row],[DC Capacity Affected (kW)]]),"")</f>
        <v/>
      </c>
      <c r="AM357" s="33"/>
      <c r="AN357" s="33"/>
      <c r="AO357" s="33"/>
      <c r="AP357" s="33"/>
    </row>
    <row r="358" spans="1:42">
      <c r="A358" s="30">
        <f t="shared" si="3"/>
        <v>357</v>
      </c>
      <c r="B358" s="31"/>
      <c r="C358" s="212">
        <f>YEAR(PA[[#This Row],[Date]])+IF(MONTH(PA[[#This Row],[Date]])&gt;=4,1,0)</f>
        <v>1900</v>
      </c>
      <c r="D358" s="212">
        <f>YEAR(PA[[#This Row],[Date]])</f>
        <v>1900</v>
      </c>
      <c r="E358" s="37" t="s">
        <v>157</v>
      </c>
      <c r="F358" s="37" t="s">
        <v>157</v>
      </c>
      <c r="G358" s="214">
        <f>PA[[#This Row],[Date]]-DAY(PA[[#This Row],[Date]])+1</f>
        <v>1</v>
      </c>
      <c r="H358" s="32">
        <f>DAY(EOMONTH(PA[[#This Row],[Month Year]],0))</f>
        <v>31</v>
      </c>
      <c r="I358" s="34"/>
      <c r="J358" s="34"/>
      <c r="K358" s="35">
        <f>IFERROR((PA[[#This Row],[Sunset Time (POA&lt;20 W/m2)]]-PA[[#This Row],[Sunrise Time (POA&gt;20 W/m2)]])*24,"")</f>
        <v>0</v>
      </c>
      <c r="L358" s="33"/>
      <c r="M358" s="33"/>
      <c r="N358" s="33"/>
      <c r="O358" s="36"/>
      <c r="P358" s="36"/>
      <c r="Q358" s="33"/>
      <c r="R358" s="32">
        <f>IF((PA[[#This Row],[String Type(If String BD)]]&amp;PA[[#This Row],[Equipment (If any BD other than PV  array and inv)]])="",1,0)</f>
        <v>1</v>
      </c>
      <c r="S358" s="32">
        <f>IF(PA[[#This Row],[String Type(If String BD)]]="",1,0)</f>
        <v>1</v>
      </c>
      <c r="T35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8" s="35" t="str">
        <f>IFERROR(_xlfn.XLOOKUP(PA[[#This Row],[Affected Equipment ]],'Basic Data'!N:N,'Basic Data'!Q:Q),"")</f>
        <v/>
      </c>
      <c r="V358" s="207" t="str">
        <f>IFERROR(_xlfn.XLOOKUP(PA[[#This Row],[Affected Equipment ]],'Basic Data'!N:N,'Basic Data'!R:R),"")</f>
        <v/>
      </c>
      <c r="W358" s="36"/>
      <c r="X358" s="40"/>
      <c r="Y358" s="41"/>
      <c r="Z358" s="46"/>
      <c r="AA358" s="46"/>
      <c r="AB358" s="46"/>
      <c r="AC358" s="46"/>
      <c r="AD358" s="44">
        <f>IF(PA[[#This Row],[Acknowledgement Time ]]="NA","",(PA[[#This Row],[Acknowledgement Time ]]-PA[[#This Row],[Fault Time]])*24)</f>
        <v>0</v>
      </c>
      <c r="AE358" s="44">
        <f>IF(PA[[#This Row],[Work Start time on Fault]]="NA","",(PA[[#This Row],[Work Start time on Fault]]-PA[[#This Row],[Fault Time]])*24)</f>
        <v>0</v>
      </c>
      <c r="AF358" s="45">
        <f>IF(PA[[#This Row],[Status]]="Open","",(PA[[#This Row],[Work Completion time on fault]]-PA[[#This Row],[Fault Time]])*24)</f>
        <v>0</v>
      </c>
      <c r="AG358" s="44">
        <f>IFERROR((PA[[#This Row],[Work Completion time on fault]]-PA[[#This Row],[Fault Time]])*24,"")</f>
        <v>0</v>
      </c>
      <c r="AH358" s="36"/>
      <c r="AI358" s="33"/>
      <c r="AJ358" s="35" t="str">
        <f>IFERROR(PA[[#This Row],[Breakdown Time]]*PA[[#This Row],[Plant Equivalent Weightage]],"")</f>
        <v/>
      </c>
      <c r="AK358" s="36"/>
      <c r="AL358" s="51" t="str">
        <f>IFERROR((_xlfn.XLOOKUP($G358,'Modelling New'!D:D,'Modelling New'!$O:$O)*PA[[#This Row],[Lost PoA(kWh/m2)]]*PA[[#This Row],[DC Capacity Affected (kW)]]),"")</f>
        <v/>
      </c>
      <c r="AM358" s="33"/>
      <c r="AN358" s="33"/>
      <c r="AO358" s="33"/>
      <c r="AP358" s="33"/>
    </row>
    <row r="359" spans="1:42">
      <c r="A359" s="30">
        <f t="shared" si="3"/>
        <v>358</v>
      </c>
      <c r="B359" s="31"/>
      <c r="C359" s="212">
        <f>YEAR(PA[[#This Row],[Date]])+IF(MONTH(PA[[#This Row],[Date]])&gt;=4,1,0)</f>
        <v>1900</v>
      </c>
      <c r="D359" s="212">
        <f>YEAR(PA[[#This Row],[Date]])</f>
        <v>1900</v>
      </c>
      <c r="E359" s="37" t="s">
        <v>157</v>
      </c>
      <c r="F359" s="37" t="s">
        <v>157</v>
      </c>
      <c r="G359" s="214">
        <f>PA[[#This Row],[Date]]-DAY(PA[[#This Row],[Date]])+1</f>
        <v>1</v>
      </c>
      <c r="H359" s="32">
        <f>DAY(EOMONTH(PA[[#This Row],[Month Year]],0))</f>
        <v>31</v>
      </c>
      <c r="I359" s="34"/>
      <c r="J359" s="34"/>
      <c r="K359" s="35">
        <f>IFERROR((PA[[#This Row],[Sunset Time (POA&lt;20 W/m2)]]-PA[[#This Row],[Sunrise Time (POA&gt;20 W/m2)]])*24,"")</f>
        <v>0</v>
      </c>
      <c r="L359" s="33"/>
      <c r="M359" s="33"/>
      <c r="N359" s="33"/>
      <c r="O359" s="36"/>
      <c r="P359" s="36"/>
      <c r="Q359" s="33"/>
      <c r="R359" s="32">
        <f>IF((PA[[#This Row],[String Type(If String BD)]]&amp;PA[[#This Row],[Equipment (If any BD other than PV  array and inv)]])="",1,0)</f>
        <v>1</v>
      </c>
      <c r="S359" s="32">
        <f>IF(PA[[#This Row],[String Type(If String BD)]]="",1,0)</f>
        <v>1</v>
      </c>
      <c r="T35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59" s="35" t="str">
        <f>IFERROR(_xlfn.XLOOKUP(PA[[#This Row],[Affected Equipment ]],'Basic Data'!N:N,'Basic Data'!Q:Q),"")</f>
        <v/>
      </c>
      <c r="V359" s="207" t="str">
        <f>IFERROR(_xlfn.XLOOKUP(PA[[#This Row],[Affected Equipment ]],'Basic Data'!N:N,'Basic Data'!R:R),"")</f>
        <v/>
      </c>
      <c r="W359" s="36"/>
      <c r="X359" s="40"/>
      <c r="Y359" s="41"/>
      <c r="Z359" s="46"/>
      <c r="AA359" s="46"/>
      <c r="AB359" s="46"/>
      <c r="AC359" s="46"/>
      <c r="AD359" s="44">
        <f>IF(PA[[#This Row],[Acknowledgement Time ]]="NA","",(PA[[#This Row],[Acknowledgement Time ]]-PA[[#This Row],[Fault Time]])*24)</f>
        <v>0</v>
      </c>
      <c r="AE359" s="44">
        <f>IF(PA[[#This Row],[Work Start time on Fault]]="NA","",(PA[[#This Row],[Work Start time on Fault]]-PA[[#This Row],[Fault Time]])*24)</f>
        <v>0</v>
      </c>
      <c r="AF359" s="45">
        <f>IF(PA[[#This Row],[Status]]="Open","",(PA[[#This Row],[Work Completion time on fault]]-PA[[#This Row],[Fault Time]])*24)</f>
        <v>0</v>
      </c>
      <c r="AG359" s="44">
        <f>IFERROR((PA[[#This Row],[Work Completion time on fault]]-PA[[#This Row],[Fault Time]])*24,"")</f>
        <v>0</v>
      </c>
      <c r="AH359" s="36"/>
      <c r="AI359" s="33"/>
      <c r="AJ359" s="35" t="str">
        <f>IFERROR(PA[[#This Row],[Breakdown Time]]*PA[[#This Row],[Plant Equivalent Weightage]],"")</f>
        <v/>
      </c>
      <c r="AK359" s="36"/>
      <c r="AL359" s="51" t="str">
        <f>IFERROR((_xlfn.XLOOKUP($G359,'Modelling New'!D:D,'Modelling New'!$O:$O)*PA[[#This Row],[Lost PoA(kWh/m2)]]*PA[[#This Row],[DC Capacity Affected (kW)]]),"")</f>
        <v/>
      </c>
      <c r="AM359" s="33"/>
      <c r="AN359" s="33"/>
      <c r="AO359" s="33"/>
      <c r="AP359" s="33"/>
    </row>
    <row r="360" spans="1:42">
      <c r="A360" s="30">
        <f t="shared" si="3"/>
        <v>359</v>
      </c>
      <c r="B360" s="31"/>
      <c r="C360" s="211">
        <f>YEAR(PA[[#This Row],[Date]])+IF(MONTH(PA[[#This Row],[Date]])&gt;=4,1,0)</f>
        <v>1900</v>
      </c>
      <c r="D360" s="211">
        <f>YEAR(PA[[#This Row],[Date]])</f>
        <v>1900</v>
      </c>
      <c r="E360" s="37" t="s">
        <v>157</v>
      </c>
      <c r="F360" s="37" t="s">
        <v>157</v>
      </c>
      <c r="G360" s="214">
        <f>PA[[#This Row],[Date]]-DAY(PA[[#This Row],[Date]])+1</f>
        <v>1</v>
      </c>
      <c r="H360" s="202">
        <f>DAY(EOMONTH(PA[[#This Row],[Month Year]],0))</f>
        <v>31</v>
      </c>
      <c r="I360" s="34"/>
      <c r="J360" s="34"/>
      <c r="K360" s="35">
        <f>IFERROR((PA[[#This Row],[Sunset Time (POA&lt;20 W/m2)]]-PA[[#This Row],[Sunrise Time (POA&gt;20 W/m2)]])*24,"")</f>
        <v>0</v>
      </c>
      <c r="L360" s="33"/>
      <c r="M360" s="33"/>
      <c r="N360" s="33"/>
      <c r="O360" s="38"/>
      <c r="P360" s="38"/>
      <c r="Q360" s="37"/>
      <c r="R360" s="202">
        <f>IF((PA[[#This Row],[String Type(If String BD)]]&amp;PA[[#This Row],[Equipment (If any BD other than PV  array and inv)]])="",1,0)</f>
        <v>1</v>
      </c>
      <c r="S360" s="202">
        <f>IF(PA[[#This Row],[String Type(If String BD)]]="",1,0)</f>
        <v>1</v>
      </c>
      <c r="T36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0" s="204" t="str">
        <f>IFERROR(_xlfn.XLOOKUP(PA[[#This Row],[Affected Equipment ]],'Basic Data'!N:N,'Basic Data'!Q:Q),"")</f>
        <v/>
      </c>
      <c r="V360" s="208" t="str">
        <f>IFERROR(_xlfn.XLOOKUP(PA[[#This Row],[Affected Equipment ]],'Basic Data'!N:N,'Basic Data'!R:R),"")</f>
        <v/>
      </c>
      <c r="W360" s="38"/>
      <c r="X360" s="41"/>
      <c r="Y360" s="41"/>
      <c r="Z360" s="47"/>
      <c r="AA360" s="47"/>
      <c r="AB360" s="47"/>
      <c r="AC360" s="47"/>
      <c r="AD360" s="205">
        <f>IF(PA[[#This Row],[Acknowledgement Time ]]="NA","",(PA[[#This Row],[Acknowledgement Time ]]-PA[[#This Row],[Fault Time]])*24)</f>
        <v>0</v>
      </c>
      <c r="AE360" s="205">
        <f>IF(PA[[#This Row],[Work Start time on Fault]]="NA","",(PA[[#This Row],[Work Start time on Fault]]-PA[[#This Row],[Fault Time]])*24)</f>
        <v>0</v>
      </c>
      <c r="AF360" s="206">
        <f>IF(PA[[#This Row],[Status]]="Open","",(PA[[#This Row],[Work Completion time on fault]]-PA[[#This Row],[Fault Time]])*24)</f>
        <v>0</v>
      </c>
      <c r="AG360" s="205">
        <f>IFERROR((PA[[#This Row],[Work Completion time on fault]]-PA[[#This Row],[Fault Time]])*24,"")</f>
        <v>0</v>
      </c>
      <c r="AH360" s="36"/>
      <c r="AI360" s="33"/>
      <c r="AJ360" s="204" t="str">
        <f>IFERROR(PA[[#This Row],[Breakdown Time]]*PA[[#This Row],[Plant Equivalent Weightage]],"")</f>
        <v/>
      </c>
      <c r="AK360" s="38"/>
      <c r="AL360" s="51" t="str">
        <f>IFERROR((_xlfn.XLOOKUP($G360,'Modelling New'!D:D,'Modelling New'!$O:$O)*PA[[#This Row],[Lost PoA(kWh/m2)]]*PA[[#This Row],[DC Capacity Affected (kW)]]),"")</f>
        <v/>
      </c>
      <c r="AM360" s="33"/>
      <c r="AN360" s="33"/>
      <c r="AO360" s="33"/>
      <c r="AP360" s="33"/>
    </row>
    <row r="361" spans="1:42">
      <c r="A361" s="30">
        <f t="shared" si="3"/>
        <v>360</v>
      </c>
      <c r="B361" s="31"/>
      <c r="C361" s="212">
        <f>YEAR(PA[[#This Row],[Date]])+IF(MONTH(PA[[#This Row],[Date]])&gt;=4,1,0)</f>
        <v>1900</v>
      </c>
      <c r="D361" s="212">
        <f>YEAR(PA[[#This Row],[Date]])</f>
        <v>1900</v>
      </c>
      <c r="E361" s="37" t="s">
        <v>157</v>
      </c>
      <c r="F361" s="37" t="s">
        <v>157</v>
      </c>
      <c r="G361" s="214">
        <f>PA[[#This Row],[Date]]-DAY(PA[[#This Row],[Date]])+1</f>
        <v>1</v>
      </c>
      <c r="H361" s="32">
        <f>DAY(EOMONTH(PA[[#This Row],[Month Year]],0))</f>
        <v>31</v>
      </c>
      <c r="I361" s="34"/>
      <c r="J361" s="34"/>
      <c r="K361" s="35">
        <f>IFERROR((PA[[#This Row],[Sunset Time (POA&lt;20 W/m2)]]-PA[[#This Row],[Sunrise Time (POA&gt;20 W/m2)]])*24,"")</f>
        <v>0</v>
      </c>
      <c r="L361" s="33"/>
      <c r="M361" s="37"/>
      <c r="N361" s="33"/>
      <c r="O361" s="36"/>
      <c r="P361" s="36"/>
      <c r="Q361" s="33"/>
      <c r="R361" s="32">
        <f>IF((PA[[#This Row],[String Type(If String BD)]]&amp;PA[[#This Row],[Equipment (If any BD other than PV  array and inv)]])="",1,0)</f>
        <v>1</v>
      </c>
      <c r="S361" s="32">
        <f>IF(PA[[#This Row],[String Type(If String BD)]]="",1,0)</f>
        <v>1</v>
      </c>
      <c r="T36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1" s="35" t="str">
        <f>IFERROR(_xlfn.XLOOKUP(PA[[#This Row],[Affected Equipment ]],'Basic Data'!N:N,'Basic Data'!Q:Q),"")</f>
        <v/>
      </c>
      <c r="V361" s="207" t="str">
        <f>IFERROR(_xlfn.XLOOKUP(PA[[#This Row],[Affected Equipment ]],'Basic Data'!N:N,'Basic Data'!R:R),"")</f>
        <v/>
      </c>
      <c r="W361" s="36"/>
      <c r="X361" s="40"/>
      <c r="Y361" s="41"/>
      <c r="Z361" s="46"/>
      <c r="AA361" s="46"/>
      <c r="AB361" s="46"/>
      <c r="AC361" s="46"/>
      <c r="AD361" s="44">
        <f>IF(PA[[#This Row],[Acknowledgement Time ]]="NA","",(PA[[#This Row],[Acknowledgement Time ]]-PA[[#This Row],[Fault Time]])*24)</f>
        <v>0</v>
      </c>
      <c r="AE361" s="44">
        <f>IF(PA[[#This Row],[Work Start time on Fault]]="NA","",(PA[[#This Row],[Work Start time on Fault]]-PA[[#This Row],[Fault Time]])*24)</f>
        <v>0</v>
      </c>
      <c r="AF361" s="45">
        <f>IF(PA[[#This Row],[Status]]="Open","",(PA[[#This Row],[Work Completion time on fault]]-PA[[#This Row],[Fault Time]])*24)</f>
        <v>0</v>
      </c>
      <c r="AG361" s="44">
        <f>IFERROR((PA[[#This Row],[Work Completion time on fault]]-PA[[#This Row],[Fault Time]])*24,"")</f>
        <v>0</v>
      </c>
      <c r="AH361" s="36"/>
      <c r="AI361" s="33"/>
      <c r="AJ361" s="35" t="str">
        <f>IFERROR(PA[[#This Row],[Breakdown Time]]*PA[[#This Row],[Plant Equivalent Weightage]],"")</f>
        <v/>
      </c>
      <c r="AK361" s="36"/>
      <c r="AL361" s="51" t="str">
        <f>IFERROR((_xlfn.XLOOKUP($G361,'Modelling New'!D:D,'Modelling New'!$O:$O)*PA[[#This Row],[Lost PoA(kWh/m2)]]*PA[[#This Row],[DC Capacity Affected (kW)]]),"")</f>
        <v/>
      </c>
      <c r="AM361" s="33"/>
      <c r="AN361" s="33"/>
      <c r="AO361" s="33"/>
      <c r="AP361" s="33"/>
    </row>
    <row r="362" spans="1:42">
      <c r="A362" s="30">
        <f t="shared" si="3"/>
        <v>361</v>
      </c>
      <c r="B362" s="31"/>
      <c r="C362" s="212">
        <f>YEAR(PA[[#This Row],[Date]])+IF(MONTH(PA[[#This Row],[Date]])&gt;=4,1,0)</f>
        <v>1900</v>
      </c>
      <c r="D362" s="212">
        <f>YEAR(PA[[#This Row],[Date]])</f>
        <v>1900</v>
      </c>
      <c r="E362" s="37" t="s">
        <v>157</v>
      </c>
      <c r="F362" s="37" t="s">
        <v>157</v>
      </c>
      <c r="G362" s="214">
        <f>PA[[#This Row],[Date]]-DAY(PA[[#This Row],[Date]])+1</f>
        <v>1</v>
      </c>
      <c r="H362" s="32">
        <f>DAY(EOMONTH(PA[[#This Row],[Month Year]],0))</f>
        <v>31</v>
      </c>
      <c r="I362" s="34"/>
      <c r="J362" s="34"/>
      <c r="K362" s="35">
        <f>IFERROR((PA[[#This Row],[Sunset Time (POA&lt;20 W/m2)]]-PA[[#This Row],[Sunrise Time (POA&gt;20 W/m2)]])*24,"")</f>
        <v>0</v>
      </c>
      <c r="L362" s="33"/>
      <c r="M362" s="37"/>
      <c r="N362" s="33"/>
      <c r="O362" s="36"/>
      <c r="P362" s="36"/>
      <c r="Q362" s="33"/>
      <c r="R362" s="32">
        <f>IF((PA[[#This Row],[String Type(If String BD)]]&amp;PA[[#This Row],[Equipment (If any BD other than PV  array and inv)]])="",1,0)</f>
        <v>1</v>
      </c>
      <c r="S362" s="32">
        <f>IF(PA[[#This Row],[String Type(If String BD)]]="",1,0)</f>
        <v>1</v>
      </c>
      <c r="T36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2" s="35" t="str">
        <f>IFERROR(_xlfn.XLOOKUP(PA[[#This Row],[Affected Equipment ]],'Basic Data'!N:N,'Basic Data'!Q:Q),"")</f>
        <v/>
      </c>
      <c r="V362" s="207" t="str">
        <f>IFERROR(_xlfn.XLOOKUP(PA[[#This Row],[Affected Equipment ]],'Basic Data'!N:N,'Basic Data'!R:R),"")</f>
        <v/>
      </c>
      <c r="W362" s="36"/>
      <c r="X362" s="40"/>
      <c r="Y362" s="41"/>
      <c r="Z362" s="46"/>
      <c r="AA362" s="46"/>
      <c r="AB362" s="46"/>
      <c r="AC362" s="46"/>
      <c r="AD362" s="44">
        <f>IF(PA[[#This Row],[Acknowledgement Time ]]="NA","",(PA[[#This Row],[Acknowledgement Time ]]-PA[[#This Row],[Fault Time]])*24)</f>
        <v>0</v>
      </c>
      <c r="AE362" s="44">
        <f>IF(PA[[#This Row],[Work Start time on Fault]]="NA","",(PA[[#This Row],[Work Start time on Fault]]-PA[[#This Row],[Fault Time]])*24)</f>
        <v>0</v>
      </c>
      <c r="AF362" s="45">
        <f>IF(PA[[#This Row],[Status]]="Open","",(PA[[#This Row],[Work Completion time on fault]]-PA[[#This Row],[Fault Time]])*24)</f>
        <v>0</v>
      </c>
      <c r="AG362" s="44">
        <f>IFERROR((PA[[#This Row],[Work Completion time on fault]]-PA[[#This Row],[Fault Time]])*24,"")</f>
        <v>0</v>
      </c>
      <c r="AH362" s="36"/>
      <c r="AI362" s="33"/>
      <c r="AJ362" s="35" t="str">
        <f>IFERROR(PA[[#This Row],[Breakdown Time]]*PA[[#This Row],[Plant Equivalent Weightage]],"")</f>
        <v/>
      </c>
      <c r="AK362" s="36"/>
      <c r="AL362" s="51" t="str">
        <f>IFERROR((_xlfn.XLOOKUP($G362,'Modelling New'!D:D,'Modelling New'!$O:$O)*PA[[#This Row],[Lost PoA(kWh/m2)]]*PA[[#This Row],[DC Capacity Affected (kW)]]),"")</f>
        <v/>
      </c>
      <c r="AM362" s="33"/>
      <c r="AN362" s="33"/>
      <c r="AO362" s="33"/>
      <c r="AP362" s="33"/>
    </row>
    <row r="363" spans="1:42">
      <c r="A363" s="30">
        <f t="shared" si="3"/>
        <v>362</v>
      </c>
      <c r="B363" s="31"/>
      <c r="C363" s="212">
        <f>YEAR(PA[[#This Row],[Date]])+IF(MONTH(PA[[#This Row],[Date]])&gt;=4,1,0)</f>
        <v>1900</v>
      </c>
      <c r="D363" s="212">
        <f>YEAR(PA[[#This Row],[Date]])</f>
        <v>1900</v>
      </c>
      <c r="E363" s="37" t="s">
        <v>157</v>
      </c>
      <c r="F363" s="37" t="s">
        <v>157</v>
      </c>
      <c r="G363" s="214">
        <f>PA[[#This Row],[Date]]-DAY(PA[[#This Row],[Date]])+1</f>
        <v>1</v>
      </c>
      <c r="H363" s="32">
        <f>DAY(EOMONTH(PA[[#This Row],[Month Year]],0))</f>
        <v>31</v>
      </c>
      <c r="I363" s="34"/>
      <c r="J363" s="34"/>
      <c r="K363" s="35">
        <f>IFERROR((PA[[#This Row],[Sunset Time (POA&lt;20 W/m2)]]-PA[[#This Row],[Sunrise Time (POA&gt;20 W/m2)]])*24,"")</f>
        <v>0</v>
      </c>
      <c r="L363" s="33"/>
      <c r="M363" s="33"/>
      <c r="N363" s="33"/>
      <c r="O363" s="36"/>
      <c r="P363" s="36"/>
      <c r="Q363" s="33"/>
      <c r="R363" s="32">
        <f>IF((PA[[#This Row],[String Type(If String BD)]]&amp;PA[[#This Row],[Equipment (If any BD other than PV  array and inv)]])="",1,0)</f>
        <v>1</v>
      </c>
      <c r="S363" s="32">
        <f>IF(PA[[#This Row],[String Type(If String BD)]]="",1,0)</f>
        <v>1</v>
      </c>
      <c r="T36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3" s="35" t="str">
        <f>IFERROR(_xlfn.XLOOKUP(PA[[#This Row],[Affected Equipment ]],'Basic Data'!N:N,'Basic Data'!Q:Q),"")</f>
        <v/>
      </c>
      <c r="V363" s="207" t="str">
        <f>IFERROR(_xlfn.XLOOKUP(PA[[#This Row],[Affected Equipment ]],'Basic Data'!N:N,'Basic Data'!R:R),"")</f>
        <v/>
      </c>
      <c r="W363" s="36"/>
      <c r="X363" s="40"/>
      <c r="Y363" s="41"/>
      <c r="Z363" s="46"/>
      <c r="AA363" s="46"/>
      <c r="AB363" s="46"/>
      <c r="AC363" s="46"/>
      <c r="AD363" s="44">
        <f>IF(PA[[#This Row],[Acknowledgement Time ]]="NA","",(PA[[#This Row],[Acknowledgement Time ]]-PA[[#This Row],[Fault Time]])*24)</f>
        <v>0</v>
      </c>
      <c r="AE363" s="44">
        <f>IF(PA[[#This Row],[Work Start time on Fault]]="NA","",(PA[[#This Row],[Work Start time on Fault]]-PA[[#This Row],[Fault Time]])*24)</f>
        <v>0</v>
      </c>
      <c r="AF363" s="45">
        <f>IF(PA[[#This Row],[Status]]="Open","",(PA[[#This Row],[Work Completion time on fault]]-PA[[#This Row],[Fault Time]])*24)</f>
        <v>0</v>
      </c>
      <c r="AG363" s="44">
        <f>IFERROR((PA[[#This Row],[Work Completion time on fault]]-PA[[#This Row],[Fault Time]])*24,"")</f>
        <v>0</v>
      </c>
      <c r="AH363" s="36"/>
      <c r="AI363" s="33"/>
      <c r="AJ363" s="35" t="str">
        <f>IFERROR(PA[[#This Row],[Breakdown Time]]*PA[[#This Row],[Plant Equivalent Weightage]],"")</f>
        <v/>
      </c>
      <c r="AK363" s="36"/>
      <c r="AL363" s="51" t="str">
        <f>IFERROR((_xlfn.XLOOKUP($G363,'Modelling New'!D:D,'Modelling New'!$O:$O)*PA[[#This Row],[Lost PoA(kWh/m2)]]*PA[[#This Row],[DC Capacity Affected (kW)]]),"")</f>
        <v/>
      </c>
      <c r="AM363" s="33"/>
      <c r="AN363" s="33"/>
      <c r="AO363" s="33"/>
      <c r="AP363" s="33"/>
    </row>
    <row r="364" spans="1:42">
      <c r="A364" s="30">
        <f t="shared" si="3"/>
        <v>363</v>
      </c>
      <c r="B364" s="31"/>
      <c r="C364" s="212">
        <f>YEAR(PA[[#This Row],[Date]])+IF(MONTH(PA[[#This Row],[Date]])&gt;=4,1,0)</f>
        <v>1900</v>
      </c>
      <c r="D364" s="212">
        <f>YEAR(PA[[#This Row],[Date]])</f>
        <v>1900</v>
      </c>
      <c r="E364" s="37" t="s">
        <v>157</v>
      </c>
      <c r="F364" s="37" t="s">
        <v>157</v>
      </c>
      <c r="G364" s="214">
        <f>PA[[#This Row],[Date]]-DAY(PA[[#This Row],[Date]])+1</f>
        <v>1</v>
      </c>
      <c r="H364" s="32">
        <f>DAY(EOMONTH(PA[[#This Row],[Month Year]],0))</f>
        <v>31</v>
      </c>
      <c r="I364" s="34"/>
      <c r="J364" s="34"/>
      <c r="K364" s="35">
        <f>IFERROR((PA[[#This Row],[Sunset Time (POA&lt;20 W/m2)]]-PA[[#This Row],[Sunrise Time (POA&gt;20 W/m2)]])*24,"")</f>
        <v>0</v>
      </c>
      <c r="L364" s="33"/>
      <c r="M364" s="33"/>
      <c r="N364" s="33"/>
      <c r="O364" s="36"/>
      <c r="P364" s="36"/>
      <c r="Q364" s="33"/>
      <c r="R364" s="32">
        <f>IF((PA[[#This Row],[String Type(If String BD)]]&amp;PA[[#This Row],[Equipment (If any BD other than PV  array and inv)]])="",1,0)</f>
        <v>1</v>
      </c>
      <c r="S364" s="32">
        <f>IF(PA[[#This Row],[String Type(If String BD)]]="",1,0)</f>
        <v>1</v>
      </c>
      <c r="T36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4" s="35" t="str">
        <f>IFERROR(_xlfn.XLOOKUP(PA[[#This Row],[Affected Equipment ]],'Basic Data'!N:N,'Basic Data'!Q:Q),"")</f>
        <v/>
      </c>
      <c r="V364" s="207" t="str">
        <f>IFERROR(_xlfn.XLOOKUP(PA[[#This Row],[Affected Equipment ]],'Basic Data'!N:N,'Basic Data'!R:R),"")</f>
        <v/>
      </c>
      <c r="W364" s="36"/>
      <c r="X364" s="40"/>
      <c r="Y364" s="41"/>
      <c r="Z364" s="46"/>
      <c r="AA364" s="46"/>
      <c r="AB364" s="46"/>
      <c r="AC364" s="46"/>
      <c r="AD364" s="44">
        <f>IF(PA[[#This Row],[Acknowledgement Time ]]="NA","",(PA[[#This Row],[Acknowledgement Time ]]-PA[[#This Row],[Fault Time]])*24)</f>
        <v>0</v>
      </c>
      <c r="AE364" s="44">
        <f>IF(PA[[#This Row],[Work Start time on Fault]]="NA","",(PA[[#This Row],[Work Start time on Fault]]-PA[[#This Row],[Fault Time]])*24)</f>
        <v>0</v>
      </c>
      <c r="AF364" s="45">
        <f>IF(PA[[#This Row],[Status]]="Open","",(PA[[#This Row],[Work Completion time on fault]]-PA[[#This Row],[Fault Time]])*24)</f>
        <v>0</v>
      </c>
      <c r="AG364" s="44">
        <f>IFERROR((PA[[#This Row],[Work Completion time on fault]]-PA[[#This Row],[Fault Time]])*24,"")</f>
        <v>0</v>
      </c>
      <c r="AH364" s="36"/>
      <c r="AI364" s="33"/>
      <c r="AJ364" s="35" t="str">
        <f>IFERROR(PA[[#This Row],[Breakdown Time]]*PA[[#This Row],[Plant Equivalent Weightage]],"")</f>
        <v/>
      </c>
      <c r="AK364" s="36"/>
      <c r="AL364" s="51" t="str">
        <f>IFERROR((_xlfn.XLOOKUP($G364,'Modelling New'!D:D,'Modelling New'!$O:$O)*PA[[#This Row],[Lost PoA(kWh/m2)]]*PA[[#This Row],[DC Capacity Affected (kW)]]),"")</f>
        <v/>
      </c>
      <c r="AM364" s="33"/>
      <c r="AN364" s="33"/>
      <c r="AO364" s="33"/>
      <c r="AP364" s="33"/>
    </row>
    <row r="365" spans="1:42">
      <c r="A365" s="30">
        <f t="shared" si="3"/>
        <v>364</v>
      </c>
      <c r="B365" s="31"/>
      <c r="C365" s="212">
        <f>YEAR(PA[[#This Row],[Date]])+IF(MONTH(PA[[#This Row],[Date]])&gt;=4,1,0)</f>
        <v>1900</v>
      </c>
      <c r="D365" s="212">
        <f>YEAR(PA[[#This Row],[Date]])</f>
        <v>1900</v>
      </c>
      <c r="E365" s="37" t="s">
        <v>157</v>
      </c>
      <c r="F365" s="37" t="s">
        <v>157</v>
      </c>
      <c r="G365" s="214">
        <f>PA[[#This Row],[Date]]-DAY(PA[[#This Row],[Date]])+1</f>
        <v>1</v>
      </c>
      <c r="H365" s="32">
        <f>DAY(EOMONTH(PA[[#This Row],[Month Year]],0))</f>
        <v>31</v>
      </c>
      <c r="I365" s="34"/>
      <c r="J365" s="34"/>
      <c r="K365" s="35">
        <f>IFERROR((PA[[#This Row],[Sunset Time (POA&lt;20 W/m2)]]-PA[[#This Row],[Sunrise Time (POA&gt;20 W/m2)]])*24,"")</f>
        <v>0</v>
      </c>
      <c r="L365" s="33"/>
      <c r="M365" s="33"/>
      <c r="N365" s="33"/>
      <c r="O365" s="36"/>
      <c r="P365" s="36"/>
      <c r="Q365" s="33"/>
      <c r="R365" s="32">
        <f>IF((PA[[#This Row],[String Type(If String BD)]]&amp;PA[[#This Row],[Equipment (If any BD other than PV  array and inv)]])="",1,0)</f>
        <v>1</v>
      </c>
      <c r="S365" s="32">
        <f>IF(PA[[#This Row],[String Type(If String BD)]]="",1,0)</f>
        <v>1</v>
      </c>
      <c r="T36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5" s="35" t="str">
        <f>IFERROR(_xlfn.XLOOKUP(PA[[#This Row],[Affected Equipment ]],'Basic Data'!N:N,'Basic Data'!Q:Q),"")</f>
        <v/>
      </c>
      <c r="V365" s="207" t="str">
        <f>IFERROR(_xlfn.XLOOKUP(PA[[#This Row],[Affected Equipment ]],'Basic Data'!N:N,'Basic Data'!R:R),"")</f>
        <v/>
      </c>
      <c r="W365" s="36"/>
      <c r="X365" s="40"/>
      <c r="Y365" s="41"/>
      <c r="Z365" s="46"/>
      <c r="AA365" s="46"/>
      <c r="AB365" s="46"/>
      <c r="AC365" s="46"/>
      <c r="AD365" s="44">
        <f>IF(PA[[#This Row],[Acknowledgement Time ]]="NA","",(PA[[#This Row],[Acknowledgement Time ]]-PA[[#This Row],[Fault Time]])*24)</f>
        <v>0</v>
      </c>
      <c r="AE365" s="44">
        <f>IF(PA[[#This Row],[Work Start time on Fault]]="NA","",(PA[[#This Row],[Work Start time on Fault]]-PA[[#This Row],[Fault Time]])*24)</f>
        <v>0</v>
      </c>
      <c r="AF365" s="45">
        <f>IF(PA[[#This Row],[Status]]="Open","",(PA[[#This Row],[Work Completion time on fault]]-PA[[#This Row],[Fault Time]])*24)</f>
        <v>0</v>
      </c>
      <c r="AG365" s="44">
        <f>IFERROR((PA[[#This Row],[Work Completion time on fault]]-PA[[#This Row],[Fault Time]])*24,"")</f>
        <v>0</v>
      </c>
      <c r="AH365" s="36"/>
      <c r="AI365" s="33"/>
      <c r="AJ365" s="35" t="str">
        <f>IFERROR(PA[[#This Row],[Breakdown Time]]*PA[[#This Row],[Plant Equivalent Weightage]],"")</f>
        <v/>
      </c>
      <c r="AK365" s="36"/>
      <c r="AL365" s="51" t="str">
        <f>IFERROR((_xlfn.XLOOKUP($G365,'Modelling New'!D:D,'Modelling New'!$O:$O)*PA[[#This Row],[Lost PoA(kWh/m2)]]*PA[[#This Row],[DC Capacity Affected (kW)]]),"")</f>
        <v/>
      </c>
      <c r="AM365" s="33"/>
      <c r="AN365" s="33"/>
      <c r="AO365" s="33"/>
      <c r="AP365" s="33"/>
    </row>
    <row r="366" spans="1:42">
      <c r="A366" s="30">
        <f t="shared" si="3"/>
        <v>365</v>
      </c>
      <c r="B366" s="31"/>
      <c r="C366" s="212">
        <f>YEAR(PA[[#This Row],[Date]])+IF(MONTH(PA[[#This Row],[Date]])&gt;=4,1,0)</f>
        <v>1900</v>
      </c>
      <c r="D366" s="212">
        <f>YEAR(PA[[#This Row],[Date]])</f>
        <v>1900</v>
      </c>
      <c r="E366" s="37" t="s">
        <v>157</v>
      </c>
      <c r="F366" s="37" t="s">
        <v>157</v>
      </c>
      <c r="G366" s="214">
        <f>PA[[#This Row],[Date]]-DAY(PA[[#This Row],[Date]])+1</f>
        <v>1</v>
      </c>
      <c r="H366" s="32">
        <f>DAY(EOMONTH(PA[[#This Row],[Month Year]],0))</f>
        <v>31</v>
      </c>
      <c r="I366" s="34"/>
      <c r="J366" s="34"/>
      <c r="K366" s="35">
        <f>IFERROR((PA[[#This Row],[Sunset Time (POA&lt;20 W/m2)]]-PA[[#This Row],[Sunrise Time (POA&gt;20 W/m2)]])*24,"")</f>
        <v>0</v>
      </c>
      <c r="L366" s="33"/>
      <c r="M366" s="33"/>
      <c r="N366" s="33"/>
      <c r="O366" s="36"/>
      <c r="P366" s="36"/>
      <c r="Q366" s="33"/>
      <c r="R366" s="32">
        <f>IF((PA[[#This Row],[String Type(If String BD)]]&amp;PA[[#This Row],[Equipment (If any BD other than PV  array and inv)]])="",1,0)</f>
        <v>1</v>
      </c>
      <c r="S366" s="32">
        <f>IF(PA[[#This Row],[String Type(If String BD)]]="",1,0)</f>
        <v>1</v>
      </c>
      <c r="T36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6" s="35" t="str">
        <f>IFERROR(_xlfn.XLOOKUP(PA[[#This Row],[Affected Equipment ]],'Basic Data'!N:N,'Basic Data'!Q:Q),"")</f>
        <v/>
      </c>
      <c r="V366" s="207" t="str">
        <f>IFERROR(_xlfn.XLOOKUP(PA[[#This Row],[Affected Equipment ]],'Basic Data'!N:N,'Basic Data'!R:R),"")</f>
        <v/>
      </c>
      <c r="W366" s="36"/>
      <c r="X366" s="40"/>
      <c r="Y366" s="41"/>
      <c r="Z366" s="46"/>
      <c r="AA366" s="46"/>
      <c r="AB366" s="46"/>
      <c r="AC366" s="46"/>
      <c r="AD366" s="44">
        <f>IF(PA[[#This Row],[Acknowledgement Time ]]="NA","",(PA[[#This Row],[Acknowledgement Time ]]-PA[[#This Row],[Fault Time]])*24)</f>
        <v>0</v>
      </c>
      <c r="AE366" s="44">
        <f>IF(PA[[#This Row],[Work Start time on Fault]]="NA","",(PA[[#This Row],[Work Start time on Fault]]-PA[[#This Row],[Fault Time]])*24)</f>
        <v>0</v>
      </c>
      <c r="AF366" s="45">
        <f>IF(PA[[#This Row],[Status]]="Open","",(PA[[#This Row],[Work Completion time on fault]]-PA[[#This Row],[Fault Time]])*24)</f>
        <v>0</v>
      </c>
      <c r="AG366" s="44">
        <f>IFERROR((PA[[#This Row],[Work Completion time on fault]]-PA[[#This Row],[Fault Time]])*24,"")</f>
        <v>0</v>
      </c>
      <c r="AH366" s="36"/>
      <c r="AI366" s="33"/>
      <c r="AJ366" s="35" t="str">
        <f>IFERROR(PA[[#This Row],[Breakdown Time]]*PA[[#This Row],[Plant Equivalent Weightage]],"")</f>
        <v/>
      </c>
      <c r="AK366" s="36"/>
      <c r="AL366" s="51" t="str">
        <f>IFERROR((_xlfn.XLOOKUP($G366,'Modelling New'!D:D,'Modelling New'!$O:$O)*PA[[#This Row],[Lost PoA(kWh/m2)]]*PA[[#This Row],[DC Capacity Affected (kW)]]),"")</f>
        <v/>
      </c>
      <c r="AM366" s="33"/>
      <c r="AN366" s="33"/>
      <c r="AO366" s="33"/>
      <c r="AP366" s="33"/>
    </row>
    <row r="367" spans="1:42">
      <c r="A367" s="30">
        <f t="shared" si="3"/>
        <v>366</v>
      </c>
      <c r="B367" s="31"/>
      <c r="C367" s="212">
        <f>YEAR(PA[[#This Row],[Date]])+IF(MONTH(PA[[#This Row],[Date]])&gt;=4,1,0)</f>
        <v>1900</v>
      </c>
      <c r="D367" s="212">
        <f>YEAR(PA[[#This Row],[Date]])</f>
        <v>1900</v>
      </c>
      <c r="E367" s="37" t="s">
        <v>157</v>
      </c>
      <c r="F367" s="37" t="s">
        <v>157</v>
      </c>
      <c r="G367" s="214">
        <f>PA[[#This Row],[Date]]-DAY(PA[[#This Row],[Date]])+1</f>
        <v>1</v>
      </c>
      <c r="H367" s="32">
        <f>DAY(EOMONTH(PA[[#This Row],[Month Year]],0))</f>
        <v>31</v>
      </c>
      <c r="I367" s="34"/>
      <c r="J367" s="34"/>
      <c r="K367" s="35">
        <f>IFERROR((PA[[#This Row],[Sunset Time (POA&lt;20 W/m2)]]-PA[[#This Row],[Sunrise Time (POA&gt;20 W/m2)]])*24,"")</f>
        <v>0</v>
      </c>
      <c r="L367" s="33"/>
      <c r="M367" s="33"/>
      <c r="N367" s="33"/>
      <c r="O367" s="36"/>
      <c r="P367" s="36"/>
      <c r="Q367" s="33"/>
      <c r="R367" s="32">
        <f>IF((PA[[#This Row],[String Type(If String BD)]]&amp;PA[[#This Row],[Equipment (If any BD other than PV  array and inv)]])="",1,0)</f>
        <v>1</v>
      </c>
      <c r="S367" s="32">
        <f>IF(PA[[#This Row],[String Type(If String BD)]]="",1,0)</f>
        <v>1</v>
      </c>
      <c r="T36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7" s="35" t="str">
        <f>IFERROR(_xlfn.XLOOKUP(PA[[#This Row],[Affected Equipment ]],'Basic Data'!N:N,'Basic Data'!Q:Q),"")</f>
        <v/>
      </c>
      <c r="V367" s="207" t="str">
        <f>IFERROR(_xlfn.XLOOKUP(PA[[#This Row],[Affected Equipment ]],'Basic Data'!N:N,'Basic Data'!R:R),"")</f>
        <v/>
      </c>
      <c r="W367" s="36"/>
      <c r="X367" s="40"/>
      <c r="Y367" s="41"/>
      <c r="Z367" s="46"/>
      <c r="AA367" s="46"/>
      <c r="AB367" s="46"/>
      <c r="AC367" s="46"/>
      <c r="AD367" s="44">
        <f>IF(PA[[#This Row],[Acknowledgement Time ]]="NA","",(PA[[#This Row],[Acknowledgement Time ]]-PA[[#This Row],[Fault Time]])*24)</f>
        <v>0</v>
      </c>
      <c r="AE367" s="44">
        <f>IF(PA[[#This Row],[Work Start time on Fault]]="NA","",(PA[[#This Row],[Work Start time on Fault]]-PA[[#This Row],[Fault Time]])*24)</f>
        <v>0</v>
      </c>
      <c r="AF367" s="45">
        <f>IF(PA[[#This Row],[Status]]="Open","",(PA[[#This Row],[Work Completion time on fault]]-PA[[#This Row],[Fault Time]])*24)</f>
        <v>0</v>
      </c>
      <c r="AG367" s="44">
        <f>IFERROR((PA[[#This Row],[Work Completion time on fault]]-PA[[#This Row],[Fault Time]])*24,"")</f>
        <v>0</v>
      </c>
      <c r="AH367" s="36"/>
      <c r="AI367" s="33"/>
      <c r="AJ367" s="35" t="str">
        <f>IFERROR(PA[[#This Row],[Breakdown Time]]*PA[[#This Row],[Plant Equivalent Weightage]],"")</f>
        <v/>
      </c>
      <c r="AK367" s="36"/>
      <c r="AL367" s="51" t="str">
        <f>IFERROR((_xlfn.XLOOKUP($G367,'Modelling New'!D:D,'Modelling New'!$O:$O)*PA[[#This Row],[Lost PoA(kWh/m2)]]*PA[[#This Row],[DC Capacity Affected (kW)]]),"")</f>
        <v/>
      </c>
      <c r="AM367" s="33"/>
      <c r="AN367" s="33"/>
      <c r="AO367" s="33"/>
      <c r="AP367" s="33"/>
    </row>
    <row r="368" spans="1:42">
      <c r="A368" s="30">
        <f t="shared" si="3"/>
        <v>367</v>
      </c>
      <c r="B368" s="31"/>
      <c r="C368" s="212">
        <f>YEAR(PA[[#This Row],[Date]])+IF(MONTH(PA[[#This Row],[Date]])&gt;=4,1,0)</f>
        <v>1900</v>
      </c>
      <c r="D368" s="212">
        <f>YEAR(PA[[#This Row],[Date]])</f>
        <v>1900</v>
      </c>
      <c r="E368" s="37" t="s">
        <v>157</v>
      </c>
      <c r="F368" s="37" t="s">
        <v>157</v>
      </c>
      <c r="G368" s="214">
        <f>PA[[#This Row],[Date]]-DAY(PA[[#This Row],[Date]])+1</f>
        <v>1</v>
      </c>
      <c r="H368" s="32">
        <f>DAY(EOMONTH(PA[[#This Row],[Month Year]],0))</f>
        <v>31</v>
      </c>
      <c r="I368" s="34"/>
      <c r="J368" s="34"/>
      <c r="K368" s="35">
        <f>IFERROR((PA[[#This Row],[Sunset Time (POA&lt;20 W/m2)]]-PA[[#This Row],[Sunrise Time (POA&gt;20 W/m2)]])*24,"")</f>
        <v>0</v>
      </c>
      <c r="L368" s="33"/>
      <c r="M368" s="33"/>
      <c r="N368" s="33"/>
      <c r="O368" s="36"/>
      <c r="P368" s="36"/>
      <c r="Q368" s="33"/>
      <c r="R368" s="32">
        <f>IF((PA[[#This Row],[String Type(If String BD)]]&amp;PA[[#This Row],[Equipment (If any BD other than PV  array and inv)]])="",1,0)</f>
        <v>1</v>
      </c>
      <c r="S368" s="32">
        <f>IF(PA[[#This Row],[String Type(If String BD)]]="",1,0)</f>
        <v>1</v>
      </c>
      <c r="T36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8" s="35" t="str">
        <f>IFERROR(_xlfn.XLOOKUP(PA[[#This Row],[Affected Equipment ]],'Basic Data'!N:N,'Basic Data'!Q:Q),"")</f>
        <v/>
      </c>
      <c r="V368" s="207" t="str">
        <f>IFERROR(_xlfn.XLOOKUP(PA[[#This Row],[Affected Equipment ]],'Basic Data'!N:N,'Basic Data'!R:R),"")</f>
        <v/>
      </c>
      <c r="W368" s="36"/>
      <c r="X368" s="40"/>
      <c r="Y368" s="40"/>
      <c r="Z368" s="46"/>
      <c r="AA368" s="46"/>
      <c r="AB368" s="46"/>
      <c r="AC368" s="46"/>
      <c r="AD368" s="44">
        <f>IF(PA[[#This Row],[Acknowledgement Time ]]="NA","",(PA[[#This Row],[Acknowledgement Time ]]-PA[[#This Row],[Fault Time]])*24)</f>
        <v>0</v>
      </c>
      <c r="AE368" s="44">
        <f>IF(PA[[#This Row],[Work Start time on Fault]]="NA","",(PA[[#This Row],[Work Start time on Fault]]-PA[[#This Row],[Fault Time]])*24)</f>
        <v>0</v>
      </c>
      <c r="AF368" s="45">
        <f>IF(PA[[#This Row],[Status]]="Open","",(PA[[#This Row],[Work Completion time on fault]]-PA[[#This Row],[Fault Time]])*24)</f>
        <v>0</v>
      </c>
      <c r="AG368" s="44">
        <f>IFERROR((PA[[#This Row],[Work Completion time on fault]]-PA[[#This Row],[Fault Time]])*24,"")</f>
        <v>0</v>
      </c>
      <c r="AH368" s="36"/>
      <c r="AI368" s="33"/>
      <c r="AJ368" s="35" t="str">
        <f>IFERROR(PA[[#This Row],[Breakdown Time]]*PA[[#This Row],[Plant Equivalent Weightage]],"")</f>
        <v/>
      </c>
      <c r="AK368" s="36"/>
      <c r="AL368" s="51" t="str">
        <f>IFERROR((_xlfn.XLOOKUP($G368,'Modelling New'!D:D,'Modelling New'!$O:$O)*PA[[#This Row],[Lost PoA(kWh/m2)]]*PA[[#This Row],[DC Capacity Affected (kW)]]),"")</f>
        <v/>
      </c>
      <c r="AM368" s="33"/>
      <c r="AN368" s="33"/>
      <c r="AO368" s="33"/>
      <c r="AP368" s="33"/>
    </row>
    <row r="369" spans="1:42">
      <c r="A369" s="30">
        <f t="shared" si="3"/>
        <v>368</v>
      </c>
      <c r="B369" s="165"/>
      <c r="C369" s="211">
        <f>YEAR(PA[[#This Row],[Date]])+IF(MONTH(PA[[#This Row],[Date]])&gt;=4,1,0)</f>
        <v>1900</v>
      </c>
      <c r="D369" s="211">
        <f>YEAR(PA[[#This Row],[Date]])</f>
        <v>1900</v>
      </c>
      <c r="E369" s="37" t="s">
        <v>157</v>
      </c>
      <c r="F369" s="37" t="s">
        <v>157</v>
      </c>
      <c r="G369" s="214">
        <f>PA[[#This Row],[Date]]-DAY(PA[[#This Row],[Date]])+1</f>
        <v>1</v>
      </c>
      <c r="H369" s="202">
        <f>DAY(EOMONTH(PA[[#This Row],[Month Year]],0))</f>
        <v>31</v>
      </c>
      <c r="I369" s="34"/>
      <c r="J369" s="34"/>
      <c r="K369" s="35">
        <f>IFERROR((PA[[#This Row],[Sunset Time (POA&lt;20 W/m2)]]-PA[[#This Row],[Sunrise Time (POA&gt;20 W/m2)]])*24,"")</f>
        <v>0</v>
      </c>
      <c r="L369" s="33"/>
      <c r="M369" s="33"/>
      <c r="N369" s="33"/>
      <c r="O369" s="36"/>
      <c r="P369" s="38"/>
      <c r="Q369" s="37"/>
      <c r="R369" s="202">
        <f>IF((PA[[#This Row],[String Type(If String BD)]]&amp;PA[[#This Row],[Equipment (If any BD other than PV  array and inv)]])="",1,0)</f>
        <v>1</v>
      </c>
      <c r="S369" s="202">
        <f>IF(PA[[#This Row],[String Type(If String BD)]]="",1,0)</f>
        <v>1</v>
      </c>
      <c r="T36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69" s="204" t="str">
        <f>IFERROR(_xlfn.XLOOKUP(PA[[#This Row],[Affected Equipment ]],'Basic Data'!N:N,'Basic Data'!Q:Q),"")</f>
        <v/>
      </c>
      <c r="V369" s="208" t="str">
        <f>IFERROR(_xlfn.XLOOKUP(PA[[#This Row],[Affected Equipment ]],'Basic Data'!N:N,'Basic Data'!R:R),"")</f>
        <v/>
      </c>
      <c r="W369" s="38"/>
      <c r="X369" s="41"/>
      <c r="Y369" s="36"/>
      <c r="Z369" s="47"/>
      <c r="AA369" s="47"/>
      <c r="AB369" s="47"/>
      <c r="AC369" s="47"/>
      <c r="AD369" s="205">
        <f>IF(PA[[#This Row],[Acknowledgement Time ]]="NA","",(PA[[#This Row],[Acknowledgement Time ]]-PA[[#This Row],[Fault Time]])*24)</f>
        <v>0</v>
      </c>
      <c r="AE369" s="205">
        <f>IF(PA[[#This Row],[Work Start time on Fault]]="NA","",(PA[[#This Row],[Work Start time on Fault]]-PA[[#This Row],[Fault Time]])*24)</f>
        <v>0</v>
      </c>
      <c r="AF369" s="206">
        <f>IF(PA[[#This Row],[Status]]="Open","",(PA[[#This Row],[Work Completion time on fault]]-PA[[#This Row],[Fault Time]])*24)</f>
        <v>0</v>
      </c>
      <c r="AG369" s="205">
        <f>IFERROR((PA[[#This Row],[Work Completion time on fault]]-PA[[#This Row],[Fault Time]])*24,"")</f>
        <v>0</v>
      </c>
      <c r="AH369" s="38"/>
      <c r="AI369" s="33"/>
      <c r="AJ369" s="204" t="str">
        <f>IFERROR(PA[[#This Row],[Breakdown Time]]*PA[[#This Row],[Plant Equivalent Weightage]],"")</f>
        <v/>
      </c>
      <c r="AK369" s="38"/>
      <c r="AL369" s="51" t="str">
        <f>IFERROR((_xlfn.XLOOKUP($G369,'Modelling New'!D:D,'Modelling New'!$O:$O)*PA[[#This Row],[Lost PoA(kWh/m2)]]*PA[[#This Row],[DC Capacity Affected (kW)]]),"")</f>
        <v/>
      </c>
      <c r="AM369" s="33"/>
      <c r="AN369" s="33"/>
      <c r="AO369" s="33"/>
      <c r="AP369" s="33"/>
    </row>
    <row r="370" spans="1:42">
      <c r="A370" s="30">
        <f t="shared" si="3"/>
        <v>369</v>
      </c>
      <c r="B370" s="165"/>
      <c r="C370" s="212">
        <f>YEAR(PA[[#This Row],[Date]])+IF(MONTH(PA[[#This Row],[Date]])&gt;=4,1,0)</f>
        <v>1900</v>
      </c>
      <c r="D370" s="212">
        <f>YEAR(PA[[#This Row],[Date]])</f>
        <v>1900</v>
      </c>
      <c r="E370" s="37" t="s">
        <v>157</v>
      </c>
      <c r="F370" s="37" t="s">
        <v>157</v>
      </c>
      <c r="G370" s="214">
        <f>PA[[#This Row],[Date]]-DAY(PA[[#This Row],[Date]])+1</f>
        <v>1</v>
      </c>
      <c r="H370" s="32">
        <f>DAY(EOMONTH(PA[[#This Row],[Month Year]],0))</f>
        <v>31</v>
      </c>
      <c r="I370" s="34"/>
      <c r="J370" s="34"/>
      <c r="K370" s="35">
        <f>IFERROR((PA[[#This Row],[Sunset Time (POA&lt;20 W/m2)]]-PA[[#This Row],[Sunrise Time (POA&gt;20 W/m2)]])*24,"")</f>
        <v>0</v>
      </c>
      <c r="L370" s="33"/>
      <c r="M370" s="33"/>
      <c r="N370" s="33"/>
      <c r="O370" s="36"/>
      <c r="P370" s="36"/>
      <c r="Q370" s="33"/>
      <c r="R370" s="32">
        <f>IF((PA[[#This Row],[String Type(If String BD)]]&amp;PA[[#This Row],[Equipment (If any BD other than PV  array and inv)]])="",1,0)</f>
        <v>1</v>
      </c>
      <c r="S370" s="32">
        <f>IF(PA[[#This Row],[String Type(If String BD)]]="",1,0)</f>
        <v>1</v>
      </c>
      <c r="T37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0" s="35" t="str">
        <f>IFERROR(_xlfn.XLOOKUP(PA[[#This Row],[Affected Equipment ]],'Basic Data'!N:N,'Basic Data'!Q:Q),"")</f>
        <v/>
      </c>
      <c r="V370" s="207" t="str">
        <f>IFERROR(_xlfn.XLOOKUP(PA[[#This Row],[Affected Equipment ]],'Basic Data'!N:N,'Basic Data'!R:R),"")</f>
        <v/>
      </c>
      <c r="W370" s="36"/>
      <c r="X370" s="40"/>
      <c r="Y370" s="41"/>
      <c r="Z370" s="46"/>
      <c r="AA370" s="46"/>
      <c r="AB370" s="46"/>
      <c r="AC370" s="46"/>
      <c r="AD370" s="44">
        <f>IF(PA[[#This Row],[Acknowledgement Time ]]="NA","",(PA[[#This Row],[Acknowledgement Time ]]-PA[[#This Row],[Fault Time]])*24)</f>
        <v>0</v>
      </c>
      <c r="AE370" s="44">
        <f>IF(PA[[#This Row],[Work Start time on Fault]]="NA","",(PA[[#This Row],[Work Start time on Fault]]-PA[[#This Row],[Fault Time]])*24)</f>
        <v>0</v>
      </c>
      <c r="AF370" s="45">
        <f>IF(PA[[#This Row],[Status]]="Open","",(PA[[#This Row],[Work Completion time on fault]]-PA[[#This Row],[Fault Time]])*24)</f>
        <v>0</v>
      </c>
      <c r="AG370" s="44">
        <f>IFERROR((PA[[#This Row],[Work Completion time on fault]]-PA[[#This Row],[Fault Time]])*24,"")</f>
        <v>0</v>
      </c>
      <c r="AH370" s="36"/>
      <c r="AI370" s="33"/>
      <c r="AJ370" s="35" t="str">
        <f>IFERROR(PA[[#This Row],[Breakdown Time]]*PA[[#This Row],[Plant Equivalent Weightage]],"")</f>
        <v/>
      </c>
      <c r="AK370" s="36"/>
      <c r="AL370" s="51" t="str">
        <f>IFERROR((_xlfn.XLOOKUP($G370,'Modelling New'!D:D,'Modelling New'!$O:$O)*PA[[#This Row],[Lost PoA(kWh/m2)]]*PA[[#This Row],[DC Capacity Affected (kW)]]),"")</f>
        <v/>
      </c>
      <c r="AM370" s="33"/>
      <c r="AN370" s="33"/>
      <c r="AO370" s="33"/>
      <c r="AP370" s="33"/>
    </row>
    <row r="371" spans="1:42">
      <c r="A371" s="30">
        <f t="shared" si="3"/>
        <v>370</v>
      </c>
      <c r="B371" s="165"/>
      <c r="C371" s="212">
        <f>YEAR(PA[[#This Row],[Date]])+IF(MONTH(PA[[#This Row],[Date]])&gt;=4,1,0)</f>
        <v>1900</v>
      </c>
      <c r="D371" s="212">
        <f>YEAR(PA[[#This Row],[Date]])</f>
        <v>1900</v>
      </c>
      <c r="E371" s="37" t="s">
        <v>157</v>
      </c>
      <c r="F371" s="37" t="s">
        <v>157</v>
      </c>
      <c r="G371" s="214">
        <f>PA[[#This Row],[Date]]-DAY(PA[[#This Row],[Date]])+1</f>
        <v>1</v>
      </c>
      <c r="H371" s="32">
        <f>DAY(EOMONTH(PA[[#This Row],[Month Year]],0))</f>
        <v>31</v>
      </c>
      <c r="I371" s="34"/>
      <c r="J371" s="34"/>
      <c r="K371" s="35">
        <f>IFERROR((PA[[#This Row],[Sunset Time (POA&lt;20 W/m2)]]-PA[[#This Row],[Sunrise Time (POA&gt;20 W/m2)]])*24,"")</f>
        <v>0</v>
      </c>
      <c r="L371" s="33"/>
      <c r="M371" s="33"/>
      <c r="N371" s="33"/>
      <c r="O371" s="36"/>
      <c r="P371" s="36"/>
      <c r="Q371" s="33"/>
      <c r="R371" s="32">
        <f>IF((PA[[#This Row],[String Type(If String BD)]]&amp;PA[[#This Row],[Equipment (If any BD other than PV  array and inv)]])="",1,0)</f>
        <v>1</v>
      </c>
      <c r="S371" s="32">
        <f>IF(PA[[#This Row],[String Type(If String BD)]]="",1,0)</f>
        <v>1</v>
      </c>
      <c r="T37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1" s="35" t="str">
        <f>IFERROR(_xlfn.XLOOKUP(PA[[#This Row],[Affected Equipment ]],'Basic Data'!N:N,'Basic Data'!Q:Q),"")</f>
        <v/>
      </c>
      <c r="V371" s="207" t="str">
        <f>IFERROR(_xlfn.XLOOKUP(PA[[#This Row],[Affected Equipment ]],'Basic Data'!N:N,'Basic Data'!R:R),"")</f>
        <v/>
      </c>
      <c r="W371" s="36"/>
      <c r="X371" s="40"/>
      <c r="Y371" s="40"/>
      <c r="Z371" s="46"/>
      <c r="AA371" s="46"/>
      <c r="AB371" s="46"/>
      <c r="AC371" s="46"/>
      <c r="AD371" s="44">
        <f>IF(PA[[#This Row],[Acknowledgement Time ]]="NA","",(PA[[#This Row],[Acknowledgement Time ]]-PA[[#This Row],[Fault Time]])*24)</f>
        <v>0</v>
      </c>
      <c r="AE371" s="44">
        <f>IF(PA[[#This Row],[Work Start time on Fault]]="NA","",(PA[[#This Row],[Work Start time on Fault]]-PA[[#This Row],[Fault Time]])*24)</f>
        <v>0</v>
      </c>
      <c r="AF371" s="45">
        <f>IF(PA[[#This Row],[Status]]="Open","",(PA[[#This Row],[Work Completion time on fault]]-PA[[#This Row],[Fault Time]])*24)</f>
        <v>0</v>
      </c>
      <c r="AG371" s="44">
        <f>IFERROR((PA[[#This Row],[Work Completion time on fault]]-PA[[#This Row],[Fault Time]])*24,"")</f>
        <v>0</v>
      </c>
      <c r="AH371" s="36"/>
      <c r="AI371" s="33"/>
      <c r="AJ371" s="35" t="str">
        <f>IFERROR(PA[[#This Row],[Breakdown Time]]*PA[[#This Row],[Plant Equivalent Weightage]],"")</f>
        <v/>
      </c>
      <c r="AK371" s="36"/>
      <c r="AL371" s="51" t="str">
        <f>IFERROR((_xlfn.XLOOKUP($G371,'Modelling New'!D:D,'Modelling New'!$O:$O)*PA[[#This Row],[Lost PoA(kWh/m2)]]*PA[[#This Row],[DC Capacity Affected (kW)]]),"")</f>
        <v/>
      </c>
      <c r="AM371" s="33"/>
      <c r="AN371" s="33"/>
      <c r="AO371" s="33"/>
      <c r="AP371" s="33"/>
    </row>
    <row r="372" spans="1:42">
      <c r="A372" s="30">
        <f t="shared" si="3"/>
        <v>371</v>
      </c>
      <c r="B372" s="165"/>
      <c r="C372" s="211">
        <f>YEAR(PA[[#This Row],[Date]])+IF(MONTH(PA[[#This Row],[Date]])&gt;=4,1,0)</f>
        <v>1900</v>
      </c>
      <c r="D372" s="211">
        <f>YEAR(PA[[#This Row],[Date]])</f>
        <v>1900</v>
      </c>
      <c r="E372" s="37" t="s">
        <v>157</v>
      </c>
      <c r="F372" s="37" t="s">
        <v>157</v>
      </c>
      <c r="G372" s="214">
        <f>PA[[#This Row],[Date]]-DAY(PA[[#This Row],[Date]])+1</f>
        <v>1</v>
      </c>
      <c r="H372" s="202">
        <f>DAY(EOMONTH(PA[[#This Row],[Month Year]],0))</f>
        <v>31</v>
      </c>
      <c r="I372" s="34"/>
      <c r="J372" s="34"/>
      <c r="K372" s="35">
        <f>IFERROR((PA[[#This Row],[Sunset Time (POA&lt;20 W/m2)]]-PA[[#This Row],[Sunrise Time (POA&gt;20 W/m2)]])*24,"")</f>
        <v>0</v>
      </c>
      <c r="L372" s="33"/>
      <c r="M372" s="37"/>
      <c r="N372" s="37"/>
      <c r="O372" s="38"/>
      <c r="P372" s="38"/>
      <c r="Q372" s="37"/>
      <c r="R372" s="202">
        <f>IF((PA[[#This Row],[String Type(If String BD)]]&amp;PA[[#This Row],[Equipment (If any BD other than PV  array and inv)]])="",1,0)</f>
        <v>1</v>
      </c>
      <c r="S372" s="202">
        <f>IF(PA[[#This Row],[String Type(If String BD)]]="",1,0)</f>
        <v>1</v>
      </c>
      <c r="T37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2" s="204" t="str">
        <f>IFERROR(_xlfn.XLOOKUP(PA[[#This Row],[Affected Equipment ]],'Basic Data'!N:N,'Basic Data'!Q:Q),"")</f>
        <v/>
      </c>
      <c r="V372" s="208" t="str">
        <f>IFERROR(_xlfn.XLOOKUP(PA[[#This Row],[Affected Equipment ]],'Basic Data'!N:N,'Basic Data'!R:R),"")</f>
        <v/>
      </c>
      <c r="W372" s="38"/>
      <c r="X372" s="41"/>
      <c r="Y372" s="41"/>
      <c r="Z372" s="47"/>
      <c r="AA372" s="47"/>
      <c r="AB372" s="47"/>
      <c r="AC372" s="47"/>
      <c r="AD372" s="205">
        <f>IF(PA[[#This Row],[Acknowledgement Time ]]="NA","",(PA[[#This Row],[Acknowledgement Time ]]-PA[[#This Row],[Fault Time]])*24)</f>
        <v>0</v>
      </c>
      <c r="AE372" s="205">
        <f>IF(PA[[#This Row],[Work Start time on Fault]]="NA","",(PA[[#This Row],[Work Start time on Fault]]-PA[[#This Row],[Fault Time]])*24)</f>
        <v>0</v>
      </c>
      <c r="AF372" s="206">
        <f>IF(PA[[#This Row],[Status]]="Open","",(PA[[#This Row],[Work Completion time on fault]]-PA[[#This Row],[Fault Time]])*24)</f>
        <v>0</v>
      </c>
      <c r="AG372" s="205">
        <f>IFERROR((PA[[#This Row],[Work Completion time on fault]]-PA[[#This Row],[Fault Time]])*24,"")</f>
        <v>0</v>
      </c>
      <c r="AH372" s="36"/>
      <c r="AI372" s="33"/>
      <c r="AJ372" s="204" t="str">
        <f>IFERROR(PA[[#This Row],[Breakdown Time]]*PA[[#This Row],[Plant Equivalent Weightage]],"")</f>
        <v/>
      </c>
      <c r="AK372" s="38"/>
      <c r="AL372" s="51" t="str">
        <f>IFERROR((_xlfn.XLOOKUP($G372,'Modelling New'!D:D,'Modelling New'!$O:$O)*PA[[#This Row],[Lost PoA(kWh/m2)]]*PA[[#This Row],[DC Capacity Affected (kW)]]),"")</f>
        <v/>
      </c>
      <c r="AM372" s="33"/>
      <c r="AN372" s="33"/>
      <c r="AO372" s="33"/>
      <c r="AP372" s="33"/>
    </row>
    <row r="373" spans="1:42">
      <c r="A373" s="30">
        <f t="shared" si="3"/>
        <v>372</v>
      </c>
      <c r="B373" s="165"/>
      <c r="C373" s="212">
        <f>YEAR(PA[[#This Row],[Date]])+IF(MONTH(PA[[#This Row],[Date]])&gt;=4,1,0)</f>
        <v>1900</v>
      </c>
      <c r="D373" s="212">
        <f>YEAR(PA[[#This Row],[Date]])</f>
        <v>1900</v>
      </c>
      <c r="E373" s="37" t="s">
        <v>157</v>
      </c>
      <c r="F373" s="37" t="s">
        <v>157</v>
      </c>
      <c r="G373" s="214">
        <f>PA[[#This Row],[Date]]-DAY(PA[[#This Row],[Date]])+1</f>
        <v>1</v>
      </c>
      <c r="H373" s="32">
        <f>DAY(EOMONTH(PA[[#This Row],[Month Year]],0))</f>
        <v>31</v>
      </c>
      <c r="I373" s="34"/>
      <c r="J373" s="34"/>
      <c r="K373" s="35">
        <f>IFERROR((PA[[#This Row],[Sunset Time (POA&lt;20 W/m2)]]-PA[[#This Row],[Sunrise Time (POA&gt;20 W/m2)]])*24,"")</f>
        <v>0</v>
      </c>
      <c r="L373" s="33"/>
      <c r="M373" s="33"/>
      <c r="N373" s="33"/>
      <c r="O373" s="36"/>
      <c r="P373" s="36"/>
      <c r="Q373" s="33"/>
      <c r="R373" s="32">
        <f>IF((PA[[#This Row],[String Type(If String BD)]]&amp;PA[[#This Row],[Equipment (If any BD other than PV  array and inv)]])="",1,0)</f>
        <v>1</v>
      </c>
      <c r="S373" s="32">
        <f>IF(PA[[#This Row],[String Type(If String BD)]]="",1,0)</f>
        <v>1</v>
      </c>
      <c r="T37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3" s="35" t="str">
        <f>IFERROR(_xlfn.XLOOKUP(PA[[#This Row],[Affected Equipment ]],'Basic Data'!N:N,'Basic Data'!Q:Q),"")</f>
        <v/>
      </c>
      <c r="V373" s="207" t="str">
        <f>IFERROR(_xlfn.XLOOKUP(PA[[#This Row],[Affected Equipment ]],'Basic Data'!N:N,'Basic Data'!R:R),"")</f>
        <v/>
      </c>
      <c r="W373" s="36"/>
      <c r="X373" s="40"/>
      <c r="Y373" s="41"/>
      <c r="Z373" s="46"/>
      <c r="AA373" s="46"/>
      <c r="AB373" s="46"/>
      <c r="AC373" s="46"/>
      <c r="AD373" s="44">
        <f>IF(PA[[#This Row],[Acknowledgement Time ]]="NA","",(PA[[#This Row],[Acknowledgement Time ]]-PA[[#This Row],[Fault Time]])*24)</f>
        <v>0</v>
      </c>
      <c r="AE373" s="44">
        <f>IF(PA[[#This Row],[Work Start time on Fault]]="NA","",(PA[[#This Row],[Work Start time on Fault]]-PA[[#This Row],[Fault Time]])*24)</f>
        <v>0</v>
      </c>
      <c r="AF373" s="45">
        <f>IF(PA[[#This Row],[Status]]="Open","",(PA[[#This Row],[Work Completion time on fault]]-PA[[#This Row],[Fault Time]])*24)</f>
        <v>0</v>
      </c>
      <c r="AG373" s="44">
        <f>IFERROR((PA[[#This Row],[Work Completion time on fault]]-PA[[#This Row],[Fault Time]])*24,"")</f>
        <v>0</v>
      </c>
      <c r="AH373" s="36"/>
      <c r="AI373" s="33"/>
      <c r="AJ373" s="35" t="str">
        <f>IFERROR(PA[[#This Row],[Breakdown Time]]*PA[[#This Row],[Plant Equivalent Weightage]],"")</f>
        <v/>
      </c>
      <c r="AK373" s="36"/>
      <c r="AL373" s="51" t="str">
        <f>IFERROR((_xlfn.XLOOKUP($G373,'Modelling New'!D:D,'Modelling New'!$O:$O)*PA[[#This Row],[Lost PoA(kWh/m2)]]*PA[[#This Row],[DC Capacity Affected (kW)]]),"")</f>
        <v/>
      </c>
      <c r="AM373" s="33"/>
      <c r="AN373" s="33"/>
      <c r="AO373" s="33"/>
      <c r="AP373" s="33"/>
    </row>
    <row r="374" spans="1:42">
      <c r="A374" s="30">
        <f t="shared" si="3"/>
        <v>373</v>
      </c>
      <c r="B374" s="165"/>
      <c r="C374" s="212">
        <f>YEAR(PA[[#This Row],[Date]])+IF(MONTH(PA[[#This Row],[Date]])&gt;=4,1,0)</f>
        <v>1900</v>
      </c>
      <c r="D374" s="212">
        <f>YEAR(PA[[#This Row],[Date]])</f>
        <v>1900</v>
      </c>
      <c r="E374" s="37" t="s">
        <v>157</v>
      </c>
      <c r="F374" s="37" t="s">
        <v>157</v>
      </c>
      <c r="G374" s="214">
        <f>PA[[#This Row],[Date]]-DAY(PA[[#This Row],[Date]])+1</f>
        <v>1</v>
      </c>
      <c r="H374" s="32">
        <f>DAY(EOMONTH(PA[[#This Row],[Month Year]],0))</f>
        <v>31</v>
      </c>
      <c r="I374" s="34"/>
      <c r="J374" s="34"/>
      <c r="K374" s="35">
        <f>IFERROR((PA[[#This Row],[Sunset Time (POA&lt;20 W/m2)]]-PA[[#This Row],[Sunrise Time (POA&gt;20 W/m2)]])*24,"")</f>
        <v>0</v>
      </c>
      <c r="L374" s="33"/>
      <c r="M374" s="33"/>
      <c r="N374" s="33"/>
      <c r="O374" s="36"/>
      <c r="P374" s="36"/>
      <c r="Q374" s="33"/>
      <c r="R374" s="32">
        <f>IF((PA[[#This Row],[String Type(If String BD)]]&amp;PA[[#This Row],[Equipment (If any BD other than PV  array and inv)]])="",1,0)</f>
        <v>1</v>
      </c>
      <c r="S374" s="32">
        <f>IF(PA[[#This Row],[String Type(If String BD)]]="",1,0)</f>
        <v>1</v>
      </c>
      <c r="T37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4" s="35" t="str">
        <f>IFERROR(_xlfn.XLOOKUP(PA[[#This Row],[Affected Equipment ]],'Basic Data'!N:N,'Basic Data'!Q:Q),"")</f>
        <v/>
      </c>
      <c r="V374" s="207" t="str">
        <f>IFERROR(_xlfn.XLOOKUP(PA[[#This Row],[Affected Equipment ]],'Basic Data'!N:N,'Basic Data'!R:R),"")</f>
        <v/>
      </c>
      <c r="W374" s="36"/>
      <c r="X374" s="40"/>
      <c r="Y374" s="41"/>
      <c r="Z374" s="46"/>
      <c r="AA374" s="46"/>
      <c r="AB374" s="46"/>
      <c r="AC374" s="46"/>
      <c r="AD374" s="44">
        <f>IF(PA[[#This Row],[Acknowledgement Time ]]="NA","",(PA[[#This Row],[Acknowledgement Time ]]-PA[[#This Row],[Fault Time]])*24)</f>
        <v>0</v>
      </c>
      <c r="AE374" s="44">
        <f>IF(PA[[#This Row],[Work Start time on Fault]]="NA","",(PA[[#This Row],[Work Start time on Fault]]-PA[[#This Row],[Fault Time]])*24)</f>
        <v>0</v>
      </c>
      <c r="AF374" s="45">
        <f>IF(PA[[#This Row],[Status]]="Open","",(PA[[#This Row],[Work Completion time on fault]]-PA[[#This Row],[Fault Time]])*24)</f>
        <v>0</v>
      </c>
      <c r="AG374" s="44">
        <f>IFERROR((PA[[#This Row],[Work Completion time on fault]]-PA[[#This Row],[Fault Time]])*24,"")</f>
        <v>0</v>
      </c>
      <c r="AH374" s="36"/>
      <c r="AI374" s="33"/>
      <c r="AJ374" s="35" t="str">
        <f>IFERROR(PA[[#This Row],[Breakdown Time]]*PA[[#This Row],[Plant Equivalent Weightage]],"")</f>
        <v/>
      </c>
      <c r="AK374" s="36"/>
      <c r="AL374" s="51" t="str">
        <f>IFERROR((_xlfn.XLOOKUP($G374,'Modelling New'!D:D,'Modelling New'!$O:$O)*PA[[#This Row],[Lost PoA(kWh/m2)]]*PA[[#This Row],[DC Capacity Affected (kW)]]),"")</f>
        <v/>
      </c>
      <c r="AM374" s="33"/>
      <c r="AN374" s="33"/>
      <c r="AO374" s="33"/>
      <c r="AP374" s="33"/>
    </row>
    <row r="375" spans="1:42">
      <c r="A375" s="30">
        <f t="shared" si="3"/>
        <v>374</v>
      </c>
      <c r="B375" s="165"/>
      <c r="C375" s="212">
        <f>YEAR(PA[[#This Row],[Date]])+IF(MONTH(PA[[#This Row],[Date]])&gt;=4,1,0)</f>
        <v>1900</v>
      </c>
      <c r="D375" s="212">
        <f>YEAR(PA[[#This Row],[Date]])</f>
        <v>1900</v>
      </c>
      <c r="E375" s="37" t="s">
        <v>157</v>
      </c>
      <c r="F375" s="37" t="s">
        <v>157</v>
      </c>
      <c r="G375" s="214">
        <f>PA[[#This Row],[Date]]-DAY(PA[[#This Row],[Date]])+1</f>
        <v>1</v>
      </c>
      <c r="H375" s="32">
        <f>DAY(EOMONTH(PA[[#This Row],[Month Year]],0))</f>
        <v>31</v>
      </c>
      <c r="I375" s="34"/>
      <c r="J375" s="34"/>
      <c r="K375" s="35">
        <f>IFERROR((PA[[#This Row],[Sunset Time (POA&lt;20 W/m2)]]-PA[[#This Row],[Sunrise Time (POA&gt;20 W/m2)]])*24,"")</f>
        <v>0</v>
      </c>
      <c r="L375" s="33"/>
      <c r="M375" s="33"/>
      <c r="N375" s="33"/>
      <c r="O375" s="36"/>
      <c r="P375" s="36"/>
      <c r="Q375" s="33"/>
      <c r="R375" s="32">
        <f>IF((PA[[#This Row],[String Type(If String BD)]]&amp;PA[[#This Row],[Equipment (If any BD other than PV  array and inv)]])="",1,0)</f>
        <v>1</v>
      </c>
      <c r="S375" s="32">
        <f>IF(PA[[#This Row],[String Type(If String BD)]]="",1,0)</f>
        <v>1</v>
      </c>
      <c r="T37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5" s="35" t="str">
        <f>IFERROR(_xlfn.XLOOKUP(PA[[#This Row],[Affected Equipment ]],'Basic Data'!N:N,'Basic Data'!Q:Q),"")</f>
        <v/>
      </c>
      <c r="V375" s="207" t="str">
        <f>IFERROR(_xlfn.XLOOKUP(PA[[#This Row],[Affected Equipment ]],'Basic Data'!N:N,'Basic Data'!R:R),"")</f>
        <v/>
      </c>
      <c r="W375" s="36"/>
      <c r="X375" s="40"/>
      <c r="Y375" s="41"/>
      <c r="Z375" s="46"/>
      <c r="AA375" s="46"/>
      <c r="AB375" s="46"/>
      <c r="AC375" s="46"/>
      <c r="AD375" s="44">
        <f>IF(PA[[#This Row],[Acknowledgement Time ]]="NA","",(PA[[#This Row],[Acknowledgement Time ]]-PA[[#This Row],[Fault Time]])*24)</f>
        <v>0</v>
      </c>
      <c r="AE375" s="44">
        <f>IF(PA[[#This Row],[Work Start time on Fault]]="NA","",(PA[[#This Row],[Work Start time on Fault]]-PA[[#This Row],[Fault Time]])*24)</f>
        <v>0</v>
      </c>
      <c r="AF375" s="45">
        <f>IF(PA[[#This Row],[Status]]="Open","",(PA[[#This Row],[Work Completion time on fault]]-PA[[#This Row],[Fault Time]])*24)</f>
        <v>0</v>
      </c>
      <c r="AG375" s="44">
        <f>IFERROR((PA[[#This Row],[Work Completion time on fault]]-PA[[#This Row],[Fault Time]])*24,"")</f>
        <v>0</v>
      </c>
      <c r="AH375" s="36"/>
      <c r="AI375" s="33"/>
      <c r="AJ375" s="35" t="str">
        <f>IFERROR(PA[[#This Row],[Breakdown Time]]*PA[[#This Row],[Plant Equivalent Weightage]],"")</f>
        <v/>
      </c>
      <c r="AK375" s="36"/>
      <c r="AL375" s="51" t="str">
        <f>IFERROR((_xlfn.XLOOKUP($G375,'Modelling New'!D:D,'Modelling New'!$O:$O)*PA[[#This Row],[Lost PoA(kWh/m2)]]*PA[[#This Row],[DC Capacity Affected (kW)]]),"")</f>
        <v/>
      </c>
      <c r="AM375" s="33"/>
      <c r="AN375" s="33"/>
      <c r="AO375" s="33"/>
      <c r="AP375" s="33"/>
    </row>
    <row r="376" spans="1:42">
      <c r="A376" s="30">
        <f t="shared" si="3"/>
        <v>375</v>
      </c>
      <c r="B376" s="165"/>
      <c r="C376" s="212">
        <f>YEAR(PA[[#This Row],[Date]])+IF(MONTH(PA[[#This Row],[Date]])&gt;=4,1,0)</f>
        <v>1900</v>
      </c>
      <c r="D376" s="212">
        <f>YEAR(PA[[#This Row],[Date]])</f>
        <v>1900</v>
      </c>
      <c r="E376" s="37" t="s">
        <v>157</v>
      </c>
      <c r="F376" s="37" t="s">
        <v>157</v>
      </c>
      <c r="G376" s="214">
        <f>PA[[#This Row],[Date]]-DAY(PA[[#This Row],[Date]])+1</f>
        <v>1</v>
      </c>
      <c r="H376" s="32">
        <f>DAY(EOMONTH(PA[[#This Row],[Month Year]],0))</f>
        <v>31</v>
      </c>
      <c r="I376" s="34"/>
      <c r="J376" s="34"/>
      <c r="K376" s="35">
        <f>IFERROR((PA[[#This Row],[Sunset Time (POA&lt;20 W/m2)]]-PA[[#This Row],[Sunrise Time (POA&gt;20 W/m2)]])*24,"")</f>
        <v>0</v>
      </c>
      <c r="L376" s="33"/>
      <c r="M376" s="33"/>
      <c r="N376" s="33"/>
      <c r="O376" s="36"/>
      <c r="P376" s="36"/>
      <c r="Q376" s="33"/>
      <c r="R376" s="32">
        <f>IF((PA[[#This Row],[String Type(If String BD)]]&amp;PA[[#This Row],[Equipment (If any BD other than PV  array and inv)]])="",1,0)</f>
        <v>1</v>
      </c>
      <c r="S376" s="32">
        <f>IF(PA[[#This Row],[String Type(If String BD)]]="",1,0)</f>
        <v>1</v>
      </c>
      <c r="T37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6" s="35" t="str">
        <f>IFERROR(_xlfn.XLOOKUP(PA[[#This Row],[Affected Equipment ]],'Basic Data'!N:N,'Basic Data'!Q:Q),"")</f>
        <v/>
      </c>
      <c r="V376" s="207" t="str">
        <f>IFERROR(_xlfn.XLOOKUP(PA[[#This Row],[Affected Equipment ]],'Basic Data'!N:N,'Basic Data'!R:R),"")</f>
        <v/>
      </c>
      <c r="W376" s="36"/>
      <c r="X376" s="40"/>
      <c r="Y376" s="41"/>
      <c r="Z376" s="46"/>
      <c r="AA376" s="46"/>
      <c r="AB376" s="46"/>
      <c r="AC376" s="46"/>
      <c r="AD376" s="44">
        <f>IF(PA[[#This Row],[Acknowledgement Time ]]="NA","",(PA[[#This Row],[Acknowledgement Time ]]-PA[[#This Row],[Fault Time]])*24)</f>
        <v>0</v>
      </c>
      <c r="AE376" s="44">
        <f>IF(PA[[#This Row],[Work Start time on Fault]]="NA","",(PA[[#This Row],[Work Start time on Fault]]-PA[[#This Row],[Fault Time]])*24)</f>
        <v>0</v>
      </c>
      <c r="AF376" s="45">
        <f>IF(PA[[#This Row],[Status]]="Open","",(PA[[#This Row],[Work Completion time on fault]]-PA[[#This Row],[Fault Time]])*24)</f>
        <v>0</v>
      </c>
      <c r="AG376" s="44">
        <f>IFERROR((PA[[#This Row],[Work Completion time on fault]]-PA[[#This Row],[Fault Time]])*24,"")</f>
        <v>0</v>
      </c>
      <c r="AH376" s="36"/>
      <c r="AI376" s="33"/>
      <c r="AJ376" s="35" t="str">
        <f>IFERROR(PA[[#This Row],[Breakdown Time]]*PA[[#This Row],[Plant Equivalent Weightage]],"")</f>
        <v/>
      </c>
      <c r="AK376" s="36"/>
      <c r="AL376" s="51" t="str">
        <f>IFERROR((_xlfn.XLOOKUP($G376,'Modelling New'!D:D,'Modelling New'!$O:$O)*PA[[#This Row],[Lost PoA(kWh/m2)]]*PA[[#This Row],[DC Capacity Affected (kW)]]),"")</f>
        <v/>
      </c>
      <c r="AM376" s="33"/>
      <c r="AN376" s="33"/>
      <c r="AO376" s="33"/>
      <c r="AP376" s="33"/>
    </row>
    <row r="377" spans="1:42">
      <c r="A377" s="30">
        <f t="shared" si="3"/>
        <v>376</v>
      </c>
      <c r="B377" s="165"/>
      <c r="C377" s="212">
        <f>YEAR(PA[[#This Row],[Date]])+IF(MONTH(PA[[#This Row],[Date]])&gt;=4,1,0)</f>
        <v>1900</v>
      </c>
      <c r="D377" s="212">
        <f>YEAR(PA[[#This Row],[Date]])</f>
        <v>1900</v>
      </c>
      <c r="E377" s="37" t="s">
        <v>157</v>
      </c>
      <c r="F377" s="37" t="s">
        <v>157</v>
      </c>
      <c r="G377" s="214">
        <f>PA[[#This Row],[Date]]-DAY(PA[[#This Row],[Date]])+1</f>
        <v>1</v>
      </c>
      <c r="H377" s="32">
        <f>DAY(EOMONTH(PA[[#This Row],[Month Year]],0))</f>
        <v>31</v>
      </c>
      <c r="I377" s="34"/>
      <c r="J377" s="34"/>
      <c r="K377" s="35">
        <f>IFERROR((PA[[#This Row],[Sunset Time (POA&lt;20 W/m2)]]-PA[[#This Row],[Sunrise Time (POA&gt;20 W/m2)]])*24,"")</f>
        <v>0</v>
      </c>
      <c r="L377" s="33"/>
      <c r="M377" s="33"/>
      <c r="N377" s="33"/>
      <c r="O377" s="36"/>
      <c r="P377" s="36"/>
      <c r="Q377" s="33"/>
      <c r="R377" s="32">
        <f>IF((PA[[#This Row],[String Type(If String BD)]]&amp;PA[[#This Row],[Equipment (If any BD other than PV  array and inv)]])="",1,0)</f>
        <v>1</v>
      </c>
      <c r="S377" s="32">
        <f>IF(PA[[#This Row],[String Type(If String BD)]]="",1,0)</f>
        <v>1</v>
      </c>
      <c r="T37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7" s="35" t="str">
        <f>IFERROR(_xlfn.XLOOKUP(PA[[#This Row],[Affected Equipment ]],'Basic Data'!N:N,'Basic Data'!Q:Q),"")</f>
        <v/>
      </c>
      <c r="V377" s="207" t="str">
        <f>IFERROR(_xlfn.XLOOKUP(PA[[#This Row],[Affected Equipment ]],'Basic Data'!N:N,'Basic Data'!R:R),"")</f>
        <v/>
      </c>
      <c r="W377" s="36"/>
      <c r="X377" s="40"/>
      <c r="Y377" s="41"/>
      <c r="Z377" s="46"/>
      <c r="AA377" s="46"/>
      <c r="AB377" s="46"/>
      <c r="AC377" s="46"/>
      <c r="AD377" s="44">
        <f>IF(PA[[#This Row],[Acknowledgement Time ]]="NA","",(PA[[#This Row],[Acknowledgement Time ]]-PA[[#This Row],[Fault Time]])*24)</f>
        <v>0</v>
      </c>
      <c r="AE377" s="44">
        <f>IF(PA[[#This Row],[Work Start time on Fault]]="NA","",(PA[[#This Row],[Work Start time on Fault]]-PA[[#This Row],[Fault Time]])*24)</f>
        <v>0</v>
      </c>
      <c r="AF377" s="45">
        <f>IF(PA[[#This Row],[Status]]="Open","",(PA[[#This Row],[Work Completion time on fault]]-PA[[#This Row],[Fault Time]])*24)</f>
        <v>0</v>
      </c>
      <c r="AG377" s="44">
        <f>IFERROR((PA[[#This Row],[Work Completion time on fault]]-PA[[#This Row],[Fault Time]])*24,"")</f>
        <v>0</v>
      </c>
      <c r="AH377" s="36"/>
      <c r="AI377" s="33"/>
      <c r="AJ377" s="35" t="str">
        <f>IFERROR(PA[[#This Row],[Breakdown Time]]*PA[[#This Row],[Plant Equivalent Weightage]],"")</f>
        <v/>
      </c>
      <c r="AK377" s="36"/>
      <c r="AL377" s="51" t="str">
        <f>IFERROR((_xlfn.XLOOKUP($G377,'Modelling New'!D:D,'Modelling New'!$O:$O)*PA[[#This Row],[Lost PoA(kWh/m2)]]*PA[[#This Row],[DC Capacity Affected (kW)]]),"")</f>
        <v/>
      </c>
      <c r="AM377" s="33"/>
      <c r="AN377" s="33"/>
      <c r="AO377" s="33"/>
      <c r="AP377" s="33"/>
    </row>
    <row r="378" spans="1:42">
      <c r="A378" s="30">
        <f t="shared" si="3"/>
        <v>377</v>
      </c>
      <c r="B378" s="165"/>
      <c r="C378" s="212">
        <f>YEAR(PA[[#This Row],[Date]])+IF(MONTH(PA[[#This Row],[Date]])&gt;=4,1,0)</f>
        <v>1900</v>
      </c>
      <c r="D378" s="212">
        <f>YEAR(PA[[#This Row],[Date]])</f>
        <v>1900</v>
      </c>
      <c r="E378" s="37" t="s">
        <v>157</v>
      </c>
      <c r="F378" s="37" t="s">
        <v>157</v>
      </c>
      <c r="G378" s="214">
        <f>PA[[#This Row],[Date]]-DAY(PA[[#This Row],[Date]])+1</f>
        <v>1</v>
      </c>
      <c r="H378" s="32">
        <f>DAY(EOMONTH(PA[[#This Row],[Month Year]],0))</f>
        <v>31</v>
      </c>
      <c r="I378" s="34"/>
      <c r="J378" s="34"/>
      <c r="K378" s="35">
        <f>IFERROR((PA[[#This Row],[Sunset Time (POA&lt;20 W/m2)]]-PA[[#This Row],[Sunrise Time (POA&gt;20 W/m2)]])*24,"")</f>
        <v>0</v>
      </c>
      <c r="L378" s="33"/>
      <c r="M378" s="33"/>
      <c r="N378" s="33"/>
      <c r="O378" s="36"/>
      <c r="P378" s="36"/>
      <c r="Q378" s="33"/>
      <c r="R378" s="32">
        <f>IF((PA[[#This Row],[String Type(If String BD)]]&amp;PA[[#This Row],[Equipment (If any BD other than PV  array and inv)]])="",1,0)</f>
        <v>1</v>
      </c>
      <c r="S378" s="32">
        <f>IF(PA[[#This Row],[String Type(If String BD)]]="",1,0)</f>
        <v>1</v>
      </c>
      <c r="T37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8" s="35" t="str">
        <f>IFERROR(_xlfn.XLOOKUP(PA[[#This Row],[Affected Equipment ]],'Basic Data'!N:N,'Basic Data'!Q:Q),"")</f>
        <v/>
      </c>
      <c r="V378" s="207" t="str">
        <f>IFERROR(_xlfn.XLOOKUP(PA[[#This Row],[Affected Equipment ]],'Basic Data'!N:N,'Basic Data'!R:R),"")</f>
        <v/>
      </c>
      <c r="W378" s="36"/>
      <c r="X378" s="40"/>
      <c r="Y378" s="41"/>
      <c r="Z378" s="46"/>
      <c r="AA378" s="46"/>
      <c r="AB378" s="46"/>
      <c r="AC378" s="46"/>
      <c r="AD378" s="44">
        <f>IF(PA[[#This Row],[Acknowledgement Time ]]="NA","",(PA[[#This Row],[Acknowledgement Time ]]-PA[[#This Row],[Fault Time]])*24)</f>
        <v>0</v>
      </c>
      <c r="AE378" s="44">
        <f>IF(PA[[#This Row],[Work Start time on Fault]]="NA","",(PA[[#This Row],[Work Start time on Fault]]-PA[[#This Row],[Fault Time]])*24)</f>
        <v>0</v>
      </c>
      <c r="AF378" s="45">
        <f>IF(PA[[#This Row],[Status]]="Open","",(PA[[#This Row],[Work Completion time on fault]]-PA[[#This Row],[Fault Time]])*24)</f>
        <v>0</v>
      </c>
      <c r="AG378" s="44">
        <f>IFERROR((PA[[#This Row],[Work Completion time on fault]]-PA[[#This Row],[Fault Time]])*24,"")</f>
        <v>0</v>
      </c>
      <c r="AH378" s="36"/>
      <c r="AI378" s="33"/>
      <c r="AJ378" s="35" t="str">
        <f>IFERROR(PA[[#This Row],[Breakdown Time]]*PA[[#This Row],[Plant Equivalent Weightage]],"")</f>
        <v/>
      </c>
      <c r="AK378" s="36"/>
      <c r="AL378" s="51" t="str">
        <f>IFERROR((_xlfn.XLOOKUP($G378,'Modelling New'!D:D,'Modelling New'!$O:$O)*PA[[#This Row],[Lost PoA(kWh/m2)]]*PA[[#This Row],[DC Capacity Affected (kW)]]),"")</f>
        <v/>
      </c>
      <c r="AM378" s="33"/>
      <c r="AN378" s="33"/>
      <c r="AO378" s="33"/>
      <c r="AP378" s="33"/>
    </row>
    <row r="379" spans="1:42">
      <c r="A379" s="30">
        <f t="shared" si="3"/>
        <v>378</v>
      </c>
      <c r="B379" s="165"/>
      <c r="C379" s="212">
        <f>YEAR(PA[[#This Row],[Date]])+IF(MONTH(PA[[#This Row],[Date]])&gt;=4,1,0)</f>
        <v>1900</v>
      </c>
      <c r="D379" s="212">
        <f>YEAR(PA[[#This Row],[Date]])</f>
        <v>1900</v>
      </c>
      <c r="E379" s="37" t="s">
        <v>157</v>
      </c>
      <c r="F379" s="37" t="s">
        <v>157</v>
      </c>
      <c r="G379" s="214">
        <f>PA[[#This Row],[Date]]-DAY(PA[[#This Row],[Date]])+1</f>
        <v>1</v>
      </c>
      <c r="H379" s="32">
        <f>DAY(EOMONTH(PA[[#This Row],[Month Year]],0))</f>
        <v>31</v>
      </c>
      <c r="I379" s="34"/>
      <c r="J379" s="34"/>
      <c r="K379" s="35">
        <f>IFERROR((PA[[#This Row],[Sunset Time (POA&lt;20 W/m2)]]-PA[[#This Row],[Sunrise Time (POA&gt;20 W/m2)]])*24,"")</f>
        <v>0</v>
      </c>
      <c r="L379" s="33"/>
      <c r="M379" s="33"/>
      <c r="N379" s="33"/>
      <c r="O379" s="36"/>
      <c r="P379" s="36"/>
      <c r="Q379" s="33"/>
      <c r="R379" s="32">
        <f>IF((PA[[#This Row],[String Type(If String BD)]]&amp;PA[[#This Row],[Equipment (If any BD other than PV  array and inv)]])="",1,0)</f>
        <v>1</v>
      </c>
      <c r="S379" s="32">
        <f>IF(PA[[#This Row],[String Type(If String BD)]]="",1,0)</f>
        <v>1</v>
      </c>
      <c r="T37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79" s="35" t="str">
        <f>IFERROR(_xlfn.XLOOKUP(PA[[#This Row],[Affected Equipment ]],'Basic Data'!N:N,'Basic Data'!Q:Q),"")</f>
        <v/>
      </c>
      <c r="V379" s="207" t="str">
        <f>IFERROR(_xlfn.XLOOKUP(PA[[#This Row],[Affected Equipment ]],'Basic Data'!N:N,'Basic Data'!R:R),"")</f>
        <v/>
      </c>
      <c r="W379" s="36"/>
      <c r="X379" s="40"/>
      <c r="Y379" s="40"/>
      <c r="Z379" s="46"/>
      <c r="AA379" s="46"/>
      <c r="AB379" s="46"/>
      <c r="AC379" s="46"/>
      <c r="AD379" s="44">
        <f>IF(PA[[#This Row],[Acknowledgement Time ]]="NA","",(PA[[#This Row],[Acknowledgement Time ]]-PA[[#This Row],[Fault Time]])*24)</f>
        <v>0</v>
      </c>
      <c r="AE379" s="44">
        <f>IF(PA[[#This Row],[Work Start time on Fault]]="NA","",(PA[[#This Row],[Work Start time on Fault]]-PA[[#This Row],[Fault Time]])*24)</f>
        <v>0</v>
      </c>
      <c r="AF379" s="45">
        <f>IF(PA[[#This Row],[Status]]="Open","",(PA[[#This Row],[Work Completion time on fault]]-PA[[#This Row],[Fault Time]])*24)</f>
        <v>0</v>
      </c>
      <c r="AG379" s="44">
        <f>IFERROR((PA[[#This Row],[Work Completion time on fault]]-PA[[#This Row],[Fault Time]])*24,"")</f>
        <v>0</v>
      </c>
      <c r="AH379" s="282"/>
      <c r="AI379" s="33"/>
      <c r="AJ379" s="35" t="str">
        <f>IFERROR(PA[[#This Row],[Breakdown Time]]*PA[[#This Row],[Plant Equivalent Weightage]],"")</f>
        <v/>
      </c>
      <c r="AK379" s="36"/>
      <c r="AL379" s="51" t="str">
        <f>IFERROR((_xlfn.XLOOKUP($G379,'Modelling New'!D:D,'Modelling New'!$O:$O)*PA[[#This Row],[Lost PoA(kWh/m2)]]*PA[[#This Row],[DC Capacity Affected (kW)]]),"")</f>
        <v/>
      </c>
      <c r="AM379" s="33"/>
      <c r="AN379" s="33"/>
      <c r="AO379" s="33"/>
      <c r="AP379" s="33"/>
    </row>
    <row r="380" spans="1:42">
      <c r="A380" s="30">
        <f t="shared" si="3"/>
        <v>379</v>
      </c>
      <c r="B380" s="165"/>
      <c r="C380" s="212">
        <f>YEAR(PA[[#This Row],[Date]])+IF(MONTH(PA[[#This Row],[Date]])&gt;=4,1,0)</f>
        <v>1900</v>
      </c>
      <c r="D380" s="212">
        <f>YEAR(PA[[#This Row],[Date]])</f>
        <v>1900</v>
      </c>
      <c r="E380" s="37" t="s">
        <v>157</v>
      </c>
      <c r="F380" s="37" t="s">
        <v>157</v>
      </c>
      <c r="G380" s="214">
        <f>PA[[#This Row],[Date]]-DAY(PA[[#This Row],[Date]])+1</f>
        <v>1</v>
      </c>
      <c r="H380" s="32">
        <f>DAY(EOMONTH(PA[[#This Row],[Month Year]],0))</f>
        <v>31</v>
      </c>
      <c r="I380" s="34"/>
      <c r="J380" s="34"/>
      <c r="K380" s="35">
        <f>IFERROR((PA[[#This Row],[Sunset Time (POA&lt;20 W/m2)]]-PA[[#This Row],[Sunrise Time (POA&gt;20 W/m2)]])*24,"")</f>
        <v>0</v>
      </c>
      <c r="L380" s="33"/>
      <c r="M380" s="33"/>
      <c r="N380" s="33"/>
      <c r="O380" s="36"/>
      <c r="P380" s="36"/>
      <c r="Q380" s="33"/>
      <c r="R380" s="32">
        <f>IF((PA[[#This Row],[String Type(If String BD)]]&amp;PA[[#This Row],[Equipment (If any BD other than PV  array and inv)]])="",1,0)</f>
        <v>1</v>
      </c>
      <c r="S380" s="32">
        <f>IF(PA[[#This Row],[String Type(If String BD)]]="",1,0)</f>
        <v>1</v>
      </c>
      <c r="T38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0" s="35" t="str">
        <f>IFERROR(_xlfn.XLOOKUP(PA[[#This Row],[Affected Equipment ]],'Basic Data'!N:N,'Basic Data'!Q:Q),"")</f>
        <v/>
      </c>
      <c r="V380" s="207" t="str">
        <f>IFERROR(_xlfn.XLOOKUP(PA[[#This Row],[Affected Equipment ]],'Basic Data'!N:N,'Basic Data'!R:R),"")</f>
        <v/>
      </c>
      <c r="W380" s="36"/>
      <c r="X380" s="40"/>
      <c r="Y380" s="40"/>
      <c r="Z380" s="46"/>
      <c r="AA380" s="46"/>
      <c r="AB380" s="46"/>
      <c r="AC380" s="46"/>
      <c r="AD380" s="44">
        <f>IF(PA[[#This Row],[Acknowledgement Time ]]="NA","",(PA[[#This Row],[Acknowledgement Time ]]-PA[[#This Row],[Fault Time]])*24)</f>
        <v>0</v>
      </c>
      <c r="AE380" s="44">
        <f>IF(PA[[#This Row],[Work Start time on Fault]]="NA","",(PA[[#This Row],[Work Start time on Fault]]-PA[[#This Row],[Fault Time]])*24)</f>
        <v>0</v>
      </c>
      <c r="AF380" s="45">
        <f>IF(PA[[#This Row],[Status]]="Open","",(PA[[#This Row],[Work Completion time on fault]]-PA[[#This Row],[Fault Time]])*24)</f>
        <v>0</v>
      </c>
      <c r="AG380" s="44">
        <f>IFERROR((PA[[#This Row],[Work Completion time on fault]]-PA[[#This Row],[Fault Time]])*24,"")</f>
        <v>0</v>
      </c>
      <c r="AH380" s="36"/>
      <c r="AI380" s="33"/>
      <c r="AJ380" s="35" t="str">
        <f>IFERROR(PA[[#This Row],[Breakdown Time]]*PA[[#This Row],[Plant Equivalent Weightage]],"")</f>
        <v/>
      </c>
      <c r="AK380" s="36"/>
      <c r="AL380" s="51" t="str">
        <f>IFERROR((_xlfn.XLOOKUP($G380,'Modelling New'!D:D,'Modelling New'!$O:$O)*PA[[#This Row],[Lost PoA(kWh/m2)]]*PA[[#This Row],[DC Capacity Affected (kW)]]),"")</f>
        <v/>
      </c>
      <c r="AM380" s="33"/>
      <c r="AN380" s="33"/>
      <c r="AO380" s="33"/>
      <c r="AP380" s="33"/>
    </row>
    <row r="381" spans="1:42">
      <c r="A381" s="30">
        <f t="shared" si="3"/>
        <v>380</v>
      </c>
      <c r="B381" s="165"/>
      <c r="C381" s="212">
        <f>YEAR(PA[[#This Row],[Date]])+IF(MONTH(PA[[#This Row],[Date]])&gt;=4,1,0)</f>
        <v>1900</v>
      </c>
      <c r="D381" s="212">
        <f>YEAR(PA[[#This Row],[Date]])</f>
        <v>1900</v>
      </c>
      <c r="E381" s="37" t="s">
        <v>157</v>
      </c>
      <c r="F381" s="37" t="s">
        <v>157</v>
      </c>
      <c r="G381" s="214">
        <f>PA[[#This Row],[Date]]-DAY(PA[[#This Row],[Date]])+1</f>
        <v>1</v>
      </c>
      <c r="H381" s="32">
        <f>DAY(EOMONTH(PA[[#This Row],[Month Year]],0))</f>
        <v>31</v>
      </c>
      <c r="I381" s="34"/>
      <c r="J381" s="34"/>
      <c r="K381" s="35">
        <f>IFERROR((PA[[#This Row],[Sunset Time (POA&lt;20 W/m2)]]-PA[[#This Row],[Sunrise Time (POA&gt;20 W/m2)]])*24,"")</f>
        <v>0</v>
      </c>
      <c r="L381" s="33"/>
      <c r="M381" s="33"/>
      <c r="N381" s="33"/>
      <c r="O381" s="36"/>
      <c r="P381" s="36"/>
      <c r="Q381" s="33"/>
      <c r="R381" s="32">
        <f>IF((PA[[#This Row],[String Type(If String BD)]]&amp;PA[[#This Row],[Equipment (If any BD other than PV  array and inv)]])="",1,0)</f>
        <v>1</v>
      </c>
      <c r="S381" s="32">
        <f>IF(PA[[#This Row],[String Type(If String BD)]]="",1,0)</f>
        <v>1</v>
      </c>
      <c r="T38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1" s="35" t="str">
        <f>IFERROR(_xlfn.XLOOKUP(PA[[#This Row],[Affected Equipment ]],'Basic Data'!N:N,'Basic Data'!Q:Q),"")</f>
        <v/>
      </c>
      <c r="V381" s="207" t="str">
        <f>IFERROR(_xlfn.XLOOKUP(PA[[#This Row],[Affected Equipment ]],'Basic Data'!N:N,'Basic Data'!R:R),"")</f>
        <v/>
      </c>
      <c r="W381" s="36"/>
      <c r="X381" s="40"/>
      <c r="Y381" s="40"/>
      <c r="Z381" s="46"/>
      <c r="AA381" s="46"/>
      <c r="AB381" s="46"/>
      <c r="AC381" s="46"/>
      <c r="AD381" s="44">
        <f>IF(PA[[#This Row],[Acknowledgement Time ]]="NA","",(PA[[#This Row],[Acknowledgement Time ]]-PA[[#This Row],[Fault Time]])*24)</f>
        <v>0</v>
      </c>
      <c r="AE381" s="44">
        <f>IF(PA[[#This Row],[Work Start time on Fault]]="NA","",(PA[[#This Row],[Work Start time on Fault]]-PA[[#This Row],[Fault Time]])*24)</f>
        <v>0</v>
      </c>
      <c r="AF381" s="45">
        <f>IF(PA[[#This Row],[Status]]="Open","",(PA[[#This Row],[Work Completion time on fault]]-PA[[#This Row],[Fault Time]])*24)</f>
        <v>0</v>
      </c>
      <c r="AG381" s="44">
        <f>IFERROR((PA[[#This Row],[Work Completion time on fault]]-PA[[#This Row],[Fault Time]])*24,"")</f>
        <v>0</v>
      </c>
      <c r="AH381" s="36"/>
      <c r="AI381" s="33"/>
      <c r="AJ381" s="35" t="str">
        <f>IFERROR(PA[[#This Row],[Breakdown Time]]*PA[[#This Row],[Plant Equivalent Weightage]],"")</f>
        <v/>
      </c>
      <c r="AK381" s="36"/>
      <c r="AL381" s="51" t="str">
        <f>IFERROR((_xlfn.XLOOKUP($G381,'Modelling New'!D:D,'Modelling New'!$O:$O)*PA[[#This Row],[Lost PoA(kWh/m2)]]*PA[[#This Row],[DC Capacity Affected (kW)]]),"")</f>
        <v/>
      </c>
      <c r="AM381" s="33"/>
      <c r="AN381" s="33"/>
      <c r="AO381" s="33"/>
      <c r="AP381" s="33"/>
    </row>
    <row r="382" spans="1:42">
      <c r="A382" s="30">
        <f t="shared" si="3"/>
        <v>381</v>
      </c>
      <c r="B382" s="31"/>
      <c r="C382" s="212">
        <f>YEAR(PA[[#This Row],[Date]])+IF(MONTH(PA[[#This Row],[Date]])&gt;=4,1,0)</f>
        <v>1900</v>
      </c>
      <c r="D382" s="212">
        <f>YEAR(PA[[#This Row],[Date]])</f>
        <v>1900</v>
      </c>
      <c r="E382" s="37" t="s">
        <v>157</v>
      </c>
      <c r="F382" s="37" t="s">
        <v>157</v>
      </c>
      <c r="G382" s="214">
        <f>PA[[#This Row],[Date]]-DAY(PA[[#This Row],[Date]])+1</f>
        <v>1</v>
      </c>
      <c r="H382" s="32">
        <f>DAY(EOMONTH(PA[[#This Row],[Month Year]],0))</f>
        <v>31</v>
      </c>
      <c r="I382" s="34"/>
      <c r="J382" s="34"/>
      <c r="K382" s="35">
        <f>IFERROR((PA[[#This Row],[Sunset Time (POA&lt;20 W/m2)]]-PA[[#This Row],[Sunrise Time (POA&gt;20 W/m2)]])*24,"")</f>
        <v>0</v>
      </c>
      <c r="L382" s="33"/>
      <c r="M382" s="33"/>
      <c r="N382" s="33"/>
      <c r="O382" s="36"/>
      <c r="P382" s="36"/>
      <c r="Q382" s="33"/>
      <c r="R382" s="32">
        <f>IF((PA[[#This Row],[String Type(If String BD)]]&amp;PA[[#This Row],[Equipment (If any BD other than PV  array and inv)]])="",1,0)</f>
        <v>1</v>
      </c>
      <c r="S382" s="32">
        <f>IF(PA[[#This Row],[String Type(If String BD)]]="",1,0)</f>
        <v>1</v>
      </c>
      <c r="T38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2" s="35" t="str">
        <f>IFERROR(_xlfn.XLOOKUP(PA[[#This Row],[Affected Equipment ]],'Basic Data'!N:N,'Basic Data'!Q:Q),"")</f>
        <v/>
      </c>
      <c r="V382" s="207" t="str">
        <f>IFERROR(_xlfn.XLOOKUP(PA[[#This Row],[Affected Equipment ]],'Basic Data'!N:N,'Basic Data'!R:R),"")</f>
        <v/>
      </c>
      <c r="W382" s="36"/>
      <c r="X382" s="40"/>
      <c r="Y382" s="40"/>
      <c r="Z382" s="46"/>
      <c r="AA382" s="46"/>
      <c r="AB382" s="46"/>
      <c r="AC382" s="46"/>
      <c r="AD382" s="44">
        <f>IF(PA[[#This Row],[Acknowledgement Time ]]="NA","",(PA[[#This Row],[Acknowledgement Time ]]-PA[[#This Row],[Fault Time]])*24)</f>
        <v>0</v>
      </c>
      <c r="AE382" s="44">
        <f>IF(PA[[#This Row],[Work Start time on Fault]]="NA","",(PA[[#This Row],[Work Start time on Fault]]-PA[[#This Row],[Fault Time]])*24)</f>
        <v>0</v>
      </c>
      <c r="AF382" s="45">
        <f>IF(PA[[#This Row],[Status]]="Open","",(PA[[#This Row],[Work Completion time on fault]]-PA[[#This Row],[Fault Time]])*24)</f>
        <v>0</v>
      </c>
      <c r="AG382" s="44">
        <f>IFERROR((PA[[#This Row],[Work Completion time on fault]]-PA[[#This Row],[Fault Time]])*24,"")</f>
        <v>0</v>
      </c>
      <c r="AH382" s="36"/>
      <c r="AI382" s="33"/>
      <c r="AJ382" s="35" t="str">
        <f>IFERROR(PA[[#This Row],[Breakdown Time]]*PA[[#This Row],[Plant Equivalent Weightage]],"")</f>
        <v/>
      </c>
      <c r="AK382" s="36"/>
      <c r="AL382" s="51" t="str">
        <f>IFERROR((_xlfn.XLOOKUP($G382,'Modelling New'!D:D,'Modelling New'!$O:$O)*PA[[#This Row],[Lost PoA(kWh/m2)]]*PA[[#This Row],[DC Capacity Affected (kW)]]),"")</f>
        <v/>
      </c>
      <c r="AM382" s="33"/>
      <c r="AN382" s="33"/>
      <c r="AO382" s="33"/>
      <c r="AP382" s="33"/>
    </row>
    <row r="383" spans="1:42">
      <c r="A383" s="30">
        <f t="shared" si="3"/>
        <v>382</v>
      </c>
      <c r="B383" s="31"/>
      <c r="C383" s="212">
        <f>YEAR(PA[[#This Row],[Date]])+IF(MONTH(PA[[#This Row],[Date]])&gt;=4,1,0)</f>
        <v>1900</v>
      </c>
      <c r="D383" s="212">
        <f>YEAR(PA[[#This Row],[Date]])</f>
        <v>1900</v>
      </c>
      <c r="E383" s="37" t="s">
        <v>157</v>
      </c>
      <c r="F383" s="37" t="s">
        <v>157</v>
      </c>
      <c r="G383" s="214">
        <f>PA[[#This Row],[Date]]-DAY(PA[[#This Row],[Date]])+1</f>
        <v>1</v>
      </c>
      <c r="H383" s="32">
        <f>DAY(EOMONTH(PA[[#This Row],[Month Year]],0))</f>
        <v>31</v>
      </c>
      <c r="I383" s="34"/>
      <c r="J383" s="34"/>
      <c r="K383" s="35">
        <f>IFERROR((PA[[#This Row],[Sunset Time (POA&lt;20 W/m2)]]-PA[[#This Row],[Sunrise Time (POA&gt;20 W/m2)]])*24,"")</f>
        <v>0</v>
      </c>
      <c r="L383" s="33"/>
      <c r="M383" s="33"/>
      <c r="N383" s="33"/>
      <c r="O383" s="36"/>
      <c r="P383" s="36"/>
      <c r="Q383" s="33"/>
      <c r="R383" s="32">
        <f>IF((PA[[#This Row],[String Type(If String BD)]]&amp;PA[[#This Row],[Equipment (If any BD other than PV  array and inv)]])="",1,0)</f>
        <v>1</v>
      </c>
      <c r="S383" s="32">
        <f>IF(PA[[#This Row],[String Type(If String BD)]]="",1,0)</f>
        <v>1</v>
      </c>
      <c r="T38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3" s="35" t="str">
        <f>IFERROR(_xlfn.XLOOKUP(PA[[#This Row],[Affected Equipment ]],'Basic Data'!N:N,'Basic Data'!Q:Q),"")</f>
        <v/>
      </c>
      <c r="V383" s="207" t="str">
        <f>IFERROR(_xlfn.XLOOKUP(PA[[#This Row],[Affected Equipment ]],'Basic Data'!N:N,'Basic Data'!R:R),"")</f>
        <v/>
      </c>
      <c r="W383" s="36"/>
      <c r="X383" s="40"/>
      <c r="Y383" s="40"/>
      <c r="Z383" s="46"/>
      <c r="AA383" s="46"/>
      <c r="AB383" s="46"/>
      <c r="AC383" s="46"/>
      <c r="AD383" s="44">
        <f>IF(PA[[#This Row],[Acknowledgement Time ]]="NA","",(PA[[#This Row],[Acknowledgement Time ]]-PA[[#This Row],[Fault Time]])*24)</f>
        <v>0</v>
      </c>
      <c r="AE383" s="44">
        <f>IF(PA[[#This Row],[Work Start time on Fault]]="NA","",(PA[[#This Row],[Work Start time on Fault]]-PA[[#This Row],[Fault Time]])*24)</f>
        <v>0</v>
      </c>
      <c r="AF383" s="45">
        <f>IF(PA[[#This Row],[Status]]="Open","",(PA[[#This Row],[Work Completion time on fault]]-PA[[#This Row],[Fault Time]])*24)</f>
        <v>0</v>
      </c>
      <c r="AG383" s="44">
        <f>IFERROR((PA[[#This Row],[Work Completion time on fault]]-PA[[#This Row],[Fault Time]])*24,"")</f>
        <v>0</v>
      </c>
      <c r="AH383" s="36"/>
      <c r="AI383" s="33"/>
      <c r="AJ383" s="35" t="str">
        <f>IFERROR(PA[[#This Row],[Breakdown Time]]*PA[[#This Row],[Plant Equivalent Weightage]],"")</f>
        <v/>
      </c>
      <c r="AK383" s="36"/>
      <c r="AL383" s="51" t="str">
        <f>IFERROR((_xlfn.XLOOKUP($G383,'Modelling New'!D:D,'Modelling New'!$O:$O)*PA[[#This Row],[Lost PoA(kWh/m2)]]*PA[[#This Row],[DC Capacity Affected (kW)]]),"")</f>
        <v/>
      </c>
      <c r="AM383" s="33"/>
      <c r="AN383" s="33"/>
      <c r="AO383" s="33"/>
      <c r="AP383" s="33"/>
    </row>
    <row r="384" spans="1:42">
      <c r="A384" s="30">
        <f t="shared" si="3"/>
        <v>383</v>
      </c>
      <c r="B384" s="31"/>
      <c r="C384" s="212">
        <f>YEAR(PA[[#This Row],[Date]])+IF(MONTH(PA[[#This Row],[Date]])&gt;=4,1,0)</f>
        <v>1900</v>
      </c>
      <c r="D384" s="212">
        <f>YEAR(PA[[#This Row],[Date]])</f>
        <v>1900</v>
      </c>
      <c r="E384" s="37" t="s">
        <v>157</v>
      </c>
      <c r="F384" s="37" t="s">
        <v>157</v>
      </c>
      <c r="G384" s="214">
        <f>PA[[#This Row],[Date]]-DAY(PA[[#This Row],[Date]])+1</f>
        <v>1</v>
      </c>
      <c r="H384" s="32">
        <f>DAY(EOMONTH(PA[[#This Row],[Month Year]],0))</f>
        <v>31</v>
      </c>
      <c r="I384" s="34"/>
      <c r="J384" s="34"/>
      <c r="K384" s="35">
        <f>IFERROR((PA[[#This Row],[Sunset Time (POA&lt;20 W/m2)]]-PA[[#This Row],[Sunrise Time (POA&gt;20 W/m2)]])*24,"")</f>
        <v>0</v>
      </c>
      <c r="L384" s="33"/>
      <c r="M384" s="33"/>
      <c r="N384" s="33"/>
      <c r="O384" s="36"/>
      <c r="P384" s="36"/>
      <c r="Q384" s="33"/>
      <c r="R384" s="32">
        <f>IF((PA[[#This Row],[String Type(If String BD)]]&amp;PA[[#This Row],[Equipment (If any BD other than PV  array and inv)]])="",1,0)</f>
        <v>1</v>
      </c>
      <c r="S384" s="32">
        <f>IF(PA[[#This Row],[String Type(If String BD)]]="",1,0)</f>
        <v>1</v>
      </c>
      <c r="T38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4" s="35" t="str">
        <f>IFERROR(_xlfn.XLOOKUP(PA[[#This Row],[Affected Equipment ]],'Basic Data'!N:N,'Basic Data'!Q:Q),"")</f>
        <v/>
      </c>
      <c r="V384" s="207" t="str">
        <f>IFERROR(_xlfn.XLOOKUP(PA[[#This Row],[Affected Equipment ]],'Basic Data'!N:N,'Basic Data'!R:R),"")</f>
        <v/>
      </c>
      <c r="W384" s="36"/>
      <c r="X384" s="40"/>
      <c r="Y384" s="40"/>
      <c r="Z384" s="46"/>
      <c r="AA384" s="46"/>
      <c r="AB384" s="46"/>
      <c r="AC384" s="46"/>
      <c r="AD384" s="44">
        <f>IF(PA[[#This Row],[Acknowledgement Time ]]="NA","",(PA[[#This Row],[Acknowledgement Time ]]-PA[[#This Row],[Fault Time]])*24)</f>
        <v>0</v>
      </c>
      <c r="AE384" s="44">
        <f>IF(PA[[#This Row],[Work Start time on Fault]]="NA","",(PA[[#This Row],[Work Start time on Fault]]-PA[[#This Row],[Fault Time]])*24)</f>
        <v>0</v>
      </c>
      <c r="AF384" s="45">
        <f>IF(PA[[#This Row],[Status]]="Open","",(PA[[#This Row],[Work Completion time on fault]]-PA[[#This Row],[Fault Time]])*24)</f>
        <v>0</v>
      </c>
      <c r="AG384" s="44">
        <f>IFERROR((PA[[#This Row],[Work Completion time on fault]]-PA[[#This Row],[Fault Time]])*24,"")</f>
        <v>0</v>
      </c>
      <c r="AH384" s="36"/>
      <c r="AI384" s="33"/>
      <c r="AJ384" s="35" t="str">
        <f>IFERROR(PA[[#This Row],[Breakdown Time]]*PA[[#This Row],[Plant Equivalent Weightage]],"")</f>
        <v/>
      </c>
      <c r="AK384" s="36"/>
      <c r="AL384" s="51" t="str">
        <f>IFERROR((_xlfn.XLOOKUP($G384,'Modelling New'!D:D,'Modelling New'!$O:$O)*PA[[#This Row],[Lost PoA(kWh/m2)]]*PA[[#This Row],[DC Capacity Affected (kW)]]),"")</f>
        <v/>
      </c>
      <c r="AM384" s="33"/>
      <c r="AN384" s="33"/>
      <c r="AO384" s="33"/>
      <c r="AP384" s="33"/>
    </row>
    <row r="385" spans="1:42">
      <c r="A385" s="30">
        <f t="shared" si="3"/>
        <v>384</v>
      </c>
      <c r="B385" s="31"/>
      <c r="C385" s="212">
        <f>YEAR(PA[[#This Row],[Date]])+IF(MONTH(PA[[#This Row],[Date]])&gt;=4,1,0)</f>
        <v>1900</v>
      </c>
      <c r="D385" s="212">
        <f>YEAR(PA[[#This Row],[Date]])</f>
        <v>1900</v>
      </c>
      <c r="E385" s="37" t="s">
        <v>157</v>
      </c>
      <c r="F385" s="37" t="s">
        <v>157</v>
      </c>
      <c r="G385" s="214">
        <f>PA[[#This Row],[Date]]-DAY(PA[[#This Row],[Date]])+1</f>
        <v>1</v>
      </c>
      <c r="H385" s="32">
        <f>DAY(EOMONTH(PA[[#This Row],[Month Year]],0))</f>
        <v>31</v>
      </c>
      <c r="I385" s="34"/>
      <c r="J385" s="34"/>
      <c r="K385" s="35">
        <f>IFERROR((PA[[#This Row],[Sunset Time (POA&lt;20 W/m2)]]-PA[[#This Row],[Sunrise Time (POA&gt;20 W/m2)]])*24,"")</f>
        <v>0</v>
      </c>
      <c r="L385" s="33"/>
      <c r="M385" s="33"/>
      <c r="N385" s="33"/>
      <c r="O385" s="36"/>
      <c r="P385" s="36"/>
      <c r="Q385" s="33"/>
      <c r="R385" s="32">
        <f>IF((PA[[#This Row],[String Type(If String BD)]]&amp;PA[[#This Row],[Equipment (If any BD other than PV  array and inv)]])="",1,0)</f>
        <v>1</v>
      </c>
      <c r="S385" s="32">
        <f>IF(PA[[#This Row],[String Type(If String BD)]]="",1,0)</f>
        <v>1</v>
      </c>
      <c r="T38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5" s="35" t="str">
        <f>IFERROR(_xlfn.XLOOKUP(PA[[#This Row],[Affected Equipment ]],'Basic Data'!N:N,'Basic Data'!Q:Q),"")</f>
        <v/>
      </c>
      <c r="V385" s="207" t="str">
        <f>IFERROR(_xlfn.XLOOKUP(PA[[#This Row],[Affected Equipment ]],'Basic Data'!N:N,'Basic Data'!R:R),"")</f>
        <v/>
      </c>
      <c r="W385" s="36"/>
      <c r="X385" s="40"/>
      <c r="Y385" s="40"/>
      <c r="Z385" s="46"/>
      <c r="AA385" s="46"/>
      <c r="AB385" s="46"/>
      <c r="AC385" s="46"/>
      <c r="AD385" s="44">
        <f>IF(PA[[#This Row],[Acknowledgement Time ]]="NA","",(PA[[#This Row],[Acknowledgement Time ]]-PA[[#This Row],[Fault Time]])*24)</f>
        <v>0</v>
      </c>
      <c r="AE385" s="44">
        <f>IF(PA[[#This Row],[Work Start time on Fault]]="NA","",(PA[[#This Row],[Work Start time on Fault]]-PA[[#This Row],[Fault Time]])*24)</f>
        <v>0</v>
      </c>
      <c r="AF385" s="45">
        <f>IF(PA[[#This Row],[Status]]="Open","",(PA[[#This Row],[Work Completion time on fault]]-PA[[#This Row],[Fault Time]])*24)</f>
        <v>0</v>
      </c>
      <c r="AG385" s="44">
        <f>IFERROR((PA[[#This Row],[Work Completion time on fault]]-PA[[#This Row],[Fault Time]])*24,"")</f>
        <v>0</v>
      </c>
      <c r="AH385" s="36"/>
      <c r="AI385" s="33"/>
      <c r="AJ385" s="35" t="str">
        <f>IFERROR(PA[[#This Row],[Breakdown Time]]*PA[[#This Row],[Plant Equivalent Weightage]],"")</f>
        <v/>
      </c>
      <c r="AK385" s="36"/>
      <c r="AL385" s="51" t="str">
        <f>IFERROR((_xlfn.XLOOKUP($G385,'Modelling New'!D:D,'Modelling New'!$O:$O)*PA[[#This Row],[Lost PoA(kWh/m2)]]*PA[[#This Row],[DC Capacity Affected (kW)]]),"")</f>
        <v/>
      </c>
      <c r="AM385" s="33"/>
      <c r="AN385" s="33"/>
      <c r="AO385" s="33"/>
      <c r="AP385" s="33"/>
    </row>
    <row r="386" spans="1:42">
      <c r="A386" s="30">
        <f t="shared" si="3"/>
        <v>385</v>
      </c>
      <c r="B386" s="31"/>
      <c r="C386" s="212">
        <f>YEAR(PA[[#This Row],[Date]])+IF(MONTH(PA[[#This Row],[Date]])&gt;=4,1,0)</f>
        <v>1900</v>
      </c>
      <c r="D386" s="212">
        <f>YEAR(PA[[#This Row],[Date]])</f>
        <v>1900</v>
      </c>
      <c r="E386" s="37" t="s">
        <v>157</v>
      </c>
      <c r="F386" s="37" t="s">
        <v>157</v>
      </c>
      <c r="G386" s="214">
        <f>PA[[#This Row],[Date]]-DAY(PA[[#This Row],[Date]])+1</f>
        <v>1</v>
      </c>
      <c r="H386" s="32">
        <f>DAY(EOMONTH(PA[[#This Row],[Month Year]],0))</f>
        <v>31</v>
      </c>
      <c r="I386" s="34"/>
      <c r="J386" s="34"/>
      <c r="K386" s="35">
        <f>IFERROR((PA[[#This Row],[Sunset Time (POA&lt;20 W/m2)]]-PA[[#This Row],[Sunrise Time (POA&gt;20 W/m2)]])*24,"")</f>
        <v>0</v>
      </c>
      <c r="L386" s="33"/>
      <c r="M386" s="33"/>
      <c r="N386" s="33"/>
      <c r="O386" s="36"/>
      <c r="P386" s="36"/>
      <c r="Q386" s="33"/>
      <c r="R386" s="32">
        <f>IF((PA[[#This Row],[String Type(If String BD)]]&amp;PA[[#This Row],[Equipment (If any BD other than PV  array and inv)]])="",1,0)</f>
        <v>1</v>
      </c>
      <c r="S386" s="32">
        <f>IF(PA[[#This Row],[String Type(If String BD)]]="",1,0)</f>
        <v>1</v>
      </c>
      <c r="T38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6" s="35" t="str">
        <f>IFERROR(_xlfn.XLOOKUP(PA[[#This Row],[Affected Equipment ]],'Basic Data'!N:N,'Basic Data'!Q:Q),"")</f>
        <v/>
      </c>
      <c r="V386" s="207" t="str">
        <f>IFERROR(_xlfn.XLOOKUP(PA[[#This Row],[Affected Equipment ]],'Basic Data'!N:N,'Basic Data'!R:R),"")</f>
        <v/>
      </c>
      <c r="W386" s="36"/>
      <c r="X386" s="40"/>
      <c r="Y386" s="41"/>
      <c r="Z386" s="46"/>
      <c r="AA386" s="46"/>
      <c r="AB386" s="46"/>
      <c r="AC386" s="46"/>
      <c r="AD386" s="44">
        <f>IF(PA[[#This Row],[Acknowledgement Time ]]="NA","",(PA[[#This Row],[Acknowledgement Time ]]-PA[[#This Row],[Fault Time]])*24)</f>
        <v>0</v>
      </c>
      <c r="AE386" s="44">
        <f>IF(PA[[#This Row],[Work Start time on Fault]]="NA","",(PA[[#This Row],[Work Start time on Fault]]-PA[[#This Row],[Fault Time]])*24)</f>
        <v>0</v>
      </c>
      <c r="AF386" s="45">
        <f>IF(PA[[#This Row],[Status]]="Open","",(PA[[#This Row],[Work Completion time on fault]]-PA[[#This Row],[Fault Time]])*24)</f>
        <v>0</v>
      </c>
      <c r="AG386" s="44">
        <f>IFERROR((PA[[#This Row],[Work Completion time on fault]]-PA[[#This Row],[Fault Time]])*24,"")</f>
        <v>0</v>
      </c>
      <c r="AH386" s="36"/>
      <c r="AI386" s="33"/>
      <c r="AJ386" s="35" t="str">
        <f>IFERROR(PA[[#This Row],[Breakdown Time]]*PA[[#This Row],[Plant Equivalent Weightage]],"")</f>
        <v/>
      </c>
      <c r="AK386" s="36"/>
      <c r="AL386" s="51" t="str">
        <f>IFERROR((_xlfn.XLOOKUP($G386,'Modelling New'!D:D,'Modelling New'!$O:$O)*PA[[#This Row],[Lost PoA(kWh/m2)]]*PA[[#This Row],[DC Capacity Affected (kW)]]),"")</f>
        <v/>
      </c>
      <c r="AM386" s="33"/>
      <c r="AN386" s="33"/>
      <c r="AO386" s="33"/>
      <c r="AP386" s="33"/>
    </row>
    <row r="387" spans="1:42">
      <c r="A387" s="30">
        <f t="shared" si="3"/>
        <v>386</v>
      </c>
      <c r="B387" s="31"/>
      <c r="C387" s="212">
        <f>YEAR(PA[[#This Row],[Date]])+IF(MONTH(PA[[#This Row],[Date]])&gt;=4,1,0)</f>
        <v>1900</v>
      </c>
      <c r="D387" s="212">
        <f>YEAR(PA[[#This Row],[Date]])</f>
        <v>1900</v>
      </c>
      <c r="E387" s="37" t="s">
        <v>157</v>
      </c>
      <c r="F387" s="37" t="s">
        <v>157</v>
      </c>
      <c r="G387" s="214">
        <f>PA[[#This Row],[Date]]-DAY(PA[[#This Row],[Date]])+1</f>
        <v>1</v>
      </c>
      <c r="H387" s="32">
        <f>DAY(EOMONTH(PA[[#This Row],[Month Year]],0))</f>
        <v>31</v>
      </c>
      <c r="I387" s="34"/>
      <c r="J387" s="34"/>
      <c r="K387" s="35">
        <f>IFERROR((PA[[#This Row],[Sunset Time (POA&lt;20 W/m2)]]-PA[[#This Row],[Sunrise Time (POA&gt;20 W/m2)]])*24,"")</f>
        <v>0</v>
      </c>
      <c r="L387" s="33"/>
      <c r="M387" s="33"/>
      <c r="N387" s="33"/>
      <c r="O387" s="36"/>
      <c r="P387" s="36"/>
      <c r="Q387" s="33"/>
      <c r="R387" s="32">
        <f>IF((PA[[#This Row],[String Type(If String BD)]]&amp;PA[[#This Row],[Equipment (If any BD other than PV  array and inv)]])="",1,0)</f>
        <v>1</v>
      </c>
      <c r="S387" s="32">
        <f>IF(PA[[#This Row],[String Type(If String BD)]]="",1,0)</f>
        <v>1</v>
      </c>
      <c r="T38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7" s="35" t="str">
        <f>IFERROR(_xlfn.XLOOKUP(PA[[#This Row],[Affected Equipment ]],'Basic Data'!N:N,'Basic Data'!Q:Q),"")</f>
        <v/>
      </c>
      <c r="V387" s="207" t="str">
        <f>IFERROR(_xlfn.XLOOKUP(PA[[#This Row],[Affected Equipment ]],'Basic Data'!N:N,'Basic Data'!R:R),"")</f>
        <v/>
      </c>
      <c r="W387" s="36"/>
      <c r="X387" s="40"/>
      <c r="Y387" s="41"/>
      <c r="Z387" s="46"/>
      <c r="AA387" s="46"/>
      <c r="AB387" s="46"/>
      <c r="AC387" s="46"/>
      <c r="AD387" s="44">
        <f>IF(PA[[#This Row],[Acknowledgement Time ]]="NA","",(PA[[#This Row],[Acknowledgement Time ]]-PA[[#This Row],[Fault Time]])*24)</f>
        <v>0</v>
      </c>
      <c r="AE387" s="44">
        <f>IF(PA[[#This Row],[Work Start time on Fault]]="NA","",(PA[[#This Row],[Work Start time on Fault]]-PA[[#This Row],[Fault Time]])*24)</f>
        <v>0</v>
      </c>
      <c r="AF387" s="45">
        <f>IF(PA[[#This Row],[Status]]="Open","",(PA[[#This Row],[Work Completion time on fault]]-PA[[#This Row],[Fault Time]])*24)</f>
        <v>0</v>
      </c>
      <c r="AG387" s="44">
        <f>IFERROR((PA[[#This Row],[Work Completion time on fault]]-PA[[#This Row],[Fault Time]])*24,"")</f>
        <v>0</v>
      </c>
      <c r="AH387" s="36"/>
      <c r="AI387" s="33"/>
      <c r="AJ387" s="35" t="str">
        <f>IFERROR(PA[[#This Row],[Breakdown Time]]*PA[[#This Row],[Plant Equivalent Weightage]],"")</f>
        <v/>
      </c>
      <c r="AK387" s="36"/>
      <c r="AL387" s="51" t="str">
        <f>IFERROR((_xlfn.XLOOKUP($G387,'Modelling New'!D:D,'Modelling New'!$O:$O)*PA[[#This Row],[Lost PoA(kWh/m2)]]*PA[[#This Row],[DC Capacity Affected (kW)]]),"")</f>
        <v/>
      </c>
      <c r="AM387" s="33"/>
      <c r="AN387" s="33"/>
      <c r="AO387" s="33"/>
      <c r="AP387" s="33"/>
    </row>
    <row r="388" spans="1:42">
      <c r="A388" s="30">
        <f t="shared" si="3"/>
        <v>387</v>
      </c>
      <c r="B388" s="31"/>
      <c r="C388" s="212">
        <f>YEAR(PA[[#This Row],[Date]])+IF(MONTH(PA[[#This Row],[Date]])&gt;=4,1,0)</f>
        <v>1900</v>
      </c>
      <c r="D388" s="212">
        <f>YEAR(PA[[#This Row],[Date]])</f>
        <v>1900</v>
      </c>
      <c r="E388" s="37" t="s">
        <v>157</v>
      </c>
      <c r="F388" s="37" t="s">
        <v>157</v>
      </c>
      <c r="G388" s="214">
        <f>PA[[#This Row],[Date]]-DAY(PA[[#This Row],[Date]])+1</f>
        <v>1</v>
      </c>
      <c r="H388" s="32">
        <f>DAY(EOMONTH(PA[[#This Row],[Month Year]],0))</f>
        <v>31</v>
      </c>
      <c r="I388" s="34"/>
      <c r="J388" s="34"/>
      <c r="K388" s="35">
        <f>IFERROR((PA[[#This Row],[Sunset Time (POA&lt;20 W/m2)]]-PA[[#This Row],[Sunrise Time (POA&gt;20 W/m2)]])*24,"")</f>
        <v>0</v>
      </c>
      <c r="L388" s="33"/>
      <c r="M388" s="37"/>
      <c r="N388" s="33"/>
      <c r="O388" s="36"/>
      <c r="P388" s="36"/>
      <c r="Q388" s="33"/>
      <c r="R388" s="32">
        <f>IF((PA[[#This Row],[String Type(If String BD)]]&amp;PA[[#This Row],[Equipment (If any BD other than PV  array and inv)]])="",1,0)</f>
        <v>1</v>
      </c>
      <c r="S388" s="32">
        <f>IF(PA[[#This Row],[String Type(If String BD)]]="",1,0)</f>
        <v>1</v>
      </c>
      <c r="T38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8" s="35" t="str">
        <f>IFERROR(_xlfn.XLOOKUP(PA[[#This Row],[Affected Equipment ]],'Basic Data'!N:N,'Basic Data'!Q:Q),"")</f>
        <v/>
      </c>
      <c r="V388" s="207" t="str">
        <f>IFERROR(_xlfn.XLOOKUP(PA[[#This Row],[Affected Equipment ]],'Basic Data'!N:N,'Basic Data'!R:R),"")</f>
        <v/>
      </c>
      <c r="W388" s="36"/>
      <c r="X388" s="40"/>
      <c r="Y388" s="41"/>
      <c r="Z388" s="46"/>
      <c r="AA388" s="46"/>
      <c r="AB388" s="46"/>
      <c r="AC388" s="46"/>
      <c r="AD388" s="44">
        <f>IF(PA[[#This Row],[Acknowledgement Time ]]="NA","",(PA[[#This Row],[Acknowledgement Time ]]-PA[[#This Row],[Fault Time]])*24)</f>
        <v>0</v>
      </c>
      <c r="AE388" s="44">
        <f>IF(PA[[#This Row],[Work Start time on Fault]]="NA","",(PA[[#This Row],[Work Start time on Fault]]-PA[[#This Row],[Fault Time]])*24)</f>
        <v>0</v>
      </c>
      <c r="AF388" s="45">
        <f>IF(PA[[#This Row],[Status]]="Open","",(PA[[#This Row],[Work Completion time on fault]]-PA[[#This Row],[Fault Time]])*24)</f>
        <v>0</v>
      </c>
      <c r="AG388" s="44">
        <f>IFERROR((PA[[#This Row],[Work Completion time on fault]]-PA[[#This Row],[Fault Time]])*24,"")</f>
        <v>0</v>
      </c>
      <c r="AH388" s="36"/>
      <c r="AI388" s="33"/>
      <c r="AJ388" s="35" t="str">
        <f>IFERROR(PA[[#This Row],[Breakdown Time]]*PA[[#This Row],[Plant Equivalent Weightage]],"")</f>
        <v/>
      </c>
      <c r="AK388" s="36"/>
      <c r="AL388" s="51" t="str">
        <f>IFERROR((_xlfn.XLOOKUP($G388,'Modelling New'!D:D,'Modelling New'!$O:$O)*PA[[#This Row],[Lost PoA(kWh/m2)]]*PA[[#This Row],[DC Capacity Affected (kW)]]),"")</f>
        <v/>
      </c>
      <c r="AM388" s="33"/>
      <c r="AN388" s="33"/>
      <c r="AO388" s="33"/>
      <c r="AP388" s="33"/>
    </row>
    <row r="389" spans="1:42">
      <c r="A389" s="30">
        <f t="shared" si="3"/>
        <v>388</v>
      </c>
      <c r="B389" s="31"/>
      <c r="C389" s="212">
        <f>YEAR(PA[[#This Row],[Date]])+IF(MONTH(PA[[#This Row],[Date]])&gt;=4,1,0)</f>
        <v>1900</v>
      </c>
      <c r="D389" s="212">
        <f>YEAR(PA[[#This Row],[Date]])</f>
        <v>1900</v>
      </c>
      <c r="E389" s="37" t="s">
        <v>157</v>
      </c>
      <c r="F389" s="37" t="s">
        <v>157</v>
      </c>
      <c r="G389" s="214">
        <f>PA[[#This Row],[Date]]-DAY(PA[[#This Row],[Date]])+1</f>
        <v>1</v>
      </c>
      <c r="H389" s="32">
        <f>DAY(EOMONTH(PA[[#This Row],[Month Year]],0))</f>
        <v>31</v>
      </c>
      <c r="I389" s="34"/>
      <c r="J389" s="34"/>
      <c r="K389" s="35">
        <f>IFERROR((PA[[#This Row],[Sunset Time (POA&lt;20 W/m2)]]-PA[[#This Row],[Sunrise Time (POA&gt;20 W/m2)]])*24,"")</f>
        <v>0</v>
      </c>
      <c r="L389" s="33"/>
      <c r="M389" s="37"/>
      <c r="N389" s="33"/>
      <c r="O389" s="36"/>
      <c r="P389" s="36"/>
      <c r="Q389" s="33"/>
      <c r="R389" s="32">
        <f>IF((PA[[#This Row],[String Type(If String BD)]]&amp;PA[[#This Row],[Equipment (If any BD other than PV  array and inv)]])="",1,0)</f>
        <v>1</v>
      </c>
      <c r="S389" s="32">
        <f>IF(PA[[#This Row],[String Type(If String BD)]]="",1,0)</f>
        <v>1</v>
      </c>
      <c r="T38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89" s="35" t="str">
        <f>IFERROR(_xlfn.XLOOKUP(PA[[#This Row],[Affected Equipment ]],'Basic Data'!N:N,'Basic Data'!Q:Q),"")</f>
        <v/>
      </c>
      <c r="V389" s="207" t="str">
        <f>IFERROR(_xlfn.XLOOKUP(PA[[#This Row],[Affected Equipment ]],'Basic Data'!N:N,'Basic Data'!R:R),"")</f>
        <v/>
      </c>
      <c r="W389" s="36"/>
      <c r="X389" s="40"/>
      <c r="Y389" s="41"/>
      <c r="Z389" s="46"/>
      <c r="AA389" s="46"/>
      <c r="AB389" s="46"/>
      <c r="AC389" s="46"/>
      <c r="AD389" s="44">
        <f>IF(PA[[#This Row],[Acknowledgement Time ]]="NA","",(PA[[#This Row],[Acknowledgement Time ]]-PA[[#This Row],[Fault Time]])*24)</f>
        <v>0</v>
      </c>
      <c r="AE389" s="44">
        <f>IF(PA[[#This Row],[Work Start time on Fault]]="NA","",(PA[[#This Row],[Work Start time on Fault]]-PA[[#This Row],[Fault Time]])*24)</f>
        <v>0</v>
      </c>
      <c r="AF389" s="45">
        <f>IF(PA[[#This Row],[Status]]="Open","",(PA[[#This Row],[Work Completion time on fault]]-PA[[#This Row],[Fault Time]])*24)</f>
        <v>0</v>
      </c>
      <c r="AG389" s="44">
        <f>IFERROR((PA[[#This Row],[Work Completion time on fault]]-PA[[#This Row],[Fault Time]])*24,"")</f>
        <v>0</v>
      </c>
      <c r="AH389" s="36"/>
      <c r="AI389" s="33"/>
      <c r="AJ389" s="35" t="str">
        <f>IFERROR(PA[[#This Row],[Breakdown Time]]*PA[[#This Row],[Plant Equivalent Weightage]],"")</f>
        <v/>
      </c>
      <c r="AK389" s="36"/>
      <c r="AL389" s="51" t="str">
        <f>IFERROR((_xlfn.XLOOKUP($G389,'Modelling New'!D:D,'Modelling New'!$O:$O)*PA[[#This Row],[Lost PoA(kWh/m2)]]*PA[[#This Row],[DC Capacity Affected (kW)]]),"")</f>
        <v/>
      </c>
      <c r="AM389" s="33"/>
      <c r="AN389" s="33"/>
      <c r="AO389" s="33"/>
      <c r="AP389" s="33"/>
    </row>
    <row r="390" spans="1:42">
      <c r="A390" s="30">
        <f t="shared" si="3"/>
        <v>389</v>
      </c>
      <c r="B390" s="31"/>
      <c r="C390" s="212">
        <f>YEAR(PA[[#This Row],[Date]])+IF(MONTH(PA[[#This Row],[Date]])&gt;=4,1,0)</f>
        <v>1900</v>
      </c>
      <c r="D390" s="212">
        <f>YEAR(PA[[#This Row],[Date]])</f>
        <v>1900</v>
      </c>
      <c r="E390" s="37" t="s">
        <v>157</v>
      </c>
      <c r="F390" s="37" t="s">
        <v>157</v>
      </c>
      <c r="G390" s="214">
        <f>PA[[#This Row],[Date]]-DAY(PA[[#This Row],[Date]])+1</f>
        <v>1</v>
      </c>
      <c r="H390" s="32">
        <f>DAY(EOMONTH(PA[[#This Row],[Month Year]],0))</f>
        <v>31</v>
      </c>
      <c r="I390" s="34"/>
      <c r="J390" s="34"/>
      <c r="K390" s="35">
        <f>IFERROR((PA[[#This Row],[Sunset Time (POA&lt;20 W/m2)]]-PA[[#This Row],[Sunrise Time (POA&gt;20 W/m2)]])*24,"")</f>
        <v>0</v>
      </c>
      <c r="L390" s="33"/>
      <c r="M390" s="33"/>
      <c r="N390" s="33"/>
      <c r="O390" s="36"/>
      <c r="P390" s="36"/>
      <c r="Q390" s="33"/>
      <c r="R390" s="32">
        <f>IF((PA[[#This Row],[String Type(If String BD)]]&amp;PA[[#This Row],[Equipment (If any BD other than PV  array and inv)]])="",1,0)</f>
        <v>1</v>
      </c>
      <c r="S390" s="32">
        <f>IF(PA[[#This Row],[String Type(If String BD)]]="",1,0)</f>
        <v>1</v>
      </c>
      <c r="T39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0" s="35" t="str">
        <f>IFERROR(_xlfn.XLOOKUP(PA[[#This Row],[Affected Equipment ]],'Basic Data'!N:N,'Basic Data'!Q:Q),"")</f>
        <v/>
      </c>
      <c r="V390" s="207" t="str">
        <f>IFERROR(_xlfn.XLOOKUP(PA[[#This Row],[Affected Equipment ]],'Basic Data'!N:N,'Basic Data'!R:R),"")</f>
        <v/>
      </c>
      <c r="W390" s="36"/>
      <c r="X390" s="40"/>
      <c r="Y390" s="41"/>
      <c r="Z390" s="46"/>
      <c r="AA390" s="46"/>
      <c r="AB390" s="46"/>
      <c r="AC390" s="46"/>
      <c r="AD390" s="44">
        <f>IF(PA[[#This Row],[Acknowledgement Time ]]="NA","",(PA[[#This Row],[Acknowledgement Time ]]-PA[[#This Row],[Fault Time]])*24)</f>
        <v>0</v>
      </c>
      <c r="AE390" s="44">
        <f>IF(PA[[#This Row],[Work Start time on Fault]]="NA","",(PA[[#This Row],[Work Start time on Fault]]-PA[[#This Row],[Fault Time]])*24)</f>
        <v>0</v>
      </c>
      <c r="AF390" s="45">
        <f>IF(PA[[#This Row],[Status]]="Open","",(PA[[#This Row],[Work Completion time on fault]]-PA[[#This Row],[Fault Time]])*24)</f>
        <v>0</v>
      </c>
      <c r="AG390" s="44">
        <f>IFERROR((PA[[#This Row],[Work Completion time on fault]]-PA[[#This Row],[Fault Time]])*24,"")</f>
        <v>0</v>
      </c>
      <c r="AH390" s="36"/>
      <c r="AI390" s="33"/>
      <c r="AJ390" s="35" t="str">
        <f>IFERROR(PA[[#This Row],[Breakdown Time]]*PA[[#This Row],[Plant Equivalent Weightage]],"")</f>
        <v/>
      </c>
      <c r="AK390" s="36"/>
      <c r="AL390" s="51" t="str">
        <f>IFERROR((_xlfn.XLOOKUP($G390,'Modelling New'!D:D,'Modelling New'!$O:$O)*PA[[#This Row],[Lost PoA(kWh/m2)]]*PA[[#This Row],[DC Capacity Affected (kW)]]),"")</f>
        <v/>
      </c>
      <c r="AM390" s="33"/>
      <c r="AN390" s="33"/>
      <c r="AO390" s="33"/>
      <c r="AP390" s="33"/>
    </row>
    <row r="391" spans="1:42">
      <c r="A391" s="30">
        <f t="shared" si="3"/>
        <v>390</v>
      </c>
      <c r="B391" s="165"/>
      <c r="C391" s="211">
        <f>YEAR(PA[[#This Row],[Date]])+IF(MONTH(PA[[#This Row],[Date]])&gt;=4,1,0)</f>
        <v>1900</v>
      </c>
      <c r="D391" s="211">
        <f>YEAR(PA[[#This Row],[Date]])</f>
        <v>1900</v>
      </c>
      <c r="E391" s="37" t="s">
        <v>157</v>
      </c>
      <c r="F391" s="37" t="s">
        <v>157</v>
      </c>
      <c r="G391" s="214">
        <f>PA[[#This Row],[Date]]-DAY(PA[[#This Row],[Date]])+1</f>
        <v>1</v>
      </c>
      <c r="H391" s="202">
        <f>DAY(EOMONTH(PA[[#This Row],[Month Year]],0))</f>
        <v>31</v>
      </c>
      <c r="I391" s="34"/>
      <c r="J391" s="34"/>
      <c r="K391" s="35">
        <f>IFERROR((PA[[#This Row],[Sunset Time (POA&lt;20 W/m2)]]-PA[[#This Row],[Sunrise Time (POA&gt;20 W/m2)]])*24,"")</f>
        <v>0</v>
      </c>
      <c r="L391" s="33"/>
      <c r="M391" s="33"/>
      <c r="N391" s="33"/>
      <c r="O391" s="38"/>
      <c r="P391" s="38"/>
      <c r="Q391" s="37"/>
      <c r="R391" s="202">
        <f>IF((PA[[#This Row],[String Type(If String BD)]]&amp;PA[[#This Row],[Equipment (If any BD other than PV  array and inv)]])="",1,0)</f>
        <v>1</v>
      </c>
      <c r="S391" s="202">
        <f>IF(PA[[#This Row],[String Type(If String BD)]]="",1,0)</f>
        <v>1</v>
      </c>
      <c r="T39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1" s="204" t="str">
        <f>IFERROR(_xlfn.XLOOKUP(PA[[#This Row],[Affected Equipment ]],'Basic Data'!N:N,'Basic Data'!Q:Q),"")</f>
        <v/>
      </c>
      <c r="V391" s="208" t="str">
        <f>IFERROR(_xlfn.XLOOKUP(PA[[#This Row],[Affected Equipment ]],'Basic Data'!N:N,'Basic Data'!R:R),"")</f>
        <v/>
      </c>
      <c r="W391" s="38"/>
      <c r="X391" s="41"/>
      <c r="Y391" s="41"/>
      <c r="Z391" s="46"/>
      <c r="AA391" s="46"/>
      <c r="AB391" s="46"/>
      <c r="AC391" s="46"/>
      <c r="AD391" s="205">
        <f>IF(PA[[#This Row],[Acknowledgement Time ]]="NA","",(PA[[#This Row],[Acknowledgement Time ]]-PA[[#This Row],[Fault Time]])*24)</f>
        <v>0</v>
      </c>
      <c r="AE391" s="205">
        <f>IF(PA[[#This Row],[Work Start time on Fault]]="NA","",(PA[[#This Row],[Work Start time on Fault]]-PA[[#This Row],[Fault Time]])*24)</f>
        <v>0</v>
      </c>
      <c r="AF391" s="206">
        <f>IF(PA[[#This Row],[Status]]="Open","",(PA[[#This Row],[Work Completion time on fault]]-PA[[#This Row],[Fault Time]])*24)</f>
        <v>0</v>
      </c>
      <c r="AG391" s="205">
        <f>IFERROR((PA[[#This Row],[Work Completion time on fault]]-PA[[#This Row],[Fault Time]])*24,"")</f>
        <v>0</v>
      </c>
      <c r="AH391" s="36"/>
      <c r="AI391" s="33"/>
      <c r="AJ391" s="204" t="str">
        <f>IFERROR(PA[[#This Row],[Breakdown Time]]*PA[[#This Row],[Plant Equivalent Weightage]],"")</f>
        <v/>
      </c>
      <c r="AK391" s="36"/>
      <c r="AL391" s="51" t="str">
        <f>IFERROR((_xlfn.XLOOKUP($G391,'Modelling New'!D:D,'Modelling New'!$O:$O)*PA[[#This Row],[Lost PoA(kWh/m2)]]*PA[[#This Row],[DC Capacity Affected (kW)]]),"")</f>
        <v/>
      </c>
      <c r="AM391" s="33"/>
      <c r="AN391" s="33"/>
      <c r="AO391" s="33"/>
      <c r="AP391" s="33"/>
    </row>
    <row r="392" spans="1:42">
      <c r="A392" s="30">
        <f t="shared" si="3"/>
        <v>391</v>
      </c>
      <c r="B392" s="165"/>
      <c r="C392" s="211">
        <f>YEAR(PA[[#This Row],[Date]])+IF(MONTH(PA[[#This Row],[Date]])&gt;=4,1,0)</f>
        <v>1900</v>
      </c>
      <c r="D392" s="211">
        <f>YEAR(PA[[#This Row],[Date]])</f>
        <v>1900</v>
      </c>
      <c r="E392" s="37" t="s">
        <v>157</v>
      </c>
      <c r="F392" s="37" t="s">
        <v>157</v>
      </c>
      <c r="G392" s="214">
        <f>PA[[#This Row],[Date]]-DAY(PA[[#This Row],[Date]])+1</f>
        <v>1</v>
      </c>
      <c r="H392" s="202">
        <f>DAY(EOMONTH(PA[[#This Row],[Month Year]],0))</f>
        <v>31</v>
      </c>
      <c r="I392" s="34"/>
      <c r="J392" s="34"/>
      <c r="K392" s="35">
        <f>IFERROR((PA[[#This Row],[Sunset Time (POA&lt;20 W/m2)]]-PA[[#This Row],[Sunrise Time (POA&gt;20 W/m2)]])*24,"")</f>
        <v>0</v>
      </c>
      <c r="L392" s="33"/>
      <c r="M392" s="33"/>
      <c r="N392" s="37"/>
      <c r="O392" s="38"/>
      <c r="P392" s="38"/>
      <c r="Q392" s="37"/>
      <c r="R392" s="202">
        <f>IF((PA[[#This Row],[String Type(If String BD)]]&amp;PA[[#This Row],[Equipment (If any BD other than PV  array and inv)]])="",1,0)</f>
        <v>1</v>
      </c>
      <c r="S392" s="202">
        <f>IF(PA[[#This Row],[String Type(If String BD)]]="",1,0)</f>
        <v>1</v>
      </c>
      <c r="T39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2" s="204" t="str">
        <f>IFERROR(_xlfn.XLOOKUP(PA[[#This Row],[Affected Equipment ]],'Basic Data'!N:N,'Basic Data'!Q:Q),"")</f>
        <v/>
      </c>
      <c r="V392" s="208" t="str">
        <f>IFERROR(_xlfn.XLOOKUP(PA[[#This Row],[Affected Equipment ]],'Basic Data'!N:N,'Basic Data'!R:R),"")</f>
        <v/>
      </c>
      <c r="W392" s="38"/>
      <c r="X392" s="41"/>
      <c r="Y392" s="41"/>
      <c r="Z392" s="46"/>
      <c r="AA392" s="46"/>
      <c r="AB392" s="46"/>
      <c r="AC392" s="46"/>
      <c r="AD392" s="205">
        <f>IF(PA[[#This Row],[Acknowledgement Time ]]="NA","",(PA[[#This Row],[Acknowledgement Time ]]-PA[[#This Row],[Fault Time]])*24)</f>
        <v>0</v>
      </c>
      <c r="AE392" s="205">
        <f>IF(PA[[#This Row],[Work Start time on Fault]]="NA","",(PA[[#This Row],[Work Start time on Fault]]-PA[[#This Row],[Fault Time]])*24)</f>
        <v>0</v>
      </c>
      <c r="AF392" s="206">
        <f>IF(PA[[#This Row],[Status]]="Open","",(PA[[#This Row],[Work Completion time on fault]]-PA[[#This Row],[Fault Time]])*24)</f>
        <v>0</v>
      </c>
      <c r="AG392" s="205">
        <f>IFERROR((PA[[#This Row],[Work Completion time on fault]]-PA[[#This Row],[Fault Time]])*24,"")</f>
        <v>0</v>
      </c>
      <c r="AH392" s="36"/>
      <c r="AI392" s="33"/>
      <c r="AJ392" s="204" t="str">
        <f>IFERROR(PA[[#This Row],[Breakdown Time]]*PA[[#This Row],[Plant Equivalent Weightage]],"")</f>
        <v/>
      </c>
      <c r="AK392" s="36"/>
      <c r="AL392" s="51" t="str">
        <f>IFERROR((_xlfn.XLOOKUP($G392,'Modelling New'!D:D,'Modelling New'!$O:$O)*PA[[#This Row],[Lost PoA(kWh/m2)]]*PA[[#This Row],[DC Capacity Affected (kW)]]),"")</f>
        <v/>
      </c>
      <c r="AM392" s="33"/>
      <c r="AN392" s="33"/>
      <c r="AO392" s="33"/>
      <c r="AP392" s="33"/>
    </row>
    <row r="393" spans="1:42">
      <c r="A393" s="30">
        <f t="shared" si="3"/>
        <v>392</v>
      </c>
      <c r="B393" s="165"/>
      <c r="C393" s="212">
        <f>YEAR(PA[[#This Row],[Date]])+IF(MONTH(PA[[#This Row],[Date]])&gt;=4,1,0)</f>
        <v>1900</v>
      </c>
      <c r="D393" s="212">
        <f>YEAR(PA[[#This Row],[Date]])</f>
        <v>1900</v>
      </c>
      <c r="E393" s="37" t="s">
        <v>157</v>
      </c>
      <c r="F393" s="37" t="s">
        <v>157</v>
      </c>
      <c r="G393" s="214">
        <f>PA[[#This Row],[Date]]-DAY(PA[[#This Row],[Date]])+1</f>
        <v>1</v>
      </c>
      <c r="H393" s="32">
        <f>DAY(EOMONTH(PA[[#This Row],[Month Year]],0))</f>
        <v>31</v>
      </c>
      <c r="I393" s="34"/>
      <c r="J393" s="34"/>
      <c r="K393" s="35">
        <f>IFERROR((PA[[#This Row],[Sunset Time (POA&lt;20 W/m2)]]-PA[[#This Row],[Sunrise Time (POA&gt;20 W/m2)]])*24,"")</f>
        <v>0</v>
      </c>
      <c r="L393" s="33"/>
      <c r="M393" s="37"/>
      <c r="N393" s="33"/>
      <c r="O393" s="36"/>
      <c r="P393" s="36"/>
      <c r="Q393" s="33"/>
      <c r="R393" s="32">
        <f>IF((PA[[#This Row],[String Type(If String BD)]]&amp;PA[[#This Row],[Equipment (If any BD other than PV  array and inv)]])="",1,0)</f>
        <v>1</v>
      </c>
      <c r="S393" s="32">
        <f>IF(PA[[#This Row],[String Type(If String BD)]]="",1,0)</f>
        <v>1</v>
      </c>
      <c r="T39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3" s="35" t="str">
        <f>IFERROR(_xlfn.XLOOKUP(PA[[#This Row],[Affected Equipment ]],'Basic Data'!N:N,'Basic Data'!Q:Q),"")</f>
        <v/>
      </c>
      <c r="V393" s="207" t="str">
        <f>IFERROR(_xlfn.XLOOKUP(PA[[#This Row],[Affected Equipment ]],'Basic Data'!N:N,'Basic Data'!R:R),"")</f>
        <v/>
      </c>
      <c r="W393" s="36"/>
      <c r="X393" s="40"/>
      <c r="Y393" s="41"/>
      <c r="Z393" s="46"/>
      <c r="AA393" s="46"/>
      <c r="AB393" s="46"/>
      <c r="AC393" s="46"/>
      <c r="AD393" s="44">
        <f>IF(PA[[#This Row],[Acknowledgement Time ]]="NA","",(PA[[#This Row],[Acknowledgement Time ]]-PA[[#This Row],[Fault Time]])*24)</f>
        <v>0</v>
      </c>
      <c r="AE393" s="44">
        <f>IF(PA[[#This Row],[Work Start time on Fault]]="NA","",(PA[[#This Row],[Work Start time on Fault]]-PA[[#This Row],[Fault Time]])*24)</f>
        <v>0</v>
      </c>
      <c r="AF393" s="45">
        <f>IF(PA[[#This Row],[Status]]="Open","",(PA[[#This Row],[Work Completion time on fault]]-PA[[#This Row],[Fault Time]])*24)</f>
        <v>0</v>
      </c>
      <c r="AG393" s="44">
        <f>IFERROR((PA[[#This Row],[Work Completion time on fault]]-PA[[#This Row],[Fault Time]])*24,"")</f>
        <v>0</v>
      </c>
      <c r="AH393" s="36"/>
      <c r="AI393" s="33"/>
      <c r="AJ393" s="35" t="str">
        <f>IFERROR(PA[[#This Row],[Breakdown Time]]*PA[[#This Row],[Plant Equivalent Weightage]],"")</f>
        <v/>
      </c>
      <c r="AK393" s="36"/>
      <c r="AL393" s="51" t="str">
        <f>IFERROR((_xlfn.XLOOKUP($G393,'Modelling New'!D:D,'Modelling New'!$O:$O)*PA[[#This Row],[Lost PoA(kWh/m2)]]*PA[[#This Row],[DC Capacity Affected (kW)]]),"")</f>
        <v/>
      </c>
      <c r="AM393" s="33"/>
      <c r="AN393" s="33"/>
      <c r="AO393" s="33"/>
      <c r="AP393" s="33"/>
    </row>
    <row r="394" spans="1:42">
      <c r="A394" s="30">
        <f t="shared" si="3"/>
        <v>393</v>
      </c>
      <c r="B394" s="165"/>
      <c r="C394" s="212">
        <f>YEAR(PA[[#This Row],[Date]])+IF(MONTH(PA[[#This Row],[Date]])&gt;=4,1,0)</f>
        <v>1900</v>
      </c>
      <c r="D394" s="212">
        <f>YEAR(PA[[#This Row],[Date]])</f>
        <v>1900</v>
      </c>
      <c r="E394" s="37" t="s">
        <v>157</v>
      </c>
      <c r="F394" s="37" t="s">
        <v>157</v>
      </c>
      <c r="G394" s="214">
        <f>PA[[#This Row],[Date]]-DAY(PA[[#This Row],[Date]])+1</f>
        <v>1</v>
      </c>
      <c r="H394" s="32">
        <f>DAY(EOMONTH(PA[[#This Row],[Month Year]],0))</f>
        <v>31</v>
      </c>
      <c r="I394" s="34"/>
      <c r="J394" s="34"/>
      <c r="K394" s="35">
        <f>IFERROR((PA[[#This Row],[Sunset Time (POA&lt;20 W/m2)]]-PA[[#This Row],[Sunrise Time (POA&gt;20 W/m2)]])*24,"")</f>
        <v>0</v>
      </c>
      <c r="L394" s="33"/>
      <c r="M394" s="37"/>
      <c r="N394" s="33"/>
      <c r="O394" s="36"/>
      <c r="P394" s="36"/>
      <c r="Q394" s="33"/>
      <c r="R394" s="32">
        <f>IF((PA[[#This Row],[String Type(If String BD)]]&amp;PA[[#This Row],[Equipment (If any BD other than PV  array and inv)]])="",1,0)</f>
        <v>1</v>
      </c>
      <c r="S394" s="32">
        <f>IF(PA[[#This Row],[String Type(If String BD)]]="",1,0)</f>
        <v>1</v>
      </c>
      <c r="T39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4" s="35" t="str">
        <f>IFERROR(_xlfn.XLOOKUP(PA[[#This Row],[Affected Equipment ]],'Basic Data'!N:N,'Basic Data'!Q:Q),"")</f>
        <v/>
      </c>
      <c r="V394" s="207" t="str">
        <f>IFERROR(_xlfn.XLOOKUP(PA[[#This Row],[Affected Equipment ]],'Basic Data'!N:N,'Basic Data'!R:R),"")</f>
        <v/>
      </c>
      <c r="W394" s="36"/>
      <c r="X394" s="40"/>
      <c r="Y394" s="41"/>
      <c r="Z394" s="46"/>
      <c r="AA394" s="46"/>
      <c r="AB394" s="46"/>
      <c r="AC394" s="46"/>
      <c r="AD394" s="44">
        <f>IF(PA[[#This Row],[Acknowledgement Time ]]="NA","",(PA[[#This Row],[Acknowledgement Time ]]-PA[[#This Row],[Fault Time]])*24)</f>
        <v>0</v>
      </c>
      <c r="AE394" s="44">
        <f>IF(PA[[#This Row],[Work Start time on Fault]]="NA","",(PA[[#This Row],[Work Start time on Fault]]-PA[[#This Row],[Fault Time]])*24)</f>
        <v>0</v>
      </c>
      <c r="AF394" s="45">
        <f>IF(PA[[#This Row],[Status]]="Open","",(PA[[#This Row],[Work Completion time on fault]]-PA[[#This Row],[Fault Time]])*24)</f>
        <v>0</v>
      </c>
      <c r="AG394" s="44">
        <f>IFERROR((PA[[#This Row],[Work Completion time on fault]]-PA[[#This Row],[Fault Time]])*24,"")</f>
        <v>0</v>
      </c>
      <c r="AH394" s="36"/>
      <c r="AI394" s="33"/>
      <c r="AJ394" s="35" t="str">
        <f>IFERROR(PA[[#This Row],[Breakdown Time]]*PA[[#This Row],[Plant Equivalent Weightage]],"")</f>
        <v/>
      </c>
      <c r="AK394" s="36"/>
      <c r="AL394" s="51" t="str">
        <f>IFERROR((_xlfn.XLOOKUP($G394,'Modelling New'!D:D,'Modelling New'!$O:$O)*PA[[#This Row],[Lost PoA(kWh/m2)]]*PA[[#This Row],[DC Capacity Affected (kW)]]),"")</f>
        <v/>
      </c>
      <c r="AM394" s="33"/>
      <c r="AN394" s="33"/>
      <c r="AO394" s="33"/>
      <c r="AP394" s="33"/>
    </row>
    <row r="395" spans="1:42">
      <c r="A395" s="30">
        <f t="shared" si="3"/>
        <v>394</v>
      </c>
      <c r="B395" s="165"/>
      <c r="C395" s="212">
        <f>YEAR(PA[[#This Row],[Date]])+IF(MONTH(PA[[#This Row],[Date]])&gt;=4,1,0)</f>
        <v>1900</v>
      </c>
      <c r="D395" s="212">
        <f>YEAR(PA[[#This Row],[Date]])</f>
        <v>1900</v>
      </c>
      <c r="E395" s="37" t="s">
        <v>157</v>
      </c>
      <c r="F395" s="37" t="s">
        <v>157</v>
      </c>
      <c r="G395" s="214">
        <f>PA[[#This Row],[Date]]-DAY(PA[[#This Row],[Date]])+1</f>
        <v>1</v>
      </c>
      <c r="H395" s="32">
        <f>DAY(EOMONTH(PA[[#This Row],[Month Year]],0))</f>
        <v>31</v>
      </c>
      <c r="I395" s="34"/>
      <c r="J395" s="34"/>
      <c r="K395" s="35">
        <f>IFERROR((PA[[#This Row],[Sunset Time (POA&lt;20 W/m2)]]-PA[[#This Row],[Sunrise Time (POA&gt;20 W/m2)]])*24,"")</f>
        <v>0</v>
      </c>
      <c r="L395" s="33"/>
      <c r="M395" s="37"/>
      <c r="N395" s="33"/>
      <c r="O395" s="36"/>
      <c r="P395" s="36"/>
      <c r="Q395" s="33"/>
      <c r="R395" s="32">
        <f>IF((PA[[#This Row],[String Type(If String BD)]]&amp;PA[[#This Row],[Equipment (If any BD other than PV  array and inv)]])="",1,0)</f>
        <v>1</v>
      </c>
      <c r="S395" s="32">
        <f>IF(PA[[#This Row],[String Type(If String BD)]]="",1,0)</f>
        <v>1</v>
      </c>
      <c r="T39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5" s="35" t="str">
        <f>IFERROR(_xlfn.XLOOKUP(PA[[#This Row],[Affected Equipment ]],'Basic Data'!N:N,'Basic Data'!Q:Q),"")</f>
        <v/>
      </c>
      <c r="V395" s="207" t="str">
        <f>IFERROR(_xlfn.XLOOKUP(PA[[#This Row],[Affected Equipment ]],'Basic Data'!N:N,'Basic Data'!R:R),"")</f>
        <v/>
      </c>
      <c r="W395" s="36"/>
      <c r="X395" s="40"/>
      <c r="Y395" s="41"/>
      <c r="Z395" s="46"/>
      <c r="AA395" s="46"/>
      <c r="AB395" s="46"/>
      <c r="AC395" s="46"/>
      <c r="AD395" s="44">
        <f>IF(PA[[#This Row],[Acknowledgement Time ]]="NA","",(PA[[#This Row],[Acknowledgement Time ]]-PA[[#This Row],[Fault Time]])*24)</f>
        <v>0</v>
      </c>
      <c r="AE395" s="44">
        <f>IF(PA[[#This Row],[Work Start time on Fault]]="NA","",(PA[[#This Row],[Work Start time on Fault]]-PA[[#This Row],[Fault Time]])*24)</f>
        <v>0</v>
      </c>
      <c r="AF395" s="45">
        <f>IF(PA[[#This Row],[Status]]="Open","",(PA[[#This Row],[Work Completion time on fault]]-PA[[#This Row],[Fault Time]])*24)</f>
        <v>0</v>
      </c>
      <c r="AG395" s="44">
        <f>IFERROR((PA[[#This Row],[Work Completion time on fault]]-PA[[#This Row],[Fault Time]])*24,"")</f>
        <v>0</v>
      </c>
      <c r="AH395" s="36"/>
      <c r="AI395" s="33"/>
      <c r="AJ395" s="35" t="str">
        <f>IFERROR(PA[[#This Row],[Breakdown Time]]*PA[[#This Row],[Plant Equivalent Weightage]],"")</f>
        <v/>
      </c>
      <c r="AK395" s="36"/>
      <c r="AL395" s="51" t="str">
        <f>IFERROR((_xlfn.XLOOKUP($G395,'Modelling New'!D:D,'Modelling New'!$O:$O)*PA[[#This Row],[Lost PoA(kWh/m2)]]*PA[[#This Row],[DC Capacity Affected (kW)]]),"")</f>
        <v/>
      </c>
      <c r="AM395" s="33"/>
      <c r="AN395" s="33"/>
      <c r="AO395" s="33"/>
      <c r="AP395" s="33"/>
    </row>
    <row r="396" spans="1:42">
      <c r="A396" s="30">
        <f t="shared" si="3"/>
        <v>395</v>
      </c>
      <c r="B396" s="165"/>
      <c r="C396" s="212">
        <f>YEAR(PA[[#This Row],[Date]])+IF(MONTH(PA[[#This Row],[Date]])&gt;=4,1,0)</f>
        <v>1900</v>
      </c>
      <c r="D396" s="212">
        <f>YEAR(PA[[#This Row],[Date]])</f>
        <v>1900</v>
      </c>
      <c r="E396" s="37" t="s">
        <v>157</v>
      </c>
      <c r="F396" s="37" t="s">
        <v>157</v>
      </c>
      <c r="G396" s="214">
        <f>PA[[#This Row],[Date]]-DAY(PA[[#This Row],[Date]])+1</f>
        <v>1</v>
      </c>
      <c r="H396" s="32">
        <f>DAY(EOMONTH(PA[[#This Row],[Month Year]],0))</f>
        <v>31</v>
      </c>
      <c r="I396" s="34"/>
      <c r="J396" s="34"/>
      <c r="K396" s="35">
        <f>IFERROR((PA[[#This Row],[Sunset Time (POA&lt;20 W/m2)]]-PA[[#This Row],[Sunrise Time (POA&gt;20 W/m2)]])*24,"")</f>
        <v>0</v>
      </c>
      <c r="L396" s="33"/>
      <c r="M396" s="37"/>
      <c r="N396" s="37"/>
      <c r="O396" s="36"/>
      <c r="P396" s="36"/>
      <c r="Q396" s="33"/>
      <c r="R396" s="32">
        <f>IF((PA[[#This Row],[String Type(If String BD)]]&amp;PA[[#This Row],[Equipment (If any BD other than PV  array and inv)]])="",1,0)</f>
        <v>1</v>
      </c>
      <c r="S396" s="32">
        <f>IF(PA[[#This Row],[String Type(If String BD)]]="",1,0)</f>
        <v>1</v>
      </c>
      <c r="T39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6" s="35" t="str">
        <f>IFERROR(_xlfn.XLOOKUP(PA[[#This Row],[Affected Equipment ]],'Basic Data'!N:N,'Basic Data'!Q:Q),"")</f>
        <v/>
      </c>
      <c r="V396" s="207" t="str">
        <f>IFERROR(_xlfn.XLOOKUP(PA[[#This Row],[Affected Equipment ]],'Basic Data'!N:N,'Basic Data'!R:R),"")</f>
        <v/>
      </c>
      <c r="W396" s="36"/>
      <c r="X396" s="40"/>
      <c r="Y396" s="41"/>
      <c r="Z396" s="46"/>
      <c r="AA396" s="46"/>
      <c r="AB396" s="46"/>
      <c r="AC396" s="46"/>
      <c r="AD396" s="44">
        <f>IF(PA[[#This Row],[Acknowledgement Time ]]="NA","",(PA[[#This Row],[Acknowledgement Time ]]-PA[[#This Row],[Fault Time]])*24)</f>
        <v>0</v>
      </c>
      <c r="AE396" s="44">
        <f>IF(PA[[#This Row],[Work Start time on Fault]]="NA","",(PA[[#This Row],[Work Start time on Fault]]-PA[[#This Row],[Fault Time]])*24)</f>
        <v>0</v>
      </c>
      <c r="AF396" s="45">
        <f>IF(PA[[#This Row],[Status]]="Open","",(PA[[#This Row],[Work Completion time on fault]]-PA[[#This Row],[Fault Time]])*24)</f>
        <v>0</v>
      </c>
      <c r="AG396" s="44">
        <f>IFERROR((PA[[#This Row],[Work Completion time on fault]]-PA[[#This Row],[Fault Time]])*24,"")</f>
        <v>0</v>
      </c>
      <c r="AH396" s="36"/>
      <c r="AI396" s="33"/>
      <c r="AJ396" s="35" t="str">
        <f>IFERROR(PA[[#This Row],[Breakdown Time]]*PA[[#This Row],[Plant Equivalent Weightage]],"")</f>
        <v/>
      </c>
      <c r="AK396" s="36"/>
      <c r="AL396" s="51" t="str">
        <f>IFERROR((_xlfn.XLOOKUP($G396,'Modelling New'!D:D,'Modelling New'!$O:$O)*PA[[#This Row],[Lost PoA(kWh/m2)]]*PA[[#This Row],[DC Capacity Affected (kW)]]),"")</f>
        <v/>
      </c>
      <c r="AM396" s="33"/>
      <c r="AN396" s="33"/>
      <c r="AO396" s="33"/>
      <c r="AP396" s="33"/>
    </row>
    <row r="397" spans="1:42">
      <c r="A397" s="30">
        <f t="shared" si="3"/>
        <v>396</v>
      </c>
      <c r="B397" s="165"/>
      <c r="C397" s="212">
        <f>YEAR(PA[[#This Row],[Date]])+IF(MONTH(PA[[#This Row],[Date]])&gt;=4,1,0)</f>
        <v>1900</v>
      </c>
      <c r="D397" s="212">
        <f>YEAR(PA[[#This Row],[Date]])</f>
        <v>1900</v>
      </c>
      <c r="E397" s="37" t="s">
        <v>157</v>
      </c>
      <c r="F397" s="37" t="s">
        <v>157</v>
      </c>
      <c r="G397" s="214">
        <f>PA[[#This Row],[Date]]-DAY(PA[[#This Row],[Date]])+1</f>
        <v>1</v>
      </c>
      <c r="H397" s="32">
        <f>DAY(EOMONTH(PA[[#This Row],[Month Year]],0))</f>
        <v>31</v>
      </c>
      <c r="I397" s="34"/>
      <c r="J397" s="34"/>
      <c r="K397" s="35">
        <f>IFERROR((PA[[#This Row],[Sunset Time (POA&lt;20 W/m2)]]-PA[[#This Row],[Sunrise Time (POA&gt;20 W/m2)]])*24,"")</f>
        <v>0</v>
      </c>
      <c r="L397" s="33"/>
      <c r="M397" s="33"/>
      <c r="N397" s="33"/>
      <c r="O397" s="36"/>
      <c r="P397" s="36"/>
      <c r="Q397" s="33"/>
      <c r="R397" s="32">
        <f>IF((PA[[#This Row],[String Type(If String BD)]]&amp;PA[[#This Row],[Equipment (If any BD other than PV  array and inv)]])="",1,0)</f>
        <v>1</v>
      </c>
      <c r="S397" s="32">
        <f>IF(PA[[#This Row],[String Type(If String BD)]]="",1,0)</f>
        <v>1</v>
      </c>
      <c r="T39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7" s="35" t="str">
        <f>IFERROR(_xlfn.XLOOKUP(PA[[#This Row],[Affected Equipment ]],'Basic Data'!N:N,'Basic Data'!Q:Q),"")</f>
        <v/>
      </c>
      <c r="V397" s="207" t="str">
        <f>IFERROR(_xlfn.XLOOKUP(PA[[#This Row],[Affected Equipment ]],'Basic Data'!N:N,'Basic Data'!R:R),"")</f>
        <v/>
      </c>
      <c r="W397" s="36"/>
      <c r="X397" s="40"/>
      <c r="Y397" s="41"/>
      <c r="Z397" s="46"/>
      <c r="AA397" s="46"/>
      <c r="AB397" s="46"/>
      <c r="AC397" s="46"/>
      <c r="AD397" s="44">
        <f>IF(PA[[#This Row],[Acknowledgement Time ]]="NA","",(PA[[#This Row],[Acknowledgement Time ]]-PA[[#This Row],[Fault Time]])*24)</f>
        <v>0</v>
      </c>
      <c r="AE397" s="44">
        <f>IF(PA[[#This Row],[Work Start time on Fault]]="NA","",(PA[[#This Row],[Work Start time on Fault]]-PA[[#This Row],[Fault Time]])*24)</f>
        <v>0</v>
      </c>
      <c r="AF397" s="45">
        <f>IF(PA[[#This Row],[Status]]="Open","",(PA[[#This Row],[Work Completion time on fault]]-PA[[#This Row],[Fault Time]])*24)</f>
        <v>0</v>
      </c>
      <c r="AG397" s="44">
        <f>IFERROR((PA[[#This Row],[Work Completion time on fault]]-PA[[#This Row],[Fault Time]])*24,"")</f>
        <v>0</v>
      </c>
      <c r="AH397" s="36"/>
      <c r="AI397" s="33"/>
      <c r="AJ397" s="35" t="str">
        <f>IFERROR(PA[[#This Row],[Breakdown Time]]*PA[[#This Row],[Plant Equivalent Weightage]],"")</f>
        <v/>
      </c>
      <c r="AK397" s="36"/>
      <c r="AL397" s="51" t="str">
        <f>IFERROR((_xlfn.XLOOKUP($G397,'Modelling New'!D:D,'Modelling New'!$O:$O)*PA[[#This Row],[Lost PoA(kWh/m2)]]*PA[[#This Row],[DC Capacity Affected (kW)]]),"")</f>
        <v/>
      </c>
      <c r="AM397" s="33"/>
      <c r="AN397" s="33"/>
      <c r="AO397" s="33"/>
      <c r="AP397" s="33"/>
    </row>
    <row r="398" spans="1:42">
      <c r="A398" s="30">
        <f t="shared" si="3"/>
        <v>397</v>
      </c>
      <c r="B398" s="31"/>
      <c r="C398" s="212">
        <f>YEAR(PA[[#This Row],[Date]])+IF(MONTH(PA[[#This Row],[Date]])&gt;=4,1,0)</f>
        <v>1900</v>
      </c>
      <c r="D398" s="212">
        <f>YEAR(PA[[#This Row],[Date]])</f>
        <v>1900</v>
      </c>
      <c r="E398" s="37" t="s">
        <v>157</v>
      </c>
      <c r="F398" s="37" t="s">
        <v>157</v>
      </c>
      <c r="G398" s="214">
        <f>PA[[#This Row],[Date]]-DAY(PA[[#This Row],[Date]])+1</f>
        <v>1</v>
      </c>
      <c r="H398" s="32">
        <f>DAY(EOMONTH(PA[[#This Row],[Month Year]],0))</f>
        <v>31</v>
      </c>
      <c r="I398" s="34"/>
      <c r="J398" s="34"/>
      <c r="K398" s="35">
        <f>IFERROR((PA[[#This Row],[Sunset Time (POA&lt;20 W/m2)]]-PA[[#This Row],[Sunrise Time (POA&gt;20 W/m2)]])*24,"")</f>
        <v>0</v>
      </c>
      <c r="L398" s="33"/>
      <c r="M398" s="33"/>
      <c r="N398" s="33"/>
      <c r="O398" s="36"/>
      <c r="P398" s="36"/>
      <c r="Q398" s="33"/>
      <c r="R398" s="32">
        <f>IF((PA[[#This Row],[String Type(If String BD)]]&amp;PA[[#This Row],[Equipment (If any BD other than PV  array and inv)]])="",1,0)</f>
        <v>1</v>
      </c>
      <c r="S398" s="32">
        <f>IF(PA[[#This Row],[String Type(If String BD)]]="",1,0)</f>
        <v>1</v>
      </c>
      <c r="T39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8" s="35" t="str">
        <f>IFERROR(_xlfn.XLOOKUP(PA[[#This Row],[Affected Equipment ]],'Basic Data'!N:N,'Basic Data'!Q:Q),"")</f>
        <v/>
      </c>
      <c r="V398" s="207" t="str">
        <f>IFERROR(_xlfn.XLOOKUP(PA[[#This Row],[Affected Equipment ]],'Basic Data'!N:N,'Basic Data'!R:R),"")</f>
        <v/>
      </c>
      <c r="W398" s="36"/>
      <c r="X398" s="40"/>
      <c r="Y398" s="41"/>
      <c r="Z398" s="46"/>
      <c r="AA398" s="46"/>
      <c r="AB398" s="46"/>
      <c r="AC398" s="46"/>
      <c r="AD398" s="44">
        <f>IF(PA[[#This Row],[Acknowledgement Time ]]="NA","",(PA[[#This Row],[Acknowledgement Time ]]-PA[[#This Row],[Fault Time]])*24)</f>
        <v>0</v>
      </c>
      <c r="AE398" s="44">
        <f>IF(PA[[#This Row],[Work Start time on Fault]]="NA","",(PA[[#This Row],[Work Start time on Fault]]-PA[[#This Row],[Fault Time]])*24)</f>
        <v>0</v>
      </c>
      <c r="AF398" s="45">
        <f>IF(PA[[#This Row],[Status]]="Open","",(PA[[#This Row],[Work Completion time on fault]]-PA[[#This Row],[Fault Time]])*24)</f>
        <v>0</v>
      </c>
      <c r="AG398" s="44">
        <f>IFERROR((PA[[#This Row],[Work Completion time on fault]]-PA[[#This Row],[Fault Time]])*24,"")</f>
        <v>0</v>
      </c>
      <c r="AH398" s="36"/>
      <c r="AI398" s="33"/>
      <c r="AJ398" s="35" t="str">
        <f>IFERROR(PA[[#This Row],[Breakdown Time]]*PA[[#This Row],[Plant Equivalent Weightage]],"")</f>
        <v/>
      </c>
      <c r="AK398" s="36"/>
      <c r="AL398" s="51" t="str">
        <f>IFERROR((_xlfn.XLOOKUP($G398,'Modelling New'!D:D,'Modelling New'!$O:$O)*PA[[#This Row],[Lost PoA(kWh/m2)]]*PA[[#This Row],[DC Capacity Affected (kW)]]),"")</f>
        <v/>
      </c>
      <c r="AM398" s="33"/>
      <c r="AN398" s="33"/>
      <c r="AO398" s="33"/>
      <c r="AP398" s="33"/>
    </row>
    <row r="399" spans="1:42">
      <c r="A399" s="30">
        <f t="shared" si="3"/>
        <v>398</v>
      </c>
      <c r="B399" s="31"/>
      <c r="C399" s="212">
        <f>YEAR(PA[[#This Row],[Date]])+IF(MONTH(PA[[#This Row],[Date]])&gt;=4,1,0)</f>
        <v>1900</v>
      </c>
      <c r="D399" s="212">
        <f>YEAR(PA[[#This Row],[Date]])</f>
        <v>1900</v>
      </c>
      <c r="E399" s="37" t="s">
        <v>157</v>
      </c>
      <c r="F399" s="37" t="s">
        <v>157</v>
      </c>
      <c r="G399" s="214">
        <f>PA[[#This Row],[Date]]-DAY(PA[[#This Row],[Date]])+1</f>
        <v>1</v>
      </c>
      <c r="H399" s="32">
        <f>DAY(EOMONTH(PA[[#This Row],[Month Year]],0))</f>
        <v>31</v>
      </c>
      <c r="I399" s="34"/>
      <c r="J399" s="34"/>
      <c r="K399" s="35">
        <f>IFERROR((PA[[#This Row],[Sunset Time (POA&lt;20 W/m2)]]-PA[[#This Row],[Sunrise Time (POA&gt;20 W/m2)]])*24,"")</f>
        <v>0</v>
      </c>
      <c r="L399" s="33"/>
      <c r="M399" s="37"/>
      <c r="N399" s="33"/>
      <c r="O399" s="36"/>
      <c r="P399" s="36"/>
      <c r="Q399" s="33"/>
      <c r="R399" s="32">
        <f>IF((PA[[#This Row],[String Type(If String BD)]]&amp;PA[[#This Row],[Equipment (If any BD other than PV  array and inv)]])="",1,0)</f>
        <v>1</v>
      </c>
      <c r="S399" s="32">
        <f>IF(PA[[#This Row],[String Type(If String BD)]]="",1,0)</f>
        <v>1</v>
      </c>
      <c r="T39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399" s="35" t="str">
        <f>IFERROR(_xlfn.XLOOKUP(PA[[#This Row],[Affected Equipment ]],'Basic Data'!N:N,'Basic Data'!Q:Q),"")</f>
        <v/>
      </c>
      <c r="V399" s="207" t="str">
        <f>IFERROR(_xlfn.XLOOKUP(PA[[#This Row],[Affected Equipment ]],'Basic Data'!N:N,'Basic Data'!R:R),"")</f>
        <v/>
      </c>
      <c r="W399" s="36"/>
      <c r="X399" s="40"/>
      <c r="Y399" s="41"/>
      <c r="Z399" s="46"/>
      <c r="AA399" s="46"/>
      <c r="AB399" s="46"/>
      <c r="AC399" s="46"/>
      <c r="AD399" s="44">
        <f>IF(PA[[#This Row],[Acknowledgement Time ]]="NA","",(PA[[#This Row],[Acknowledgement Time ]]-PA[[#This Row],[Fault Time]])*24)</f>
        <v>0</v>
      </c>
      <c r="AE399" s="44">
        <f>IF(PA[[#This Row],[Work Start time on Fault]]="NA","",(PA[[#This Row],[Work Start time on Fault]]-PA[[#This Row],[Fault Time]])*24)</f>
        <v>0</v>
      </c>
      <c r="AF399" s="45">
        <f>IF(PA[[#This Row],[Status]]="Open","",(PA[[#This Row],[Work Completion time on fault]]-PA[[#This Row],[Fault Time]])*24)</f>
        <v>0</v>
      </c>
      <c r="AG399" s="44">
        <f>IFERROR((PA[[#This Row],[Work Completion time on fault]]-PA[[#This Row],[Fault Time]])*24,"")</f>
        <v>0</v>
      </c>
      <c r="AH399" s="36"/>
      <c r="AI399" s="33"/>
      <c r="AJ399" s="35" t="str">
        <f>IFERROR(PA[[#This Row],[Breakdown Time]]*PA[[#This Row],[Plant Equivalent Weightage]],"")</f>
        <v/>
      </c>
      <c r="AK399" s="36"/>
      <c r="AL399" s="51" t="str">
        <f>IFERROR((_xlfn.XLOOKUP($G399,'Modelling New'!D:D,'Modelling New'!$O:$O)*PA[[#This Row],[Lost PoA(kWh/m2)]]*PA[[#This Row],[DC Capacity Affected (kW)]]),"")</f>
        <v/>
      </c>
      <c r="AM399" s="33"/>
      <c r="AN399" s="33"/>
      <c r="AO399" s="33"/>
      <c r="AP399" s="33"/>
    </row>
    <row r="400" spans="1:42">
      <c r="A400" s="30">
        <f t="shared" si="3"/>
        <v>399</v>
      </c>
      <c r="B400" s="31"/>
      <c r="C400" s="212">
        <f>YEAR(PA[[#This Row],[Date]])+IF(MONTH(PA[[#This Row],[Date]])&gt;=4,1,0)</f>
        <v>1900</v>
      </c>
      <c r="D400" s="212">
        <f>YEAR(PA[[#This Row],[Date]])</f>
        <v>1900</v>
      </c>
      <c r="E400" s="37" t="s">
        <v>157</v>
      </c>
      <c r="F400" s="37" t="s">
        <v>157</v>
      </c>
      <c r="G400" s="214">
        <f>PA[[#This Row],[Date]]-DAY(PA[[#This Row],[Date]])+1</f>
        <v>1</v>
      </c>
      <c r="H400" s="32">
        <f>DAY(EOMONTH(PA[[#This Row],[Month Year]],0))</f>
        <v>31</v>
      </c>
      <c r="I400" s="34"/>
      <c r="J400" s="34"/>
      <c r="K400" s="35">
        <f>IFERROR((PA[[#This Row],[Sunset Time (POA&lt;20 W/m2)]]-PA[[#This Row],[Sunrise Time (POA&gt;20 W/m2)]])*24,"")</f>
        <v>0</v>
      </c>
      <c r="L400" s="33"/>
      <c r="M400" s="37"/>
      <c r="N400" s="33"/>
      <c r="O400" s="36"/>
      <c r="P400" s="36"/>
      <c r="Q400" s="33"/>
      <c r="R400" s="32">
        <f>IF((PA[[#This Row],[String Type(If String BD)]]&amp;PA[[#This Row],[Equipment (If any BD other than PV  array and inv)]])="",1,0)</f>
        <v>1</v>
      </c>
      <c r="S400" s="32">
        <f>IF(PA[[#This Row],[String Type(If String BD)]]="",1,0)</f>
        <v>1</v>
      </c>
      <c r="T40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0" s="35" t="str">
        <f>IFERROR(_xlfn.XLOOKUP(PA[[#This Row],[Affected Equipment ]],'Basic Data'!N:N,'Basic Data'!Q:Q),"")</f>
        <v/>
      </c>
      <c r="V400" s="207" t="str">
        <f>IFERROR(_xlfn.XLOOKUP(PA[[#This Row],[Affected Equipment ]],'Basic Data'!N:N,'Basic Data'!R:R),"")</f>
        <v/>
      </c>
      <c r="W400" s="36"/>
      <c r="X400" s="40"/>
      <c r="Y400" s="41"/>
      <c r="Z400" s="46"/>
      <c r="AA400" s="46"/>
      <c r="AB400" s="46"/>
      <c r="AC400" s="46"/>
      <c r="AD400" s="44">
        <f>IF(PA[[#This Row],[Acknowledgement Time ]]="NA","",(PA[[#This Row],[Acknowledgement Time ]]-PA[[#This Row],[Fault Time]])*24)</f>
        <v>0</v>
      </c>
      <c r="AE400" s="44">
        <f>IF(PA[[#This Row],[Work Start time on Fault]]="NA","",(PA[[#This Row],[Work Start time on Fault]]-PA[[#This Row],[Fault Time]])*24)</f>
        <v>0</v>
      </c>
      <c r="AF400" s="45">
        <f>IF(PA[[#This Row],[Status]]="Open","",(PA[[#This Row],[Work Completion time on fault]]-PA[[#This Row],[Fault Time]])*24)</f>
        <v>0</v>
      </c>
      <c r="AG400" s="44">
        <f>IFERROR((PA[[#This Row],[Work Completion time on fault]]-PA[[#This Row],[Fault Time]])*24,"")</f>
        <v>0</v>
      </c>
      <c r="AH400" s="36"/>
      <c r="AI400" s="33"/>
      <c r="AJ400" s="35" t="str">
        <f>IFERROR(PA[[#This Row],[Breakdown Time]]*PA[[#This Row],[Plant Equivalent Weightage]],"")</f>
        <v/>
      </c>
      <c r="AK400" s="36"/>
      <c r="AL400" s="51" t="str">
        <f>IFERROR((_xlfn.XLOOKUP($G400,'Modelling New'!D:D,'Modelling New'!$O:$O)*PA[[#This Row],[Lost PoA(kWh/m2)]]*PA[[#This Row],[DC Capacity Affected (kW)]]),"")</f>
        <v/>
      </c>
      <c r="AM400" s="33"/>
      <c r="AN400" s="33"/>
      <c r="AO400" s="33"/>
      <c r="AP400" s="33"/>
    </row>
    <row r="401" spans="1:42">
      <c r="A401" s="30">
        <f t="shared" si="3"/>
        <v>400</v>
      </c>
      <c r="B401" s="31"/>
      <c r="C401" s="212">
        <f>YEAR(PA[[#This Row],[Date]])+IF(MONTH(PA[[#This Row],[Date]])&gt;=4,1,0)</f>
        <v>1900</v>
      </c>
      <c r="D401" s="212">
        <f>YEAR(PA[[#This Row],[Date]])</f>
        <v>1900</v>
      </c>
      <c r="E401" s="37" t="s">
        <v>157</v>
      </c>
      <c r="F401" s="37" t="s">
        <v>157</v>
      </c>
      <c r="G401" s="214">
        <f>PA[[#This Row],[Date]]-DAY(PA[[#This Row],[Date]])+1</f>
        <v>1</v>
      </c>
      <c r="H401" s="32">
        <f>DAY(EOMONTH(PA[[#This Row],[Month Year]],0))</f>
        <v>31</v>
      </c>
      <c r="I401" s="34"/>
      <c r="J401" s="34"/>
      <c r="K401" s="35">
        <f>IFERROR((PA[[#This Row],[Sunset Time (POA&lt;20 W/m2)]]-PA[[#This Row],[Sunrise Time (POA&gt;20 W/m2)]])*24,"")</f>
        <v>0</v>
      </c>
      <c r="L401" s="33"/>
      <c r="M401" s="37"/>
      <c r="N401" s="33"/>
      <c r="O401" s="36"/>
      <c r="P401" s="36"/>
      <c r="Q401" s="33"/>
      <c r="R401" s="32">
        <f>IF((PA[[#This Row],[String Type(If String BD)]]&amp;PA[[#This Row],[Equipment (If any BD other than PV  array and inv)]])="",1,0)</f>
        <v>1</v>
      </c>
      <c r="S401" s="32">
        <f>IF(PA[[#This Row],[String Type(If String BD)]]="",1,0)</f>
        <v>1</v>
      </c>
      <c r="T40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1" s="35" t="str">
        <f>IFERROR(_xlfn.XLOOKUP(PA[[#This Row],[Affected Equipment ]],'Basic Data'!N:N,'Basic Data'!Q:Q),"")</f>
        <v/>
      </c>
      <c r="V401" s="207" t="str">
        <f>IFERROR(_xlfn.XLOOKUP(PA[[#This Row],[Affected Equipment ]],'Basic Data'!N:N,'Basic Data'!R:R),"")</f>
        <v/>
      </c>
      <c r="W401" s="36"/>
      <c r="X401" s="40"/>
      <c r="Y401" s="41"/>
      <c r="Z401" s="46"/>
      <c r="AA401" s="46"/>
      <c r="AB401" s="46"/>
      <c r="AC401" s="46"/>
      <c r="AD401" s="44">
        <f>IF(PA[[#This Row],[Acknowledgement Time ]]="NA","",(PA[[#This Row],[Acknowledgement Time ]]-PA[[#This Row],[Fault Time]])*24)</f>
        <v>0</v>
      </c>
      <c r="AE401" s="44">
        <f>IF(PA[[#This Row],[Work Start time on Fault]]="NA","",(PA[[#This Row],[Work Start time on Fault]]-PA[[#This Row],[Fault Time]])*24)</f>
        <v>0</v>
      </c>
      <c r="AF401" s="45">
        <f>IF(PA[[#This Row],[Status]]="Open","",(PA[[#This Row],[Work Completion time on fault]]-PA[[#This Row],[Fault Time]])*24)</f>
        <v>0</v>
      </c>
      <c r="AG401" s="44">
        <f>IFERROR((PA[[#This Row],[Work Completion time on fault]]-PA[[#This Row],[Fault Time]])*24,"")</f>
        <v>0</v>
      </c>
      <c r="AH401" s="36"/>
      <c r="AI401" s="33"/>
      <c r="AJ401" s="35" t="str">
        <f>IFERROR(PA[[#This Row],[Breakdown Time]]*PA[[#This Row],[Plant Equivalent Weightage]],"")</f>
        <v/>
      </c>
      <c r="AK401" s="36"/>
      <c r="AL401" s="51" t="str">
        <f>IFERROR((_xlfn.XLOOKUP($G401,'Modelling New'!D:D,'Modelling New'!$O:$O)*PA[[#This Row],[Lost PoA(kWh/m2)]]*PA[[#This Row],[DC Capacity Affected (kW)]]),"")</f>
        <v/>
      </c>
      <c r="AM401" s="33"/>
      <c r="AN401" s="33"/>
      <c r="AO401" s="33"/>
      <c r="AP401" s="33"/>
    </row>
    <row r="402" spans="1:42">
      <c r="A402" s="30">
        <f t="shared" si="3"/>
        <v>401</v>
      </c>
      <c r="B402" s="165"/>
      <c r="C402" s="211">
        <f>YEAR(PA[[#This Row],[Date]])+IF(MONTH(PA[[#This Row],[Date]])&gt;=4,1,0)</f>
        <v>1900</v>
      </c>
      <c r="D402" s="211">
        <f>YEAR(PA[[#This Row],[Date]])</f>
        <v>1900</v>
      </c>
      <c r="E402" s="37" t="s">
        <v>157</v>
      </c>
      <c r="F402" s="37" t="s">
        <v>157</v>
      </c>
      <c r="G402" s="214">
        <f>PA[[#This Row],[Date]]-DAY(PA[[#This Row],[Date]])+1</f>
        <v>1</v>
      </c>
      <c r="H402" s="202">
        <f>DAY(EOMONTH(PA[[#This Row],[Month Year]],0))</f>
        <v>31</v>
      </c>
      <c r="I402" s="34"/>
      <c r="J402" s="34"/>
      <c r="K402" s="35">
        <f>IFERROR((PA[[#This Row],[Sunset Time (POA&lt;20 W/m2)]]-PA[[#This Row],[Sunrise Time (POA&gt;20 W/m2)]])*24,"")</f>
        <v>0</v>
      </c>
      <c r="L402" s="33"/>
      <c r="M402" s="33"/>
      <c r="N402" s="33"/>
      <c r="O402" s="38"/>
      <c r="P402" s="38"/>
      <c r="Q402" s="37"/>
      <c r="R402" s="202">
        <f>IF((PA[[#This Row],[String Type(If String BD)]]&amp;PA[[#This Row],[Equipment (If any BD other than PV  array and inv)]])="",1,0)</f>
        <v>1</v>
      </c>
      <c r="S402" s="202">
        <f>IF(PA[[#This Row],[String Type(If String BD)]]="",1,0)</f>
        <v>1</v>
      </c>
      <c r="T40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2" s="204" t="str">
        <f>IFERROR(_xlfn.XLOOKUP(PA[[#This Row],[Affected Equipment ]],'Basic Data'!N:N,'Basic Data'!Q:Q),"")</f>
        <v/>
      </c>
      <c r="V402" s="208" t="str">
        <f>IFERROR(_xlfn.XLOOKUP(PA[[#This Row],[Affected Equipment ]],'Basic Data'!N:N,'Basic Data'!R:R),"")</f>
        <v/>
      </c>
      <c r="W402" s="38"/>
      <c r="X402" s="41"/>
      <c r="Y402" s="41"/>
      <c r="Z402" s="47"/>
      <c r="AA402" s="47"/>
      <c r="AB402" s="47"/>
      <c r="AC402" s="46"/>
      <c r="AD402" s="205">
        <f>IF(PA[[#This Row],[Acknowledgement Time ]]="NA","",(PA[[#This Row],[Acknowledgement Time ]]-PA[[#This Row],[Fault Time]])*24)</f>
        <v>0</v>
      </c>
      <c r="AE402" s="205">
        <f>IF(PA[[#This Row],[Work Start time on Fault]]="NA","",(PA[[#This Row],[Work Start time on Fault]]-PA[[#This Row],[Fault Time]])*24)</f>
        <v>0</v>
      </c>
      <c r="AF402" s="206">
        <f>IF(PA[[#This Row],[Status]]="Open","",(PA[[#This Row],[Work Completion time on fault]]-PA[[#This Row],[Fault Time]])*24)</f>
        <v>0</v>
      </c>
      <c r="AG402" s="205">
        <f>IFERROR((PA[[#This Row],[Work Completion time on fault]]-PA[[#This Row],[Fault Time]])*24,"")</f>
        <v>0</v>
      </c>
      <c r="AH402" s="38"/>
      <c r="AI402" s="33"/>
      <c r="AJ402" s="204" t="str">
        <f>IFERROR(PA[[#This Row],[Breakdown Time]]*PA[[#This Row],[Plant Equivalent Weightage]],"")</f>
        <v/>
      </c>
      <c r="AK402" s="38"/>
      <c r="AL402" s="51" t="str">
        <f>IFERROR((_xlfn.XLOOKUP($G402,'Modelling New'!D:D,'Modelling New'!$O:$O)*PA[[#This Row],[Lost PoA(kWh/m2)]]*PA[[#This Row],[DC Capacity Affected (kW)]]),"")</f>
        <v/>
      </c>
      <c r="AM402" s="33"/>
      <c r="AN402" s="33"/>
      <c r="AO402" s="33"/>
      <c r="AP402" s="33"/>
    </row>
    <row r="403" spans="1:42">
      <c r="A403" s="30">
        <f t="shared" si="3"/>
        <v>402</v>
      </c>
      <c r="B403" s="165"/>
      <c r="C403" s="212">
        <f>YEAR(PA[[#This Row],[Date]])+IF(MONTH(PA[[#This Row],[Date]])&gt;=4,1,0)</f>
        <v>1900</v>
      </c>
      <c r="D403" s="212">
        <f>YEAR(PA[[#This Row],[Date]])</f>
        <v>1900</v>
      </c>
      <c r="E403" s="37" t="s">
        <v>157</v>
      </c>
      <c r="F403" s="37" t="s">
        <v>157</v>
      </c>
      <c r="G403" s="214">
        <f>PA[[#This Row],[Date]]-DAY(PA[[#This Row],[Date]])+1</f>
        <v>1</v>
      </c>
      <c r="H403" s="32">
        <f>DAY(EOMONTH(PA[[#This Row],[Month Year]],0))</f>
        <v>31</v>
      </c>
      <c r="I403" s="34"/>
      <c r="J403" s="34"/>
      <c r="K403" s="35">
        <f>IFERROR((PA[[#This Row],[Sunset Time (POA&lt;20 W/m2)]]-PA[[#This Row],[Sunrise Time (POA&gt;20 W/m2)]])*24,"")</f>
        <v>0</v>
      </c>
      <c r="L403" s="33"/>
      <c r="M403" s="33"/>
      <c r="N403" s="33"/>
      <c r="O403" s="36"/>
      <c r="P403" s="36"/>
      <c r="Q403" s="33"/>
      <c r="R403" s="32">
        <f>IF((PA[[#This Row],[String Type(If String BD)]]&amp;PA[[#This Row],[Equipment (If any BD other than PV  array and inv)]])="",1,0)</f>
        <v>1</v>
      </c>
      <c r="S403" s="32">
        <f>IF(PA[[#This Row],[String Type(If String BD)]]="",1,0)</f>
        <v>1</v>
      </c>
      <c r="T40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3" s="35" t="str">
        <f>IFERROR(_xlfn.XLOOKUP(PA[[#This Row],[Affected Equipment ]],'Basic Data'!N:N,'Basic Data'!Q:Q),"")</f>
        <v/>
      </c>
      <c r="V403" s="207" t="str">
        <f>IFERROR(_xlfn.XLOOKUP(PA[[#This Row],[Affected Equipment ]],'Basic Data'!N:N,'Basic Data'!R:R),"")</f>
        <v/>
      </c>
      <c r="W403" s="36"/>
      <c r="X403" s="40"/>
      <c r="Y403" s="41"/>
      <c r="Z403" s="46"/>
      <c r="AA403" s="46"/>
      <c r="AB403" s="46"/>
      <c r="AC403" s="46"/>
      <c r="AD403" s="44">
        <f>IF(PA[[#This Row],[Acknowledgement Time ]]="NA","",(PA[[#This Row],[Acknowledgement Time ]]-PA[[#This Row],[Fault Time]])*24)</f>
        <v>0</v>
      </c>
      <c r="AE403" s="44">
        <f>IF(PA[[#This Row],[Work Start time on Fault]]="NA","",(PA[[#This Row],[Work Start time on Fault]]-PA[[#This Row],[Fault Time]])*24)</f>
        <v>0</v>
      </c>
      <c r="AF403" s="45">
        <f>IF(PA[[#This Row],[Status]]="Open","",(PA[[#This Row],[Work Completion time on fault]]-PA[[#This Row],[Fault Time]])*24)</f>
        <v>0</v>
      </c>
      <c r="AG403" s="44">
        <f>IFERROR((PA[[#This Row],[Work Completion time on fault]]-PA[[#This Row],[Fault Time]])*24,"")</f>
        <v>0</v>
      </c>
      <c r="AH403" s="38"/>
      <c r="AI403" s="33"/>
      <c r="AJ403" s="35" t="str">
        <f>IFERROR(PA[[#This Row],[Breakdown Time]]*PA[[#This Row],[Plant Equivalent Weightage]],"")</f>
        <v/>
      </c>
      <c r="AK403" s="36"/>
      <c r="AL403" s="51" t="str">
        <f>IFERROR((_xlfn.XLOOKUP($G403,'Modelling New'!D:D,'Modelling New'!$O:$O)*PA[[#This Row],[Lost PoA(kWh/m2)]]*PA[[#This Row],[DC Capacity Affected (kW)]]),"")</f>
        <v/>
      </c>
      <c r="AM403" s="33"/>
      <c r="AN403" s="33"/>
      <c r="AO403" s="33"/>
      <c r="AP403" s="33"/>
    </row>
    <row r="404" spans="1:42">
      <c r="A404" s="30">
        <f t="shared" si="3"/>
        <v>403</v>
      </c>
      <c r="B404" s="165"/>
      <c r="C404" s="212">
        <f>YEAR(PA[[#This Row],[Date]])+IF(MONTH(PA[[#This Row],[Date]])&gt;=4,1,0)</f>
        <v>1900</v>
      </c>
      <c r="D404" s="212">
        <f>YEAR(PA[[#This Row],[Date]])</f>
        <v>1900</v>
      </c>
      <c r="E404" s="37" t="s">
        <v>157</v>
      </c>
      <c r="F404" s="37" t="s">
        <v>157</v>
      </c>
      <c r="G404" s="214">
        <f>PA[[#This Row],[Date]]-DAY(PA[[#This Row],[Date]])+1</f>
        <v>1</v>
      </c>
      <c r="H404" s="32">
        <f>DAY(EOMONTH(PA[[#This Row],[Month Year]],0))</f>
        <v>31</v>
      </c>
      <c r="I404" s="34"/>
      <c r="J404" s="34"/>
      <c r="K404" s="35">
        <f>IFERROR((PA[[#This Row],[Sunset Time (POA&lt;20 W/m2)]]-PA[[#This Row],[Sunrise Time (POA&gt;20 W/m2)]])*24,"")</f>
        <v>0</v>
      </c>
      <c r="L404" s="33"/>
      <c r="M404" s="33"/>
      <c r="N404" s="33"/>
      <c r="O404" s="36"/>
      <c r="P404" s="36"/>
      <c r="Q404" s="33"/>
      <c r="R404" s="32">
        <f>IF((PA[[#This Row],[String Type(If String BD)]]&amp;PA[[#This Row],[Equipment (If any BD other than PV  array and inv)]])="",1,0)</f>
        <v>1</v>
      </c>
      <c r="S404" s="32">
        <f>IF(PA[[#This Row],[String Type(If String BD)]]="",1,0)</f>
        <v>1</v>
      </c>
      <c r="T40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4" s="35" t="str">
        <f>IFERROR(_xlfn.XLOOKUP(PA[[#This Row],[Affected Equipment ]],'Basic Data'!N:N,'Basic Data'!Q:Q),"")</f>
        <v/>
      </c>
      <c r="V404" s="207" t="str">
        <f>IFERROR(_xlfn.XLOOKUP(PA[[#This Row],[Affected Equipment ]],'Basic Data'!N:N,'Basic Data'!R:R),"")</f>
        <v/>
      </c>
      <c r="W404" s="36"/>
      <c r="X404" s="40"/>
      <c r="Y404" s="41"/>
      <c r="Z404" s="46"/>
      <c r="AA404" s="46"/>
      <c r="AB404" s="46"/>
      <c r="AC404" s="46"/>
      <c r="AD404" s="44">
        <f>IF(PA[[#This Row],[Acknowledgement Time ]]="NA","",(PA[[#This Row],[Acknowledgement Time ]]-PA[[#This Row],[Fault Time]])*24)</f>
        <v>0</v>
      </c>
      <c r="AE404" s="44">
        <f>IF(PA[[#This Row],[Work Start time on Fault]]="NA","",(PA[[#This Row],[Work Start time on Fault]]-PA[[#This Row],[Fault Time]])*24)</f>
        <v>0</v>
      </c>
      <c r="AF404" s="45">
        <f>IF(PA[[#This Row],[Status]]="Open","",(PA[[#This Row],[Work Completion time on fault]]-PA[[#This Row],[Fault Time]])*24)</f>
        <v>0</v>
      </c>
      <c r="AG404" s="44">
        <f>IFERROR((PA[[#This Row],[Work Completion time on fault]]-PA[[#This Row],[Fault Time]])*24,"")</f>
        <v>0</v>
      </c>
      <c r="AH404" s="38"/>
      <c r="AI404" s="33"/>
      <c r="AJ404" s="35" t="str">
        <f>IFERROR(PA[[#This Row],[Breakdown Time]]*PA[[#This Row],[Plant Equivalent Weightage]],"")</f>
        <v/>
      </c>
      <c r="AK404" s="36"/>
      <c r="AL404" s="51" t="str">
        <f>IFERROR((_xlfn.XLOOKUP($G404,'Modelling New'!D:D,'Modelling New'!$O:$O)*PA[[#This Row],[Lost PoA(kWh/m2)]]*PA[[#This Row],[DC Capacity Affected (kW)]]),"")</f>
        <v/>
      </c>
      <c r="AM404" s="33"/>
      <c r="AN404" s="33"/>
      <c r="AO404" s="33"/>
      <c r="AP404" s="33"/>
    </row>
    <row r="405" spans="1:42">
      <c r="A405" s="30">
        <f t="shared" ref="A405:A468" si="4">A404+1</f>
        <v>404</v>
      </c>
      <c r="B405" s="31"/>
      <c r="C405" s="212">
        <f>YEAR(PA[[#This Row],[Date]])+IF(MONTH(PA[[#This Row],[Date]])&gt;=4,1,0)</f>
        <v>1900</v>
      </c>
      <c r="D405" s="212">
        <f>YEAR(PA[[#This Row],[Date]])</f>
        <v>1900</v>
      </c>
      <c r="E405" s="37" t="s">
        <v>157</v>
      </c>
      <c r="F405" s="37" t="s">
        <v>157</v>
      </c>
      <c r="G405" s="214">
        <f>PA[[#This Row],[Date]]-DAY(PA[[#This Row],[Date]])+1</f>
        <v>1</v>
      </c>
      <c r="H405" s="32">
        <f>DAY(EOMONTH(PA[[#This Row],[Month Year]],0))</f>
        <v>31</v>
      </c>
      <c r="I405" s="34"/>
      <c r="J405" s="34"/>
      <c r="K405" s="35">
        <f>IFERROR((PA[[#This Row],[Sunset Time (POA&lt;20 W/m2)]]-PA[[#This Row],[Sunrise Time (POA&gt;20 W/m2)]])*24,"")</f>
        <v>0</v>
      </c>
      <c r="L405" s="33"/>
      <c r="M405" s="33"/>
      <c r="N405" s="33"/>
      <c r="O405" s="36"/>
      <c r="P405" s="36"/>
      <c r="Q405" s="33"/>
      <c r="R405" s="32">
        <f>IF((PA[[#This Row],[String Type(If String BD)]]&amp;PA[[#This Row],[Equipment (If any BD other than PV  array and inv)]])="",1,0)</f>
        <v>1</v>
      </c>
      <c r="S405" s="32">
        <f>IF(PA[[#This Row],[String Type(If String BD)]]="",1,0)</f>
        <v>1</v>
      </c>
      <c r="T40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5" s="35" t="str">
        <f>IFERROR(_xlfn.XLOOKUP(PA[[#This Row],[Affected Equipment ]],'Basic Data'!N:N,'Basic Data'!Q:Q),"")</f>
        <v/>
      </c>
      <c r="V405" s="207" t="str">
        <f>IFERROR(_xlfn.XLOOKUP(PA[[#This Row],[Affected Equipment ]],'Basic Data'!N:N,'Basic Data'!R:R),"")</f>
        <v/>
      </c>
      <c r="W405" s="36"/>
      <c r="X405" s="40"/>
      <c r="Y405" s="41"/>
      <c r="Z405" s="46"/>
      <c r="AA405" s="46"/>
      <c r="AB405" s="46"/>
      <c r="AC405" s="46"/>
      <c r="AD405" s="44">
        <f>IF(PA[[#This Row],[Acknowledgement Time ]]="NA","",(PA[[#This Row],[Acknowledgement Time ]]-PA[[#This Row],[Fault Time]])*24)</f>
        <v>0</v>
      </c>
      <c r="AE405" s="44">
        <f>IF(PA[[#This Row],[Work Start time on Fault]]="NA","",(PA[[#This Row],[Work Start time on Fault]]-PA[[#This Row],[Fault Time]])*24)</f>
        <v>0</v>
      </c>
      <c r="AF405" s="45">
        <f>IF(PA[[#This Row],[Status]]="Open","",(PA[[#This Row],[Work Completion time on fault]]-PA[[#This Row],[Fault Time]])*24)</f>
        <v>0</v>
      </c>
      <c r="AG405" s="44">
        <f>IFERROR((PA[[#This Row],[Work Completion time on fault]]-PA[[#This Row],[Fault Time]])*24,"")</f>
        <v>0</v>
      </c>
      <c r="AH405" s="38"/>
      <c r="AI405" s="33"/>
      <c r="AJ405" s="35" t="str">
        <f>IFERROR(PA[[#This Row],[Breakdown Time]]*PA[[#This Row],[Plant Equivalent Weightage]],"")</f>
        <v/>
      </c>
      <c r="AK405" s="36"/>
      <c r="AL405" s="51" t="str">
        <f>IFERROR((_xlfn.XLOOKUP($G405,'Modelling New'!D:D,'Modelling New'!$O:$O)*PA[[#This Row],[Lost PoA(kWh/m2)]]*PA[[#This Row],[DC Capacity Affected (kW)]]),"")</f>
        <v/>
      </c>
      <c r="AM405" s="33"/>
      <c r="AN405" s="33"/>
      <c r="AO405" s="33"/>
      <c r="AP405" s="33"/>
    </row>
    <row r="406" spans="1:42">
      <c r="A406" s="30">
        <f t="shared" si="4"/>
        <v>405</v>
      </c>
      <c r="B406" s="31"/>
      <c r="C406" s="212">
        <f>YEAR(PA[[#This Row],[Date]])+IF(MONTH(PA[[#This Row],[Date]])&gt;=4,1,0)</f>
        <v>1900</v>
      </c>
      <c r="D406" s="212">
        <f>YEAR(PA[[#This Row],[Date]])</f>
        <v>1900</v>
      </c>
      <c r="E406" s="37" t="s">
        <v>157</v>
      </c>
      <c r="F406" s="37" t="s">
        <v>157</v>
      </c>
      <c r="G406" s="214">
        <f>PA[[#This Row],[Date]]-DAY(PA[[#This Row],[Date]])+1</f>
        <v>1</v>
      </c>
      <c r="H406" s="32">
        <f>DAY(EOMONTH(PA[[#This Row],[Month Year]],0))</f>
        <v>31</v>
      </c>
      <c r="I406" s="34"/>
      <c r="J406" s="34"/>
      <c r="K406" s="35">
        <f>IFERROR((PA[[#This Row],[Sunset Time (POA&lt;20 W/m2)]]-PA[[#This Row],[Sunrise Time (POA&gt;20 W/m2)]])*24,"")</f>
        <v>0</v>
      </c>
      <c r="L406" s="33"/>
      <c r="M406" s="33"/>
      <c r="N406" s="33"/>
      <c r="O406" s="36"/>
      <c r="P406" s="36"/>
      <c r="Q406" s="33"/>
      <c r="R406" s="32">
        <f>IF((PA[[#This Row],[String Type(If String BD)]]&amp;PA[[#This Row],[Equipment (If any BD other than PV  array and inv)]])="",1,0)</f>
        <v>1</v>
      </c>
      <c r="S406" s="32">
        <f>IF(PA[[#This Row],[String Type(If String BD)]]="",1,0)</f>
        <v>1</v>
      </c>
      <c r="T40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6" s="35" t="str">
        <f>IFERROR(_xlfn.XLOOKUP(PA[[#This Row],[Affected Equipment ]],'Basic Data'!N:N,'Basic Data'!Q:Q),"")</f>
        <v/>
      </c>
      <c r="V406" s="207" t="str">
        <f>IFERROR(_xlfn.XLOOKUP(PA[[#This Row],[Affected Equipment ]],'Basic Data'!N:N,'Basic Data'!R:R),"")</f>
        <v/>
      </c>
      <c r="W406" s="36"/>
      <c r="X406" s="40"/>
      <c r="Y406" s="41"/>
      <c r="Z406" s="46"/>
      <c r="AA406" s="46"/>
      <c r="AB406" s="46"/>
      <c r="AC406" s="46"/>
      <c r="AD406" s="44">
        <f>IF(PA[[#This Row],[Acknowledgement Time ]]="NA","",(PA[[#This Row],[Acknowledgement Time ]]-PA[[#This Row],[Fault Time]])*24)</f>
        <v>0</v>
      </c>
      <c r="AE406" s="44">
        <f>IF(PA[[#This Row],[Work Start time on Fault]]="NA","",(PA[[#This Row],[Work Start time on Fault]]-PA[[#This Row],[Fault Time]])*24)</f>
        <v>0</v>
      </c>
      <c r="AF406" s="45">
        <f>IF(PA[[#This Row],[Status]]="Open","",(PA[[#This Row],[Work Completion time on fault]]-PA[[#This Row],[Fault Time]])*24)</f>
        <v>0</v>
      </c>
      <c r="AG406" s="44">
        <f>IFERROR((PA[[#This Row],[Work Completion time on fault]]-PA[[#This Row],[Fault Time]])*24,"")</f>
        <v>0</v>
      </c>
      <c r="AH406" s="38"/>
      <c r="AI406" s="33"/>
      <c r="AJ406" s="35" t="str">
        <f>IFERROR(PA[[#This Row],[Breakdown Time]]*PA[[#This Row],[Plant Equivalent Weightage]],"")</f>
        <v/>
      </c>
      <c r="AK406" s="36"/>
      <c r="AL406" s="51" t="str">
        <f>IFERROR((_xlfn.XLOOKUP($G406,'Modelling New'!D:D,'Modelling New'!$O:$O)*PA[[#This Row],[Lost PoA(kWh/m2)]]*PA[[#This Row],[DC Capacity Affected (kW)]]),"")</f>
        <v/>
      </c>
      <c r="AM406" s="33"/>
      <c r="AN406" s="33"/>
      <c r="AO406" s="33"/>
      <c r="AP406" s="33"/>
    </row>
    <row r="407" spans="1:42">
      <c r="A407" s="30">
        <f t="shared" si="4"/>
        <v>406</v>
      </c>
      <c r="B407" s="31"/>
      <c r="C407" s="212">
        <f>YEAR(PA[[#This Row],[Date]])+IF(MONTH(PA[[#This Row],[Date]])&gt;=4,1,0)</f>
        <v>1900</v>
      </c>
      <c r="D407" s="212">
        <f>YEAR(PA[[#This Row],[Date]])</f>
        <v>1900</v>
      </c>
      <c r="E407" s="37" t="s">
        <v>157</v>
      </c>
      <c r="F407" s="37" t="s">
        <v>157</v>
      </c>
      <c r="G407" s="214">
        <f>PA[[#This Row],[Date]]-DAY(PA[[#This Row],[Date]])+1</f>
        <v>1</v>
      </c>
      <c r="H407" s="32">
        <f>DAY(EOMONTH(PA[[#This Row],[Month Year]],0))</f>
        <v>31</v>
      </c>
      <c r="I407" s="34"/>
      <c r="J407" s="34"/>
      <c r="K407" s="35">
        <f>IFERROR((PA[[#This Row],[Sunset Time (POA&lt;20 W/m2)]]-PA[[#This Row],[Sunrise Time (POA&gt;20 W/m2)]])*24,"")</f>
        <v>0</v>
      </c>
      <c r="L407" s="33"/>
      <c r="M407" s="33"/>
      <c r="N407" s="33"/>
      <c r="O407" s="36"/>
      <c r="P407" s="36"/>
      <c r="Q407" s="33"/>
      <c r="R407" s="32">
        <f>IF((PA[[#This Row],[String Type(If String BD)]]&amp;PA[[#This Row],[Equipment (If any BD other than PV  array and inv)]])="",1,0)</f>
        <v>1</v>
      </c>
      <c r="S407" s="32">
        <f>IF(PA[[#This Row],[String Type(If String BD)]]="",1,0)</f>
        <v>1</v>
      </c>
      <c r="T40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7" s="35" t="str">
        <f>IFERROR(_xlfn.XLOOKUP(PA[[#This Row],[Affected Equipment ]],'Basic Data'!N:N,'Basic Data'!Q:Q),"")</f>
        <v/>
      </c>
      <c r="V407" s="207" t="str">
        <f>IFERROR(_xlfn.XLOOKUP(PA[[#This Row],[Affected Equipment ]],'Basic Data'!N:N,'Basic Data'!R:R),"")</f>
        <v/>
      </c>
      <c r="W407" s="36"/>
      <c r="X407" s="40"/>
      <c r="Y407" s="41"/>
      <c r="Z407" s="46"/>
      <c r="AA407" s="46"/>
      <c r="AB407" s="46"/>
      <c r="AC407" s="46"/>
      <c r="AD407" s="44">
        <f>IF(PA[[#This Row],[Acknowledgement Time ]]="NA","",(PA[[#This Row],[Acknowledgement Time ]]-PA[[#This Row],[Fault Time]])*24)</f>
        <v>0</v>
      </c>
      <c r="AE407" s="44">
        <f>IF(PA[[#This Row],[Work Start time on Fault]]="NA","",(PA[[#This Row],[Work Start time on Fault]]-PA[[#This Row],[Fault Time]])*24)</f>
        <v>0</v>
      </c>
      <c r="AF407" s="45">
        <f>IF(PA[[#This Row],[Status]]="Open","",(PA[[#This Row],[Work Completion time on fault]]-PA[[#This Row],[Fault Time]])*24)</f>
        <v>0</v>
      </c>
      <c r="AG407" s="44">
        <f>IFERROR((PA[[#This Row],[Work Completion time on fault]]-PA[[#This Row],[Fault Time]])*24,"")</f>
        <v>0</v>
      </c>
      <c r="AH407" s="38"/>
      <c r="AI407" s="33"/>
      <c r="AJ407" s="35" t="str">
        <f>IFERROR(PA[[#This Row],[Breakdown Time]]*PA[[#This Row],[Plant Equivalent Weightage]],"")</f>
        <v/>
      </c>
      <c r="AK407" s="36"/>
      <c r="AL407" s="51" t="str">
        <f>IFERROR((_xlfn.XLOOKUP($G407,'Modelling New'!D:D,'Modelling New'!$O:$O)*PA[[#This Row],[Lost PoA(kWh/m2)]]*PA[[#This Row],[DC Capacity Affected (kW)]]),"")</f>
        <v/>
      </c>
      <c r="AM407" s="33"/>
      <c r="AN407" s="33"/>
      <c r="AO407" s="33"/>
      <c r="AP407" s="33"/>
    </row>
    <row r="408" spans="1:42">
      <c r="A408" s="30">
        <f t="shared" si="4"/>
        <v>407</v>
      </c>
      <c r="B408" s="31"/>
      <c r="C408" s="212">
        <f>YEAR(PA[[#This Row],[Date]])+IF(MONTH(PA[[#This Row],[Date]])&gt;=4,1,0)</f>
        <v>1900</v>
      </c>
      <c r="D408" s="212">
        <f>YEAR(PA[[#This Row],[Date]])</f>
        <v>1900</v>
      </c>
      <c r="E408" s="37" t="s">
        <v>157</v>
      </c>
      <c r="F408" s="37" t="s">
        <v>157</v>
      </c>
      <c r="G408" s="214">
        <f>PA[[#This Row],[Date]]-DAY(PA[[#This Row],[Date]])+1</f>
        <v>1</v>
      </c>
      <c r="H408" s="32">
        <f>DAY(EOMONTH(PA[[#This Row],[Month Year]],0))</f>
        <v>31</v>
      </c>
      <c r="I408" s="34"/>
      <c r="J408" s="34"/>
      <c r="K408" s="35">
        <f>IFERROR((PA[[#This Row],[Sunset Time (POA&lt;20 W/m2)]]-PA[[#This Row],[Sunrise Time (POA&gt;20 W/m2)]])*24,"")</f>
        <v>0</v>
      </c>
      <c r="L408" s="33"/>
      <c r="M408" s="33"/>
      <c r="N408" s="33"/>
      <c r="O408" s="36"/>
      <c r="P408" s="36"/>
      <c r="Q408" s="33"/>
      <c r="R408" s="32">
        <f>IF((PA[[#This Row],[String Type(If String BD)]]&amp;PA[[#This Row],[Equipment (If any BD other than PV  array and inv)]])="",1,0)</f>
        <v>1</v>
      </c>
      <c r="S408" s="32">
        <f>IF(PA[[#This Row],[String Type(If String BD)]]="",1,0)</f>
        <v>1</v>
      </c>
      <c r="T40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8" s="35" t="str">
        <f>IFERROR(_xlfn.XLOOKUP(PA[[#This Row],[Affected Equipment ]],'Basic Data'!N:N,'Basic Data'!Q:Q),"")</f>
        <v/>
      </c>
      <c r="V408" s="207" t="str">
        <f>IFERROR(_xlfn.XLOOKUP(PA[[#This Row],[Affected Equipment ]],'Basic Data'!N:N,'Basic Data'!R:R),"")</f>
        <v/>
      </c>
      <c r="W408" s="36"/>
      <c r="X408" s="40"/>
      <c r="Y408" s="41"/>
      <c r="Z408" s="46"/>
      <c r="AA408" s="46"/>
      <c r="AB408" s="46"/>
      <c r="AC408" s="46"/>
      <c r="AD408" s="44">
        <f>IF(PA[[#This Row],[Acknowledgement Time ]]="NA","",(PA[[#This Row],[Acknowledgement Time ]]-PA[[#This Row],[Fault Time]])*24)</f>
        <v>0</v>
      </c>
      <c r="AE408" s="44">
        <f>IF(PA[[#This Row],[Work Start time on Fault]]="NA","",(PA[[#This Row],[Work Start time on Fault]]-PA[[#This Row],[Fault Time]])*24)</f>
        <v>0</v>
      </c>
      <c r="AF408" s="45">
        <f>IF(PA[[#This Row],[Status]]="Open","",(PA[[#This Row],[Work Completion time on fault]]-PA[[#This Row],[Fault Time]])*24)</f>
        <v>0</v>
      </c>
      <c r="AG408" s="44">
        <f>IFERROR((PA[[#This Row],[Work Completion time on fault]]-PA[[#This Row],[Fault Time]])*24,"")</f>
        <v>0</v>
      </c>
      <c r="AH408" s="38"/>
      <c r="AI408" s="33"/>
      <c r="AJ408" s="35" t="str">
        <f>IFERROR(PA[[#This Row],[Breakdown Time]]*PA[[#This Row],[Plant Equivalent Weightage]],"")</f>
        <v/>
      </c>
      <c r="AK408" s="36"/>
      <c r="AL408" s="51" t="str">
        <f>IFERROR((_xlfn.XLOOKUP($G408,'Modelling New'!D:D,'Modelling New'!$O:$O)*PA[[#This Row],[Lost PoA(kWh/m2)]]*PA[[#This Row],[DC Capacity Affected (kW)]]),"")</f>
        <v/>
      </c>
      <c r="AM408" s="33"/>
      <c r="AN408" s="33"/>
      <c r="AO408" s="33"/>
      <c r="AP408" s="33"/>
    </row>
    <row r="409" spans="1:42">
      <c r="A409" s="30">
        <f t="shared" si="4"/>
        <v>408</v>
      </c>
      <c r="B409" s="31"/>
      <c r="C409" s="212">
        <f>YEAR(PA[[#This Row],[Date]])+IF(MONTH(PA[[#This Row],[Date]])&gt;=4,1,0)</f>
        <v>1900</v>
      </c>
      <c r="D409" s="212">
        <f>YEAR(PA[[#This Row],[Date]])</f>
        <v>1900</v>
      </c>
      <c r="E409" s="37" t="s">
        <v>157</v>
      </c>
      <c r="F409" s="37" t="s">
        <v>157</v>
      </c>
      <c r="G409" s="214">
        <f>PA[[#This Row],[Date]]-DAY(PA[[#This Row],[Date]])+1</f>
        <v>1</v>
      </c>
      <c r="H409" s="32">
        <f>DAY(EOMONTH(PA[[#This Row],[Month Year]],0))</f>
        <v>31</v>
      </c>
      <c r="I409" s="34"/>
      <c r="J409" s="34"/>
      <c r="K409" s="35">
        <f>IFERROR((PA[[#This Row],[Sunset Time (POA&lt;20 W/m2)]]-PA[[#This Row],[Sunrise Time (POA&gt;20 W/m2)]])*24,"")</f>
        <v>0</v>
      </c>
      <c r="L409" s="33"/>
      <c r="M409" s="37"/>
      <c r="N409" s="33"/>
      <c r="O409" s="36"/>
      <c r="P409" s="36"/>
      <c r="Q409" s="33"/>
      <c r="R409" s="32">
        <f>IF((PA[[#This Row],[String Type(If String BD)]]&amp;PA[[#This Row],[Equipment (If any BD other than PV  array and inv)]])="",1,0)</f>
        <v>1</v>
      </c>
      <c r="S409" s="32">
        <f>IF(PA[[#This Row],[String Type(If String BD)]]="",1,0)</f>
        <v>1</v>
      </c>
      <c r="T40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09" s="35" t="str">
        <f>IFERROR(_xlfn.XLOOKUP(PA[[#This Row],[Affected Equipment ]],'Basic Data'!N:N,'Basic Data'!Q:Q),"")</f>
        <v/>
      </c>
      <c r="V409" s="207" t="str">
        <f>IFERROR(_xlfn.XLOOKUP(PA[[#This Row],[Affected Equipment ]],'Basic Data'!N:N,'Basic Data'!R:R),"")</f>
        <v/>
      </c>
      <c r="W409" s="36"/>
      <c r="X409" s="40"/>
      <c r="Y409" s="41"/>
      <c r="Z409" s="46"/>
      <c r="AA409" s="46"/>
      <c r="AB409" s="46"/>
      <c r="AC409" s="46"/>
      <c r="AD409" s="44">
        <f>IF(PA[[#This Row],[Acknowledgement Time ]]="NA","",(PA[[#This Row],[Acknowledgement Time ]]-PA[[#This Row],[Fault Time]])*24)</f>
        <v>0</v>
      </c>
      <c r="AE409" s="44">
        <f>IF(PA[[#This Row],[Work Start time on Fault]]="NA","",(PA[[#This Row],[Work Start time on Fault]]-PA[[#This Row],[Fault Time]])*24)</f>
        <v>0</v>
      </c>
      <c r="AF409" s="45">
        <f>IF(PA[[#This Row],[Status]]="Open","",(PA[[#This Row],[Work Completion time on fault]]-PA[[#This Row],[Fault Time]])*24)</f>
        <v>0</v>
      </c>
      <c r="AG409" s="44">
        <f>IFERROR((PA[[#This Row],[Work Completion time on fault]]-PA[[#This Row],[Fault Time]])*24,"")</f>
        <v>0</v>
      </c>
      <c r="AH409" s="38"/>
      <c r="AI409" s="33"/>
      <c r="AJ409" s="35" t="str">
        <f>IFERROR(PA[[#This Row],[Breakdown Time]]*PA[[#This Row],[Plant Equivalent Weightage]],"")</f>
        <v/>
      </c>
      <c r="AK409" s="36"/>
      <c r="AL409" s="51" t="str">
        <f>IFERROR((_xlfn.XLOOKUP($G409,'Modelling New'!D:D,'Modelling New'!$O:$O)*PA[[#This Row],[Lost PoA(kWh/m2)]]*PA[[#This Row],[DC Capacity Affected (kW)]]),"")</f>
        <v/>
      </c>
      <c r="AM409" s="33"/>
      <c r="AN409" s="33"/>
      <c r="AO409" s="33"/>
      <c r="AP409" s="33"/>
    </row>
    <row r="410" spans="1:42">
      <c r="A410" s="30">
        <f t="shared" si="4"/>
        <v>409</v>
      </c>
      <c r="B410" s="31"/>
      <c r="C410" s="212">
        <f>YEAR(PA[[#This Row],[Date]])+IF(MONTH(PA[[#This Row],[Date]])&gt;=4,1,0)</f>
        <v>1900</v>
      </c>
      <c r="D410" s="212">
        <f>YEAR(PA[[#This Row],[Date]])</f>
        <v>1900</v>
      </c>
      <c r="E410" s="37" t="s">
        <v>157</v>
      </c>
      <c r="F410" s="37" t="s">
        <v>157</v>
      </c>
      <c r="G410" s="214">
        <f>PA[[#This Row],[Date]]-DAY(PA[[#This Row],[Date]])+1</f>
        <v>1</v>
      </c>
      <c r="H410" s="32">
        <f>DAY(EOMONTH(PA[[#This Row],[Month Year]],0))</f>
        <v>31</v>
      </c>
      <c r="I410" s="34"/>
      <c r="J410" s="34"/>
      <c r="K410" s="35">
        <f>IFERROR((PA[[#This Row],[Sunset Time (POA&lt;20 W/m2)]]-PA[[#This Row],[Sunrise Time (POA&gt;20 W/m2)]])*24,"")</f>
        <v>0</v>
      </c>
      <c r="L410" s="33"/>
      <c r="M410" s="37"/>
      <c r="N410" s="33"/>
      <c r="O410" s="36"/>
      <c r="P410" s="36"/>
      <c r="Q410" s="33"/>
      <c r="R410" s="32">
        <f>IF((PA[[#This Row],[String Type(If String BD)]]&amp;PA[[#This Row],[Equipment (If any BD other than PV  array and inv)]])="",1,0)</f>
        <v>1</v>
      </c>
      <c r="S410" s="32">
        <f>IF(PA[[#This Row],[String Type(If String BD)]]="",1,0)</f>
        <v>1</v>
      </c>
      <c r="T41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0" s="35" t="str">
        <f>IFERROR(_xlfn.XLOOKUP(PA[[#This Row],[Affected Equipment ]],'Basic Data'!N:N,'Basic Data'!Q:Q),"")</f>
        <v/>
      </c>
      <c r="V410" s="207" t="str">
        <f>IFERROR(_xlfn.XLOOKUP(PA[[#This Row],[Affected Equipment ]],'Basic Data'!N:N,'Basic Data'!R:R),"")</f>
        <v/>
      </c>
      <c r="W410" s="36"/>
      <c r="X410" s="40"/>
      <c r="Y410" s="41"/>
      <c r="Z410" s="46"/>
      <c r="AA410" s="46"/>
      <c r="AB410" s="46"/>
      <c r="AC410" s="46"/>
      <c r="AD410" s="44">
        <f>IF(PA[[#This Row],[Acknowledgement Time ]]="NA","",(PA[[#This Row],[Acknowledgement Time ]]-PA[[#This Row],[Fault Time]])*24)</f>
        <v>0</v>
      </c>
      <c r="AE410" s="44">
        <f>IF(PA[[#This Row],[Work Start time on Fault]]="NA","",(PA[[#This Row],[Work Start time on Fault]]-PA[[#This Row],[Fault Time]])*24)</f>
        <v>0</v>
      </c>
      <c r="AF410" s="45">
        <f>IF(PA[[#This Row],[Status]]="Open","",(PA[[#This Row],[Work Completion time on fault]]-PA[[#This Row],[Fault Time]])*24)</f>
        <v>0</v>
      </c>
      <c r="AG410" s="44">
        <f>IFERROR((PA[[#This Row],[Work Completion time on fault]]-PA[[#This Row],[Fault Time]])*24,"")</f>
        <v>0</v>
      </c>
      <c r="AH410" s="38"/>
      <c r="AI410" s="33"/>
      <c r="AJ410" s="35" t="str">
        <f>IFERROR(PA[[#This Row],[Breakdown Time]]*PA[[#This Row],[Plant Equivalent Weightage]],"")</f>
        <v/>
      </c>
      <c r="AK410" s="36"/>
      <c r="AL410" s="51" t="str">
        <f>IFERROR((_xlfn.XLOOKUP($G410,'Modelling New'!D:D,'Modelling New'!$O:$O)*PA[[#This Row],[Lost PoA(kWh/m2)]]*PA[[#This Row],[DC Capacity Affected (kW)]]),"")</f>
        <v/>
      </c>
      <c r="AM410" s="33"/>
      <c r="AN410" s="33"/>
      <c r="AO410" s="33"/>
      <c r="AP410" s="33"/>
    </row>
    <row r="411" spans="1:42">
      <c r="A411" s="30">
        <f t="shared" si="4"/>
        <v>410</v>
      </c>
      <c r="B411" s="31"/>
      <c r="C411" s="212">
        <f>YEAR(PA[[#This Row],[Date]])+IF(MONTH(PA[[#This Row],[Date]])&gt;=4,1,0)</f>
        <v>1900</v>
      </c>
      <c r="D411" s="212">
        <f>YEAR(PA[[#This Row],[Date]])</f>
        <v>1900</v>
      </c>
      <c r="E411" s="37" t="s">
        <v>157</v>
      </c>
      <c r="F411" s="37" t="s">
        <v>157</v>
      </c>
      <c r="G411" s="214">
        <f>PA[[#This Row],[Date]]-DAY(PA[[#This Row],[Date]])+1</f>
        <v>1</v>
      </c>
      <c r="H411" s="32">
        <f>DAY(EOMONTH(PA[[#This Row],[Month Year]],0))</f>
        <v>31</v>
      </c>
      <c r="I411" s="34"/>
      <c r="J411" s="34"/>
      <c r="K411" s="35">
        <f>IFERROR((PA[[#This Row],[Sunset Time (POA&lt;20 W/m2)]]-PA[[#This Row],[Sunrise Time (POA&gt;20 W/m2)]])*24,"")</f>
        <v>0</v>
      </c>
      <c r="L411" s="33"/>
      <c r="M411" s="37"/>
      <c r="N411" s="33"/>
      <c r="O411" s="36"/>
      <c r="P411" s="36"/>
      <c r="Q411" s="33"/>
      <c r="R411" s="32">
        <f>IF((PA[[#This Row],[String Type(If String BD)]]&amp;PA[[#This Row],[Equipment (If any BD other than PV  array and inv)]])="",1,0)</f>
        <v>1</v>
      </c>
      <c r="S411" s="32">
        <f>IF(PA[[#This Row],[String Type(If String BD)]]="",1,0)</f>
        <v>1</v>
      </c>
      <c r="T41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1" s="35" t="str">
        <f>IFERROR(_xlfn.XLOOKUP(PA[[#This Row],[Affected Equipment ]],'Basic Data'!N:N,'Basic Data'!Q:Q),"")</f>
        <v/>
      </c>
      <c r="V411" s="207" t="str">
        <f>IFERROR(_xlfn.XLOOKUP(PA[[#This Row],[Affected Equipment ]],'Basic Data'!N:N,'Basic Data'!R:R),"")</f>
        <v/>
      </c>
      <c r="W411" s="36"/>
      <c r="X411" s="40"/>
      <c r="Y411" s="41"/>
      <c r="Z411" s="46"/>
      <c r="AA411" s="46"/>
      <c r="AB411" s="46"/>
      <c r="AC411" s="46"/>
      <c r="AD411" s="44">
        <f>IF(PA[[#This Row],[Acknowledgement Time ]]="NA","",(PA[[#This Row],[Acknowledgement Time ]]-PA[[#This Row],[Fault Time]])*24)</f>
        <v>0</v>
      </c>
      <c r="AE411" s="44">
        <f>IF(PA[[#This Row],[Work Start time on Fault]]="NA","",(PA[[#This Row],[Work Start time on Fault]]-PA[[#This Row],[Fault Time]])*24)</f>
        <v>0</v>
      </c>
      <c r="AF411" s="45">
        <f>IF(PA[[#This Row],[Status]]="Open","",(PA[[#This Row],[Work Completion time on fault]]-PA[[#This Row],[Fault Time]])*24)</f>
        <v>0</v>
      </c>
      <c r="AG411" s="44">
        <f>IFERROR((PA[[#This Row],[Work Completion time on fault]]-PA[[#This Row],[Fault Time]])*24,"")</f>
        <v>0</v>
      </c>
      <c r="AH411" s="38"/>
      <c r="AI411" s="33"/>
      <c r="AJ411" s="35" t="str">
        <f>IFERROR(PA[[#This Row],[Breakdown Time]]*PA[[#This Row],[Plant Equivalent Weightage]],"")</f>
        <v/>
      </c>
      <c r="AK411" s="36"/>
      <c r="AL411" s="51" t="str">
        <f>IFERROR((_xlfn.XLOOKUP($G411,'Modelling New'!D:D,'Modelling New'!$O:$O)*PA[[#This Row],[Lost PoA(kWh/m2)]]*PA[[#This Row],[DC Capacity Affected (kW)]]),"")</f>
        <v/>
      </c>
      <c r="AM411" s="33"/>
      <c r="AN411" s="33"/>
      <c r="AO411" s="33"/>
      <c r="AP411" s="33"/>
    </row>
    <row r="412" spans="1:42">
      <c r="A412" s="30">
        <f t="shared" si="4"/>
        <v>411</v>
      </c>
      <c r="B412" s="31"/>
      <c r="C412" s="212">
        <f>YEAR(PA[[#This Row],[Date]])+IF(MONTH(PA[[#This Row],[Date]])&gt;=4,1,0)</f>
        <v>1900</v>
      </c>
      <c r="D412" s="212">
        <f>YEAR(PA[[#This Row],[Date]])</f>
        <v>1900</v>
      </c>
      <c r="E412" s="37" t="s">
        <v>157</v>
      </c>
      <c r="F412" s="37" t="s">
        <v>157</v>
      </c>
      <c r="G412" s="214">
        <f>PA[[#This Row],[Date]]-DAY(PA[[#This Row],[Date]])+1</f>
        <v>1</v>
      </c>
      <c r="H412" s="32">
        <f>DAY(EOMONTH(PA[[#This Row],[Month Year]],0))</f>
        <v>31</v>
      </c>
      <c r="I412" s="34"/>
      <c r="J412" s="34"/>
      <c r="K412" s="35">
        <f>IFERROR((PA[[#This Row],[Sunset Time (POA&lt;20 W/m2)]]-PA[[#This Row],[Sunrise Time (POA&gt;20 W/m2)]])*24,"")</f>
        <v>0</v>
      </c>
      <c r="L412" s="33"/>
      <c r="M412" s="33"/>
      <c r="N412" s="33"/>
      <c r="O412" s="36"/>
      <c r="P412" s="36"/>
      <c r="Q412" s="33"/>
      <c r="R412" s="32">
        <f>IF((PA[[#This Row],[String Type(If String BD)]]&amp;PA[[#This Row],[Equipment (If any BD other than PV  array and inv)]])="",1,0)</f>
        <v>1</v>
      </c>
      <c r="S412" s="32">
        <f>IF(PA[[#This Row],[String Type(If String BD)]]="",1,0)</f>
        <v>1</v>
      </c>
      <c r="T41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2" s="35" t="str">
        <f>IFERROR(_xlfn.XLOOKUP(PA[[#This Row],[Affected Equipment ]],'Basic Data'!N:N,'Basic Data'!Q:Q),"")</f>
        <v/>
      </c>
      <c r="V412" s="207" t="str">
        <f>IFERROR(_xlfn.XLOOKUP(PA[[#This Row],[Affected Equipment ]],'Basic Data'!N:N,'Basic Data'!R:R),"")</f>
        <v/>
      </c>
      <c r="W412" s="36"/>
      <c r="X412" s="40"/>
      <c r="Y412" s="41"/>
      <c r="Z412" s="46"/>
      <c r="AA412" s="46"/>
      <c r="AB412" s="46"/>
      <c r="AC412" s="46"/>
      <c r="AD412" s="44">
        <f>IF(PA[[#This Row],[Acknowledgement Time ]]="NA","",(PA[[#This Row],[Acknowledgement Time ]]-PA[[#This Row],[Fault Time]])*24)</f>
        <v>0</v>
      </c>
      <c r="AE412" s="44">
        <f>IF(PA[[#This Row],[Work Start time on Fault]]="NA","",(PA[[#This Row],[Work Start time on Fault]]-PA[[#This Row],[Fault Time]])*24)</f>
        <v>0</v>
      </c>
      <c r="AF412" s="45">
        <f>IF(PA[[#This Row],[Status]]="Open","",(PA[[#This Row],[Work Completion time on fault]]-PA[[#This Row],[Fault Time]])*24)</f>
        <v>0</v>
      </c>
      <c r="AG412" s="44">
        <f>IFERROR((PA[[#This Row],[Work Completion time on fault]]-PA[[#This Row],[Fault Time]])*24,"")</f>
        <v>0</v>
      </c>
      <c r="AH412" s="38"/>
      <c r="AI412" s="33"/>
      <c r="AJ412" s="35" t="str">
        <f>IFERROR(PA[[#This Row],[Breakdown Time]]*PA[[#This Row],[Plant Equivalent Weightage]],"")</f>
        <v/>
      </c>
      <c r="AK412" s="36"/>
      <c r="AL412" s="51" t="str">
        <f>IFERROR((_xlfn.XLOOKUP($G412,'Modelling New'!D:D,'Modelling New'!$O:$O)*PA[[#This Row],[Lost PoA(kWh/m2)]]*PA[[#This Row],[DC Capacity Affected (kW)]]),"")</f>
        <v/>
      </c>
      <c r="AM412" s="33"/>
      <c r="AN412" s="33"/>
      <c r="AO412" s="33"/>
      <c r="AP412" s="33"/>
    </row>
    <row r="413" spans="1:42">
      <c r="A413" s="30">
        <f t="shared" si="4"/>
        <v>412</v>
      </c>
      <c r="B413" s="31"/>
      <c r="C413" s="212">
        <f>YEAR(PA[[#This Row],[Date]])+IF(MONTH(PA[[#This Row],[Date]])&gt;=4,1,0)</f>
        <v>1900</v>
      </c>
      <c r="D413" s="212">
        <f>YEAR(PA[[#This Row],[Date]])</f>
        <v>1900</v>
      </c>
      <c r="E413" s="37" t="s">
        <v>157</v>
      </c>
      <c r="F413" s="37" t="s">
        <v>157</v>
      </c>
      <c r="G413" s="214">
        <f>PA[[#This Row],[Date]]-DAY(PA[[#This Row],[Date]])+1</f>
        <v>1</v>
      </c>
      <c r="H413" s="32">
        <f>DAY(EOMONTH(PA[[#This Row],[Month Year]],0))</f>
        <v>31</v>
      </c>
      <c r="I413" s="34"/>
      <c r="J413" s="34"/>
      <c r="K413" s="35">
        <f>IFERROR((PA[[#This Row],[Sunset Time (POA&lt;20 W/m2)]]-PA[[#This Row],[Sunrise Time (POA&gt;20 W/m2)]])*24,"")</f>
        <v>0</v>
      </c>
      <c r="L413" s="33"/>
      <c r="M413" s="33"/>
      <c r="N413" s="33"/>
      <c r="O413" s="36"/>
      <c r="P413" s="36"/>
      <c r="Q413" s="33"/>
      <c r="R413" s="32">
        <f>IF((PA[[#This Row],[String Type(If String BD)]]&amp;PA[[#This Row],[Equipment (If any BD other than PV  array and inv)]])="",1,0)</f>
        <v>1</v>
      </c>
      <c r="S413" s="32">
        <f>IF(PA[[#This Row],[String Type(If String BD)]]="",1,0)</f>
        <v>1</v>
      </c>
      <c r="T41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3" s="35" t="str">
        <f>IFERROR(_xlfn.XLOOKUP(PA[[#This Row],[Affected Equipment ]],'Basic Data'!N:N,'Basic Data'!Q:Q),"")</f>
        <v/>
      </c>
      <c r="V413" s="207" t="str">
        <f>IFERROR(_xlfn.XLOOKUP(PA[[#This Row],[Affected Equipment ]],'Basic Data'!N:N,'Basic Data'!R:R),"")</f>
        <v/>
      </c>
      <c r="W413" s="36"/>
      <c r="X413" s="40"/>
      <c r="Y413" s="41"/>
      <c r="Z413" s="46"/>
      <c r="AA413" s="46"/>
      <c r="AB413" s="46"/>
      <c r="AC413" s="46"/>
      <c r="AD413" s="44">
        <f>IF(PA[[#This Row],[Acknowledgement Time ]]="NA","",(PA[[#This Row],[Acknowledgement Time ]]-PA[[#This Row],[Fault Time]])*24)</f>
        <v>0</v>
      </c>
      <c r="AE413" s="44">
        <f>IF(PA[[#This Row],[Work Start time on Fault]]="NA","",(PA[[#This Row],[Work Start time on Fault]]-PA[[#This Row],[Fault Time]])*24)</f>
        <v>0</v>
      </c>
      <c r="AF413" s="45">
        <f>IF(PA[[#This Row],[Status]]="Open","",(PA[[#This Row],[Work Completion time on fault]]-PA[[#This Row],[Fault Time]])*24)</f>
        <v>0</v>
      </c>
      <c r="AG413" s="44">
        <f>IFERROR((PA[[#This Row],[Work Completion time on fault]]-PA[[#This Row],[Fault Time]])*24,"")</f>
        <v>0</v>
      </c>
      <c r="AH413" s="38"/>
      <c r="AI413" s="33"/>
      <c r="AJ413" s="35" t="str">
        <f>IFERROR(PA[[#This Row],[Breakdown Time]]*PA[[#This Row],[Plant Equivalent Weightage]],"")</f>
        <v/>
      </c>
      <c r="AK413" s="36"/>
      <c r="AL413" s="51" t="str">
        <f>IFERROR((_xlfn.XLOOKUP($G413,'Modelling New'!D:D,'Modelling New'!$O:$O)*PA[[#This Row],[Lost PoA(kWh/m2)]]*PA[[#This Row],[DC Capacity Affected (kW)]]),"")</f>
        <v/>
      </c>
      <c r="AM413" s="33"/>
      <c r="AN413" s="33"/>
      <c r="AO413" s="33"/>
      <c r="AP413" s="33"/>
    </row>
    <row r="414" spans="1:42">
      <c r="A414" s="30">
        <f t="shared" si="4"/>
        <v>413</v>
      </c>
      <c r="B414" s="31"/>
      <c r="C414" s="212">
        <f>YEAR(PA[[#This Row],[Date]])+IF(MONTH(PA[[#This Row],[Date]])&gt;=4,1,0)</f>
        <v>1900</v>
      </c>
      <c r="D414" s="212">
        <f>YEAR(PA[[#This Row],[Date]])</f>
        <v>1900</v>
      </c>
      <c r="E414" s="37" t="s">
        <v>157</v>
      </c>
      <c r="F414" s="37" t="s">
        <v>157</v>
      </c>
      <c r="G414" s="214">
        <f>PA[[#This Row],[Date]]-DAY(PA[[#This Row],[Date]])+1</f>
        <v>1</v>
      </c>
      <c r="H414" s="32">
        <f>DAY(EOMONTH(PA[[#This Row],[Month Year]],0))</f>
        <v>31</v>
      </c>
      <c r="I414" s="34"/>
      <c r="J414" s="34"/>
      <c r="K414" s="35">
        <f>IFERROR((PA[[#This Row],[Sunset Time (POA&lt;20 W/m2)]]-PA[[#This Row],[Sunrise Time (POA&gt;20 W/m2)]])*24,"")</f>
        <v>0</v>
      </c>
      <c r="L414" s="33"/>
      <c r="M414" s="33"/>
      <c r="N414" s="33"/>
      <c r="O414" s="36"/>
      <c r="P414" s="36"/>
      <c r="Q414" s="33"/>
      <c r="R414" s="32">
        <f>IF((PA[[#This Row],[String Type(If String BD)]]&amp;PA[[#This Row],[Equipment (If any BD other than PV  array and inv)]])="",1,0)</f>
        <v>1</v>
      </c>
      <c r="S414" s="32">
        <f>IF(PA[[#This Row],[String Type(If String BD)]]="",1,0)</f>
        <v>1</v>
      </c>
      <c r="T41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4" s="35" t="str">
        <f>IFERROR(_xlfn.XLOOKUP(PA[[#This Row],[Affected Equipment ]],'Basic Data'!N:N,'Basic Data'!Q:Q),"")</f>
        <v/>
      </c>
      <c r="V414" s="207" t="str">
        <f>IFERROR(_xlfn.XLOOKUP(PA[[#This Row],[Affected Equipment ]],'Basic Data'!N:N,'Basic Data'!R:R),"")</f>
        <v/>
      </c>
      <c r="W414" s="36"/>
      <c r="X414" s="40"/>
      <c r="Y414" s="41"/>
      <c r="Z414" s="46"/>
      <c r="AA414" s="46"/>
      <c r="AB414" s="46"/>
      <c r="AC414" s="46"/>
      <c r="AD414" s="44">
        <f>IF(PA[[#This Row],[Acknowledgement Time ]]="NA","",(PA[[#This Row],[Acknowledgement Time ]]-PA[[#This Row],[Fault Time]])*24)</f>
        <v>0</v>
      </c>
      <c r="AE414" s="44">
        <f>IF(PA[[#This Row],[Work Start time on Fault]]="NA","",(PA[[#This Row],[Work Start time on Fault]]-PA[[#This Row],[Fault Time]])*24)</f>
        <v>0</v>
      </c>
      <c r="AF414" s="45">
        <f>IF(PA[[#This Row],[Status]]="Open","",(PA[[#This Row],[Work Completion time on fault]]-PA[[#This Row],[Fault Time]])*24)</f>
        <v>0</v>
      </c>
      <c r="AG414" s="44">
        <f>IFERROR((PA[[#This Row],[Work Completion time on fault]]-PA[[#This Row],[Fault Time]])*24,"")</f>
        <v>0</v>
      </c>
      <c r="AH414" s="38"/>
      <c r="AI414" s="33"/>
      <c r="AJ414" s="35" t="str">
        <f>IFERROR(PA[[#This Row],[Breakdown Time]]*PA[[#This Row],[Plant Equivalent Weightage]],"")</f>
        <v/>
      </c>
      <c r="AK414" s="36"/>
      <c r="AL414" s="51" t="str">
        <f>IFERROR((_xlfn.XLOOKUP($G414,'Modelling New'!D:D,'Modelling New'!$O:$O)*PA[[#This Row],[Lost PoA(kWh/m2)]]*PA[[#This Row],[DC Capacity Affected (kW)]]),"")</f>
        <v/>
      </c>
      <c r="AM414" s="33"/>
      <c r="AN414" s="33"/>
      <c r="AO414" s="33"/>
      <c r="AP414" s="33"/>
    </row>
    <row r="415" spans="1:42">
      <c r="A415" s="30">
        <f t="shared" si="4"/>
        <v>414</v>
      </c>
      <c r="B415" s="31"/>
      <c r="C415" s="212">
        <f>YEAR(PA[[#This Row],[Date]])+IF(MONTH(PA[[#This Row],[Date]])&gt;=4,1,0)</f>
        <v>1900</v>
      </c>
      <c r="D415" s="212">
        <f>YEAR(PA[[#This Row],[Date]])</f>
        <v>1900</v>
      </c>
      <c r="E415" s="37" t="s">
        <v>157</v>
      </c>
      <c r="F415" s="37" t="s">
        <v>157</v>
      </c>
      <c r="G415" s="214">
        <f>PA[[#This Row],[Date]]-DAY(PA[[#This Row],[Date]])+1</f>
        <v>1</v>
      </c>
      <c r="H415" s="32">
        <f>DAY(EOMONTH(PA[[#This Row],[Month Year]],0))</f>
        <v>31</v>
      </c>
      <c r="I415" s="34"/>
      <c r="J415" s="34"/>
      <c r="K415" s="35">
        <f>IFERROR((PA[[#This Row],[Sunset Time (POA&lt;20 W/m2)]]-PA[[#This Row],[Sunrise Time (POA&gt;20 W/m2)]])*24,"")</f>
        <v>0</v>
      </c>
      <c r="L415" s="33"/>
      <c r="M415" s="33"/>
      <c r="N415" s="33"/>
      <c r="O415" s="36"/>
      <c r="P415" s="36"/>
      <c r="Q415" s="33"/>
      <c r="R415" s="32">
        <f>IF((PA[[#This Row],[String Type(If String BD)]]&amp;PA[[#This Row],[Equipment (If any BD other than PV  array and inv)]])="",1,0)</f>
        <v>1</v>
      </c>
      <c r="S415" s="32">
        <f>IF(PA[[#This Row],[String Type(If String BD)]]="",1,0)</f>
        <v>1</v>
      </c>
      <c r="T41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5" s="35" t="str">
        <f>IFERROR(_xlfn.XLOOKUP(PA[[#This Row],[Affected Equipment ]],'Basic Data'!N:N,'Basic Data'!Q:Q),"")</f>
        <v/>
      </c>
      <c r="V415" s="207" t="str">
        <f>IFERROR(_xlfn.XLOOKUP(PA[[#This Row],[Affected Equipment ]],'Basic Data'!N:N,'Basic Data'!R:R),"")</f>
        <v/>
      </c>
      <c r="W415" s="36"/>
      <c r="X415" s="40"/>
      <c r="Y415" s="41"/>
      <c r="Z415" s="46"/>
      <c r="AA415" s="46"/>
      <c r="AB415" s="46"/>
      <c r="AC415" s="46"/>
      <c r="AD415" s="44">
        <f>IF(PA[[#This Row],[Acknowledgement Time ]]="NA","",(PA[[#This Row],[Acknowledgement Time ]]-PA[[#This Row],[Fault Time]])*24)</f>
        <v>0</v>
      </c>
      <c r="AE415" s="44">
        <f>IF(PA[[#This Row],[Work Start time on Fault]]="NA","",(PA[[#This Row],[Work Start time on Fault]]-PA[[#This Row],[Fault Time]])*24)</f>
        <v>0</v>
      </c>
      <c r="AF415" s="45">
        <f>IF(PA[[#This Row],[Status]]="Open","",(PA[[#This Row],[Work Completion time on fault]]-PA[[#This Row],[Fault Time]])*24)</f>
        <v>0</v>
      </c>
      <c r="AG415" s="44">
        <f>IFERROR((PA[[#This Row],[Work Completion time on fault]]-PA[[#This Row],[Fault Time]])*24,"")</f>
        <v>0</v>
      </c>
      <c r="AH415" s="38"/>
      <c r="AI415" s="33"/>
      <c r="AJ415" s="35" t="str">
        <f>IFERROR(PA[[#This Row],[Breakdown Time]]*PA[[#This Row],[Plant Equivalent Weightage]],"")</f>
        <v/>
      </c>
      <c r="AK415" s="36"/>
      <c r="AL415" s="51" t="str">
        <f>IFERROR((_xlfn.XLOOKUP($G415,'Modelling New'!D:D,'Modelling New'!$O:$O)*PA[[#This Row],[Lost PoA(kWh/m2)]]*PA[[#This Row],[DC Capacity Affected (kW)]]),"")</f>
        <v/>
      </c>
      <c r="AM415" s="33"/>
      <c r="AN415" s="33"/>
      <c r="AO415" s="33"/>
      <c r="AP415" s="33"/>
    </row>
    <row r="416" spans="1:42">
      <c r="A416" s="30">
        <f t="shared" si="4"/>
        <v>415</v>
      </c>
      <c r="B416" s="31"/>
      <c r="C416" s="211">
        <f>YEAR(PA[[#This Row],[Date]])+IF(MONTH(PA[[#This Row],[Date]])&gt;=4,1,0)</f>
        <v>1900</v>
      </c>
      <c r="D416" s="211">
        <f>YEAR(PA[[#This Row],[Date]])</f>
        <v>1900</v>
      </c>
      <c r="E416" s="37" t="s">
        <v>157</v>
      </c>
      <c r="F416" s="37" t="s">
        <v>157</v>
      </c>
      <c r="G416" s="214">
        <f>PA[[#This Row],[Date]]-DAY(PA[[#This Row],[Date]])+1</f>
        <v>1</v>
      </c>
      <c r="H416" s="202">
        <f>DAY(EOMONTH(PA[[#This Row],[Month Year]],0))</f>
        <v>31</v>
      </c>
      <c r="I416" s="203"/>
      <c r="J416" s="203"/>
      <c r="K416" s="35">
        <f>IFERROR((PA[[#This Row],[Sunset Time (POA&lt;20 W/m2)]]-PA[[#This Row],[Sunrise Time (POA&gt;20 W/m2)]])*24,"")</f>
        <v>0</v>
      </c>
      <c r="L416" s="37"/>
      <c r="M416" s="37"/>
      <c r="N416" s="33"/>
      <c r="O416" s="36"/>
      <c r="P416" s="36"/>
      <c r="Q416" s="37"/>
      <c r="R416" s="202">
        <f>IF((PA[[#This Row],[String Type(If String BD)]]&amp;PA[[#This Row],[Equipment (If any BD other than PV  array and inv)]])="",1,0)</f>
        <v>1</v>
      </c>
      <c r="S416" s="202">
        <f>IF(PA[[#This Row],[String Type(If String BD)]]="",1,0)</f>
        <v>1</v>
      </c>
      <c r="T41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6" s="204" t="str">
        <f>IFERROR(_xlfn.XLOOKUP(PA[[#This Row],[Affected Equipment ]],'Basic Data'!N:N,'Basic Data'!Q:Q),"")</f>
        <v/>
      </c>
      <c r="V416" s="208" t="str">
        <f>IFERROR(_xlfn.XLOOKUP(PA[[#This Row],[Affected Equipment ]],'Basic Data'!N:N,'Basic Data'!R:R),"")</f>
        <v/>
      </c>
      <c r="W416" s="38"/>
      <c r="X416" s="41"/>
      <c r="Y416" s="40"/>
      <c r="Z416" s="47"/>
      <c r="AA416" s="47"/>
      <c r="AB416" s="47"/>
      <c r="AC416" s="47"/>
      <c r="AD416" s="205">
        <f>IF(PA[[#This Row],[Acknowledgement Time ]]="NA","",(PA[[#This Row],[Acknowledgement Time ]]-PA[[#This Row],[Fault Time]])*24)</f>
        <v>0</v>
      </c>
      <c r="AE416" s="205">
        <f>IF(PA[[#This Row],[Work Start time on Fault]]="NA","",(PA[[#This Row],[Work Start time on Fault]]-PA[[#This Row],[Fault Time]])*24)</f>
        <v>0</v>
      </c>
      <c r="AF416" s="206">
        <f>IF(PA[[#This Row],[Status]]="Open","",(PA[[#This Row],[Work Completion time on fault]]-PA[[#This Row],[Fault Time]])*24)</f>
        <v>0</v>
      </c>
      <c r="AG416" s="205">
        <f>IFERROR((PA[[#This Row],[Work Completion time on fault]]-PA[[#This Row],[Fault Time]])*24,"")</f>
        <v>0</v>
      </c>
      <c r="AH416" s="282"/>
      <c r="AI416" s="33"/>
      <c r="AJ416" s="204" t="str">
        <f>IFERROR(PA[[#This Row],[Breakdown Time]]*PA[[#This Row],[Plant Equivalent Weightage]],"")</f>
        <v/>
      </c>
      <c r="AK416" s="38"/>
      <c r="AL416" s="51" t="str">
        <f>IFERROR((_xlfn.XLOOKUP($G416,'Modelling New'!D:D,'Modelling New'!$O:$O)*PA[[#This Row],[Lost PoA(kWh/m2)]]*PA[[#This Row],[DC Capacity Affected (kW)]]),"")</f>
        <v/>
      </c>
      <c r="AM416" s="33"/>
      <c r="AN416" s="33"/>
      <c r="AO416" s="33"/>
      <c r="AP416" s="33"/>
    </row>
    <row r="417" spans="1:42">
      <c r="A417" s="30">
        <f t="shared" si="4"/>
        <v>416</v>
      </c>
      <c r="B417" s="165"/>
      <c r="C417" s="211">
        <f>YEAR(PA[[#This Row],[Date]])+IF(MONTH(PA[[#This Row],[Date]])&gt;=4,1,0)</f>
        <v>1900</v>
      </c>
      <c r="D417" s="211">
        <f>YEAR(PA[[#This Row],[Date]])</f>
        <v>1900</v>
      </c>
      <c r="E417" s="37" t="s">
        <v>157</v>
      </c>
      <c r="F417" s="37" t="s">
        <v>157</v>
      </c>
      <c r="G417" s="214">
        <f>PA[[#This Row],[Date]]-DAY(PA[[#This Row],[Date]])+1</f>
        <v>1</v>
      </c>
      <c r="H417" s="202">
        <f>DAY(EOMONTH(PA[[#This Row],[Month Year]],0))</f>
        <v>31</v>
      </c>
      <c r="I417" s="203"/>
      <c r="J417" s="203"/>
      <c r="K417" s="35">
        <f>IFERROR((PA[[#This Row],[Sunset Time (POA&lt;20 W/m2)]]-PA[[#This Row],[Sunrise Time (POA&gt;20 W/m2)]])*24,"")</f>
        <v>0</v>
      </c>
      <c r="L417" s="37"/>
      <c r="M417" s="37"/>
      <c r="N417" s="33"/>
      <c r="O417" s="38"/>
      <c r="P417" s="38"/>
      <c r="Q417" s="37"/>
      <c r="R417" s="202">
        <f>IF((PA[[#This Row],[String Type(If String BD)]]&amp;PA[[#This Row],[Equipment (If any BD other than PV  array and inv)]])="",1,0)</f>
        <v>1</v>
      </c>
      <c r="S417" s="202">
        <f>IF(PA[[#This Row],[String Type(If String BD)]]="",1,0)</f>
        <v>1</v>
      </c>
      <c r="T41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7" s="204" t="str">
        <f>IFERROR(_xlfn.XLOOKUP(PA[[#This Row],[Affected Equipment ]],'Basic Data'!N:N,'Basic Data'!Q:Q),"")</f>
        <v/>
      </c>
      <c r="V417" s="208" t="str">
        <f>IFERROR(_xlfn.XLOOKUP(PA[[#This Row],[Affected Equipment ]],'Basic Data'!N:N,'Basic Data'!R:R),"")</f>
        <v/>
      </c>
      <c r="W417" s="38"/>
      <c r="X417" s="41"/>
      <c r="Y417" s="41"/>
      <c r="Z417" s="47"/>
      <c r="AA417" s="47"/>
      <c r="AB417" s="47"/>
      <c r="AC417" s="47"/>
      <c r="AD417" s="205">
        <f>IF(PA[[#This Row],[Acknowledgement Time ]]="NA","",(PA[[#This Row],[Acknowledgement Time ]]-PA[[#This Row],[Fault Time]])*24)</f>
        <v>0</v>
      </c>
      <c r="AE417" s="205">
        <f>IF(PA[[#This Row],[Work Start time on Fault]]="NA","",(PA[[#This Row],[Work Start time on Fault]]-PA[[#This Row],[Fault Time]])*24)</f>
        <v>0</v>
      </c>
      <c r="AF417" s="206">
        <f>IF(PA[[#This Row],[Status]]="Open","",(PA[[#This Row],[Work Completion time on fault]]-PA[[#This Row],[Fault Time]])*24)</f>
        <v>0</v>
      </c>
      <c r="AG417" s="205">
        <f>IFERROR((PA[[#This Row],[Work Completion time on fault]]-PA[[#This Row],[Fault Time]])*24,"")</f>
        <v>0</v>
      </c>
      <c r="AH417" s="36"/>
      <c r="AI417" s="33"/>
      <c r="AJ417" s="204" t="str">
        <f>IFERROR(PA[[#This Row],[Breakdown Time]]*PA[[#This Row],[Plant Equivalent Weightage]],"")</f>
        <v/>
      </c>
      <c r="AK417" s="38"/>
      <c r="AL417" s="51" t="str">
        <f>IFERROR((_xlfn.XLOOKUP($G417,'Modelling New'!D:D,'Modelling New'!$O:$O)*PA[[#This Row],[Lost PoA(kWh/m2)]]*PA[[#This Row],[DC Capacity Affected (kW)]]),"")</f>
        <v/>
      </c>
      <c r="AM417" s="33"/>
      <c r="AN417" s="33"/>
      <c r="AO417" s="33"/>
      <c r="AP417" s="33"/>
    </row>
    <row r="418" spans="1:42">
      <c r="A418" s="30">
        <f t="shared" si="4"/>
        <v>417</v>
      </c>
      <c r="B418" s="165"/>
      <c r="C418" s="211">
        <f>YEAR(PA[[#This Row],[Date]])+IF(MONTH(PA[[#This Row],[Date]])&gt;=4,1,0)</f>
        <v>1900</v>
      </c>
      <c r="D418" s="211">
        <f>YEAR(PA[[#This Row],[Date]])</f>
        <v>1900</v>
      </c>
      <c r="E418" s="37" t="s">
        <v>157</v>
      </c>
      <c r="F418" s="37" t="s">
        <v>157</v>
      </c>
      <c r="G418" s="214">
        <f>PA[[#This Row],[Date]]-DAY(PA[[#This Row],[Date]])+1</f>
        <v>1</v>
      </c>
      <c r="H418" s="202">
        <f>DAY(EOMONTH(PA[[#This Row],[Month Year]],0))</f>
        <v>31</v>
      </c>
      <c r="I418" s="203"/>
      <c r="J418" s="203"/>
      <c r="K418" s="35">
        <f>IFERROR((PA[[#This Row],[Sunset Time (POA&lt;20 W/m2)]]-PA[[#This Row],[Sunrise Time (POA&gt;20 W/m2)]])*24,"")</f>
        <v>0</v>
      </c>
      <c r="L418" s="37"/>
      <c r="M418" s="37"/>
      <c r="N418" s="33"/>
      <c r="O418" s="38"/>
      <c r="P418" s="38"/>
      <c r="Q418" s="37"/>
      <c r="R418" s="202">
        <f>IF((PA[[#This Row],[String Type(If String BD)]]&amp;PA[[#This Row],[Equipment (If any BD other than PV  array and inv)]])="",1,0)</f>
        <v>1</v>
      </c>
      <c r="S418" s="202">
        <f>IF(PA[[#This Row],[String Type(If String BD)]]="",1,0)</f>
        <v>1</v>
      </c>
      <c r="T41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8" s="204" t="str">
        <f>IFERROR(_xlfn.XLOOKUP(PA[[#This Row],[Affected Equipment ]],'Basic Data'!N:N,'Basic Data'!Q:Q),"")</f>
        <v/>
      </c>
      <c r="V418" s="208" t="str">
        <f>IFERROR(_xlfn.XLOOKUP(PA[[#This Row],[Affected Equipment ]],'Basic Data'!N:N,'Basic Data'!R:R),"")</f>
        <v/>
      </c>
      <c r="W418" s="38"/>
      <c r="X418" s="41"/>
      <c r="Y418" s="41"/>
      <c r="Z418" s="47"/>
      <c r="AA418" s="47"/>
      <c r="AB418" s="47"/>
      <c r="AC418" s="47"/>
      <c r="AD418" s="205">
        <f>IF(PA[[#This Row],[Acknowledgement Time ]]="NA","",(PA[[#This Row],[Acknowledgement Time ]]-PA[[#This Row],[Fault Time]])*24)</f>
        <v>0</v>
      </c>
      <c r="AE418" s="205">
        <f>IF(PA[[#This Row],[Work Start time on Fault]]="NA","",(PA[[#This Row],[Work Start time on Fault]]-PA[[#This Row],[Fault Time]])*24)</f>
        <v>0</v>
      </c>
      <c r="AF418" s="206">
        <f>IF(PA[[#This Row],[Status]]="Open","",(PA[[#This Row],[Work Completion time on fault]]-PA[[#This Row],[Fault Time]])*24)</f>
        <v>0</v>
      </c>
      <c r="AG418" s="205">
        <f>IFERROR((PA[[#This Row],[Work Completion time on fault]]-PA[[#This Row],[Fault Time]])*24,"")</f>
        <v>0</v>
      </c>
      <c r="AH418" s="36"/>
      <c r="AI418" s="33"/>
      <c r="AJ418" s="204" t="str">
        <f>IFERROR(PA[[#This Row],[Breakdown Time]]*PA[[#This Row],[Plant Equivalent Weightage]],"")</f>
        <v/>
      </c>
      <c r="AK418" s="38"/>
      <c r="AL418" s="51" t="str">
        <f>IFERROR((_xlfn.XLOOKUP($G418,'Modelling New'!D:D,'Modelling New'!$O:$O)*PA[[#This Row],[Lost PoA(kWh/m2)]]*PA[[#This Row],[DC Capacity Affected (kW)]]),"")</f>
        <v/>
      </c>
      <c r="AM418" s="33"/>
      <c r="AN418" s="33"/>
      <c r="AO418" s="33"/>
      <c r="AP418" s="33"/>
    </row>
    <row r="419" spans="1:42">
      <c r="A419" s="30">
        <f t="shared" si="4"/>
        <v>418</v>
      </c>
      <c r="B419" s="165"/>
      <c r="C419" s="211">
        <f>YEAR(PA[[#This Row],[Date]])+IF(MONTH(PA[[#This Row],[Date]])&gt;=4,1,0)</f>
        <v>1900</v>
      </c>
      <c r="D419" s="211">
        <f>YEAR(PA[[#This Row],[Date]])</f>
        <v>1900</v>
      </c>
      <c r="E419" s="37" t="s">
        <v>157</v>
      </c>
      <c r="F419" s="37" t="s">
        <v>157</v>
      </c>
      <c r="G419" s="214">
        <f>PA[[#This Row],[Date]]-DAY(PA[[#This Row],[Date]])+1</f>
        <v>1</v>
      </c>
      <c r="H419" s="202">
        <f>DAY(EOMONTH(PA[[#This Row],[Month Year]],0))</f>
        <v>31</v>
      </c>
      <c r="I419" s="203"/>
      <c r="J419" s="203"/>
      <c r="K419" s="35">
        <f>IFERROR((PA[[#This Row],[Sunset Time (POA&lt;20 W/m2)]]-PA[[#This Row],[Sunrise Time (POA&gt;20 W/m2)]])*24,"")</f>
        <v>0</v>
      </c>
      <c r="L419" s="37"/>
      <c r="M419" s="37"/>
      <c r="N419" s="33"/>
      <c r="O419" s="36"/>
      <c r="P419" s="36"/>
      <c r="Q419" s="37"/>
      <c r="R419" s="202">
        <f>IF((PA[[#This Row],[String Type(If String BD)]]&amp;PA[[#This Row],[Equipment (If any BD other than PV  array and inv)]])="",1,0)</f>
        <v>1</v>
      </c>
      <c r="S419" s="202">
        <f>IF(PA[[#This Row],[String Type(If String BD)]]="",1,0)</f>
        <v>1</v>
      </c>
      <c r="T41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19" s="204" t="str">
        <f>IFERROR(_xlfn.XLOOKUP(PA[[#This Row],[Affected Equipment ]],'Basic Data'!N:N,'Basic Data'!Q:Q),"")</f>
        <v/>
      </c>
      <c r="V419" s="208" t="str">
        <f>IFERROR(_xlfn.XLOOKUP(PA[[#This Row],[Affected Equipment ]],'Basic Data'!N:N,'Basic Data'!R:R),"")</f>
        <v/>
      </c>
      <c r="W419" s="38"/>
      <c r="X419" s="41"/>
      <c r="Y419" s="40"/>
      <c r="Z419" s="47"/>
      <c r="AA419" s="47"/>
      <c r="AB419" s="47"/>
      <c r="AC419" s="47"/>
      <c r="AD419" s="205">
        <f>IF(PA[[#This Row],[Acknowledgement Time ]]="NA","",(PA[[#This Row],[Acknowledgement Time ]]-PA[[#This Row],[Fault Time]])*24)</f>
        <v>0</v>
      </c>
      <c r="AE419" s="205">
        <f>IF(PA[[#This Row],[Work Start time on Fault]]="NA","",(PA[[#This Row],[Work Start time on Fault]]-PA[[#This Row],[Fault Time]])*24)</f>
        <v>0</v>
      </c>
      <c r="AF419" s="206">
        <f>IF(PA[[#This Row],[Status]]="Open","",(PA[[#This Row],[Work Completion time on fault]]-PA[[#This Row],[Fault Time]])*24)</f>
        <v>0</v>
      </c>
      <c r="AG419" s="205">
        <f>IFERROR((PA[[#This Row],[Work Completion time on fault]]-PA[[#This Row],[Fault Time]])*24,"")</f>
        <v>0</v>
      </c>
      <c r="AH419" s="282"/>
      <c r="AI419" s="33"/>
      <c r="AJ419" s="204" t="str">
        <f>IFERROR(PA[[#This Row],[Breakdown Time]]*PA[[#This Row],[Plant Equivalent Weightage]],"")</f>
        <v/>
      </c>
      <c r="AK419" s="38"/>
      <c r="AL419" s="51" t="str">
        <f>IFERROR((_xlfn.XLOOKUP($G419,'Modelling New'!D:D,'Modelling New'!$O:$O)*PA[[#This Row],[Lost PoA(kWh/m2)]]*PA[[#This Row],[DC Capacity Affected (kW)]]),"")</f>
        <v/>
      </c>
      <c r="AM419" s="33"/>
      <c r="AN419" s="33"/>
      <c r="AO419" s="33"/>
      <c r="AP419" s="33"/>
    </row>
    <row r="420" spans="1:42">
      <c r="A420" s="30">
        <f t="shared" si="4"/>
        <v>419</v>
      </c>
      <c r="B420" s="165"/>
      <c r="C420" s="211">
        <f>YEAR(PA[[#This Row],[Date]])+IF(MONTH(PA[[#This Row],[Date]])&gt;=4,1,0)</f>
        <v>1900</v>
      </c>
      <c r="D420" s="211">
        <f>YEAR(PA[[#This Row],[Date]])</f>
        <v>1900</v>
      </c>
      <c r="E420" s="37" t="s">
        <v>157</v>
      </c>
      <c r="F420" s="37" t="s">
        <v>157</v>
      </c>
      <c r="G420" s="214">
        <f>PA[[#This Row],[Date]]-DAY(PA[[#This Row],[Date]])+1</f>
        <v>1</v>
      </c>
      <c r="H420" s="202">
        <f>DAY(EOMONTH(PA[[#This Row],[Month Year]],0))</f>
        <v>31</v>
      </c>
      <c r="I420" s="203"/>
      <c r="J420" s="203"/>
      <c r="K420" s="35">
        <f>IFERROR((PA[[#This Row],[Sunset Time (POA&lt;20 W/m2)]]-PA[[#This Row],[Sunrise Time (POA&gt;20 W/m2)]])*24,"")</f>
        <v>0</v>
      </c>
      <c r="L420" s="33"/>
      <c r="M420" s="33"/>
      <c r="N420" s="33"/>
      <c r="O420" s="38"/>
      <c r="P420" s="38"/>
      <c r="Q420" s="37"/>
      <c r="R420" s="202">
        <f>IF((PA[[#This Row],[String Type(If String BD)]]&amp;PA[[#This Row],[Equipment (If any BD other than PV  array and inv)]])="",1,0)</f>
        <v>1</v>
      </c>
      <c r="S420" s="202">
        <f>IF(PA[[#This Row],[String Type(If String BD)]]="",1,0)</f>
        <v>1</v>
      </c>
      <c r="T42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0" s="204" t="str">
        <f>IFERROR(_xlfn.XLOOKUP(PA[[#This Row],[Affected Equipment ]],'Basic Data'!N:N,'Basic Data'!Q:Q),"")</f>
        <v/>
      </c>
      <c r="V420" s="208" t="str">
        <f>IFERROR(_xlfn.XLOOKUP(PA[[#This Row],[Affected Equipment ]],'Basic Data'!N:N,'Basic Data'!R:R),"")</f>
        <v/>
      </c>
      <c r="W420" s="38"/>
      <c r="X420" s="41"/>
      <c r="Y420" s="41"/>
      <c r="Z420" s="47"/>
      <c r="AA420" s="47"/>
      <c r="AB420" s="47"/>
      <c r="AC420" s="47"/>
      <c r="AD420" s="205">
        <f>IF(PA[[#This Row],[Acknowledgement Time ]]="NA","",(PA[[#This Row],[Acknowledgement Time ]]-PA[[#This Row],[Fault Time]])*24)</f>
        <v>0</v>
      </c>
      <c r="AE420" s="205">
        <f>IF(PA[[#This Row],[Work Start time on Fault]]="NA","",(PA[[#This Row],[Work Start time on Fault]]-PA[[#This Row],[Fault Time]])*24)</f>
        <v>0</v>
      </c>
      <c r="AF420" s="206">
        <f>IF(PA[[#This Row],[Status]]="Open","",(PA[[#This Row],[Work Completion time on fault]]-PA[[#This Row],[Fault Time]])*24)</f>
        <v>0</v>
      </c>
      <c r="AG420" s="205">
        <f>IFERROR((PA[[#This Row],[Work Completion time on fault]]-PA[[#This Row],[Fault Time]])*24,"")</f>
        <v>0</v>
      </c>
      <c r="AH420" s="38"/>
      <c r="AI420" s="33"/>
      <c r="AJ420" s="204" t="str">
        <f>IFERROR(PA[[#This Row],[Breakdown Time]]*PA[[#This Row],[Plant Equivalent Weightage]],"")</f>
        <v/>
      </c>
      <c r="AK420" s="38"/>
      <c r="AL420" s="51" t="str">
        <f>IFERROR((_xlfn.XLOOKUP($G420,'Modelling New'!D:D,'Modelling New'!$O:$O)*PA[[#This Row],[Lost PoA(kWh/m2)]]*PA[[#This Row],[DC Capacity Affected (kW)]]),"")</f>
        <v/>
      </c>
      <c r="AM420" s="33"/>
      <c r="AN420" s="33"/>
      <c r="AO420" s="33"/>
      <c r="AP420" s="33"/>
    </row>
    <row r="421" spans="1:42">
      <c r="A421" s="30">
        <f t="shared" si="4"/>
        <v>420</v>
      </c>
      <c r="B421" s="31"/>
      <c r="C421" s="212">
        <f>YEAR(PA[[#This Row],[Date]])+IF(MONTH(PA[[#This Row],[Date]])&gt;=4,1,0)</f>
        <v>1900</v>
      </c>
      <c r="D421" s="212">
        <f>YEAR(PA[[#This Row],[Date]])</f>
        <v>1900</v>
      </c>
      <c r="E421" s="37" t="s">
        <v>157</v>
      </c>
      <c r="F421" s="37" t="s">
        <v>157</v>
      </c>
      <c r="G421" s="214">
        <f>PA[[#This Row],[Date]]-DAY(PA[[#This Row],[Date]])+1</f>
        <v>1</v>
      </c>
      <c r="H421" s="32">
        <f>DAY(EOMONTH(PA[[#This Row],[Month Year]],0))</f>
        <v>31</v>
      </c>
      <c r="I421" s="203"/>
      <c r="J421" s="203"/>
      <c r="K421" s="35">
        <f>IFERROR((PA[[#This Row],[Sunset Time (POA&lt;20 W/m2)]]-PA[[#This Row],[Sunrise Time (POA&gt;20 W/m2)]])*24,"")</f>
        <v>0</v>
      </c>
      <c r="L421" s="33"/>
      <c r="M421" s="33"/>
      <c r="N421" s="33"/>
      <c r="O421" s="36"/>
      <c r="P421" s="36"/>
      <c r="Q421" s="33"/>
      <c r="R421" s="32">
        <f>IF((PA[[#This Row],[String Type(If String BD)]]&amp;PA[[#This Row],[Equipment (If any BD other than PV  array and inv)]])="",1,0)</f>
        <v>1</v>
      </c>
      <c r="S421" s="32">
        <f>IF(PA[[#This Row],[String Type(If String BD)]]="",1,0)</f>
        <v>1</v>
      </c>
      <c r="T42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1" s="35" t="str">
        <f>IFERROR(_xlfn.XLOOKUP(PA[[#This Row],[Affected Equipment ]],'Basic Data'!N:N,'Basic Data'!Q:Q),"")</f>
        <v/>
      </c>
      <c r="V421" s="207" t="str">
        <f>IFERROR(_xlfn.XLOOKUP(PA[[#This Row],[Affected Equipment ]],'Basic Data'!N:N,'Basic Data'!R:R),"")</f>
        <v/>
      </c>
      <c r="W421" s="36"/>
      <c r="X421" s="40"/>
      <c r="Y421" s="41"/>
      <c r="Z421" s="47"/>
      <c r="AA421" s="47"/>
      <c r="AB421" s="47"/>
      <c r="AC421" s="47"/>
      <c r="AD421" s="44">
        <f>IF(PA[[#This Row],[Acknowledgement Time ]]="NA","",(PA[[#This Row],[Acknowledgement Time ]]-PA[[#This Row],[Fault Time]])*24)</f>
        <v>0</v>
      </c>
      <c r="AE421" s="44">
        <f>IF(PA[[#This Row],[Work Start time on Fault]]="NA","",(PA[[#This Row],[Work Start time on Fault]]-PA[[#This Row],[Fault Time]])*24)</f>
        <v>0</v>
      </c>
      <c r="AF421" s="45">
        <f>IF(PA[[#This Row],[Status]]="Open","",(PA[[#This Row],[Work Completion time on fault]]-PA[[#This Row],[Fault Time]])*24)</f>
        <v>0</v>
      </c>
      <c r="AG421" s="44">
        <f>IFERROR((PA[[#This Row],[Work Completion time on fault]]-PA[[#This Row],[Fault Time]])*24,"")</f>
        <v>0</v>
      </c>
      <c r="AH421" s="38"/>
      <c r="AI421" s="33"/>
      <c r="AJ421" s="35" t="str">
        <f>IFERROR(PA[[#This Row],[Breakdown Time]]*PA[[#This Row],[Plant Equivalent Weightage]],"")</f>
        <v/>
      </c>
      <c r="AK421" s="38"/>
      <c r="AL421" s="51" t="str">
        <f>IFERROR((_xlfn.XLOOKUP($G421,'Modelling New'!D:D,'Modelling New'!$O:$O)*PA[[#This Row],[Lost PoA(kWh/m2)]]*PA[[#This Row],[DC Capacity Affected (kW)]]),"")</f>
        <v/>
      </c>
      <c r="AM421" s="33"/>
      <c r="AN421" s="33"/>
      <c r="AO421" s="33"/>
      <c r="AP421" s="33"/>
    </row>
    <row r="422" spans="1:42">
      <c r="A422" s="30">
        <f t="shared" si="4"/>
        <v>421</v>
      </c>
      <c r="B422" s="31"/>
      <c r="C422" s="212">
        <f>YEAR(PA[[#This Row],[Date]])+IF(MONTH(PA[[#This Row],[Date]])&gt;=4,1,0)</f>
        <v>1900</v>
      </c>
      <c r="D422" s="212">
        <f>YEAR(PA[[#This Row],[Date]])</f>
        <v>1900</v>
      </c>
      <c r="E422" s="37" t="s">
        <v>157</v>
      </c>
      <c r="F422" s="37" t="s">
        <v>157</v>
      </c>
      <c r="G422" s="214">
        <f>PA[[#This Row],[Date]]-DAY(PA[[#This Row],[Date]])+1</f>
        <v>1</v>
      </c>
      <c r="H422" s="32">
        <f>DAY(EOMONTH(PA[[#This Row],[Month Year]],0))</f>
        <v>31</v>
      </c>
      <c r="I422" s="203"/>
      <c r="J422" s="203"/>
      <c r="K422" s="35">
        <f>IFERROR((PA[[#This Row],[Sunset Time (POA&lt;20 W/m2)]]-PA[[#This Row],[Sunrise Time (POA&gt;20 W/m2)]])*24,"")</f>
        <v>0</v>
      </c>
      <c r="L422" s="33"/>
      <c r="M422" s="33"/>
      <c r="N422" s="33"/>
      <c r="O422" s="36"/>
      <c r="P422" s="36"/>
      <c r="Q422" s="33"/>
      <c r="R422" s="32">
        <f>IF((PA[[#This Row],[String Type(If String BD)]]&amp;PA[[#This Row],[Equipment (If any BD other than PV  array and inv)]])="",1,0)</f>
        <v>1</v>
      </c>
      <c r="S422" s="32">
        <f>IF(PA[[#This Row],[String Type(If String BD)]]="",1,0)</f>
        <v>1</v>
      </c>
      <c r="T42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2" s="35" t="str">
        <f>IFERROR(_xlfn.XLOOKUP(PA[[#This Row],[Affected Equipment ]],'Basic Data'!N:N,'Basic Data'!Q:Q),"")</f>
        <v/>
      </c>
      <c r="V422" s="207" t="str">
        <f>IFERROR(_xlfn.XLOOKUP(PA[[#This Row],[Affected Equipment ]],'Basic Data'!N:N,'Basic Data'!R:R),"")</f>
        <v/>
      </c>
      <c r="W422" s="36"/>
      <c r="X422" s="40"/>
      <c r="Y422" s="41"/>
      <c r="Z422" s="47"/>
      <c r="AA422" s="47"/>
      <c r="AB422" s="47"/>
      <c r="AC422" s="47"/>
      <c r="AD422" s="44">
        <f>IF(PA[[#This Row],[Acknowledgement Time ]]="NA","",(PA[[#This Row],[Acknowledgement Time ]]-PA[[#This Row],[Fault Time]])*24)</f>
        <v>0</v>
      </c>
      <c r="AE422" s="44">
        <f>IF(PA[[#This Row],[Work Start time on Fault]]="NA","",(PA[[#This Row],[Work Start time on Fault]]-PA[[#This Row],[Fault Time]])*24)</f>
        <v>0</v>
      </c>
      <c r="AF422" s="45">
        <f>IF(PA[[#This Row],[Status]]="Open","",(PA[[#This Row],[Work Completion time on fault]]-PA[[#This Row],[Fault Time]])*24)</f>
        <v>0</v>
      </c>
      <c r="AG422" s="44">
        <f>IFERROR((PA[[#This Row],[Work Completion time on fault]]-PA[[#This Row],[Fault Time]])*24,"")</f>
        <v>0</v>
      </c>
      <c r="AH422" s="38"/>
      <c r="AI422" s="33"/>
      <c r="AJ422" s="35" t="str">
        <f>IFERROR(PA[[#This Row],[Breakdown Time]]*PA[[#This Row],[Plant Equivalent Weightage]],"")</f>
        <v/>
      </c>
      <c r="AK422" s="38"/>
      <c r="AL422" s="51" t="str">
        <f>IFERROR((_xlfn.XLOOKUP($G422,'Modelling New'!D:D,'Modelling New'!$O:$O)*PA[[#This Row],[Lost PoA(kWh/m2)]]*PA[[#This Row],[DC Capacity Affected (kW)]]),"")</f>
        <v/>
      </c>
      <c r="AM422" s="33"/>
      <c r="AN422" s="33"/>
      <c r="AO422" s="33"/>
      <c r="AP422" s="33"/>
    </row>
    <row r="423" spans="1:42">
      <c r="A423" s="30">
        <f t="shared" si="4"/>
        <v>422</v>
      </c>
      <c r="B423" s="31"/>
      <c r="C423" s="212">
        <f>YEAR(PA[[#This Row],[Date]])+IF(MONTH(PA[[#This Row],[Date]])&gt;=4,1,0)</f>
        <v>1900</v>
      </c>
      <c r="D423" s="212">
        <f>YEAR(PA[[#This Row],[Date]])</f>
        <v>1900</v>
      </c>
      <c r="E423" s="37" t="s">
        <v>157</v>
      </c>
      <c r="F423" s="37" t="s">
        <v>157</v>
      </c>
      <c r="G423" s="214">
        <f>PA[[#This Row],[Date]]-DAY(PA[[#This Row],[Date]])+1</f>
        <v>1</v>
      </c>
      <c r="H423" s="32">
        <f>DAY(EOMONTH(PA[[#This Row],[Month Year]],0))</f>
        <v>31</v>
      </c>
      <c r="I423" s="203"/>
      <c r="J423" s="203"/>
      <c r="K423" s="35">
        <f>IFERROR((PA[[#This Row],[Sunset Time (POA&lt;20 W/m2)]]-PA[[#This Row],[Sunrise Time (POA&gt;20 W/m2)]])*24,"")</f>
        <v>0</v>
      </c>
      <c r="L423" s="33"/>
      <c r="M423" s="33"/>
      <c r="N423" s="33"/>
      <c r="O423" s="36"/>
      <c r="P423" s="36"/>
      <c r="Q423" s="33"/>
      <c r="R423" s="32">
        <f>IF((PA[[#This Row],[String Type(If String BD)]]&amp;PA[[#This Row],[Equipment (If any BD other than PV  array and inv)]])="",1,0)</f>
        <v>1</v>
      </c>
      <c r="S423" s="32">
        <f>IF(PA[[#This Row],[String Type(If String BD)]]="",1,0)</f>
        <v>1</v>
      </c>
      <c r="T42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3" s="35" t="str">
        <f>IFERROR(_xlfn.XLOOKUP(PA[[#This Row],[Affected Equipment ]],'Basic Data'!N:N,'Basic Data'!Q:Q),"")</f>
        <v/>
      </c>
      <c r="V423" s="207" t="str">
        <f>IFERROR(_xlfn.XLOOKUP(PA[[#This Row],[Affected Equipment ]],'Basic Data'!N:N,'Basic Data'!R:R),"")</f>
        <v/>
      </c>
      <c r="W423" s="36"/>
      <c r="X423" s="40"/>
      <c r="Y423" s="41"/>
      <c r="Z423" s="46"/>
      <c r="AA423" s="46"/>
      <c r="AB423" s="46"/>
      <c r="AC423" s="46"/>
      <c r="AD423" s="44">
        <f>IF(PA[[#This Row],[Acknowledgement Time ]]="NA","",(PA[[#This Row],[Acknowledgement Time ]]-PA[[#This Row],[Fault Time]])*24)</f>
        <v>0</v>
      </c>
      <c r="AE423" s="44">
        <f>IF(PA[[#This Row],[Work Start time on Fault]]="NA","",(PA[[#This Row],[Work Start time on Fault]]-PA[[#This Row],[Fault Time]])*24)</f>
        <v>0</v>
      </c>
      <c r="AF423" s="45">
        <f>IF(PA[[#This Row],[Status]]="Open","",(PA[[#This Row],[Work Completion time on fault]]-PA[[#This Row],[Fault Time]])*24)</f>
        <v>0</v>
      </c>
      <c r="AG423" s="44">
        <f>IFERROR((PA[[#This Row],[Work Completion time on fault]]-PA[[#This Row],[Fault Time]])*24,"")</f>
        <v>0</v>
      </c>
      <c r="AH423" s="38"/>
      <c r="AI423" s="33"/>
      <c r="AJ423" s="35" t="str">
        <f>IFERROR(PA[[#This Row],[Breakdown Time]]*PA[[#This Row],[Plant Equivalent Weightage]],"")</f>
        <v/>
      </c>
      <c r="AK423" s="36"/>
      <c r="AL423" s="51" t="str">
        <f>IFERROR((_xlfn.XLOOKUP($G423,'Modelling New'!D:D,'Modelling New'!$O:$O)*PA[[#This Row],[Lost PoA(kWh/m2)]]*PA[[#This Row],[DC Capacity Affected (kW)]]),"")</f>
        <v/>
      </c>
      <c r="AM423" s="33"/>
      <c r="AN423" s="33"/>
      <c r="AO423" s="33"/>
      <c r="AP423" s="33"/>
    </row>
    <row r="424" spans="1:42">
      <c r="A424" s="30">
        <f t="shared" si="4"/>
        <v>423</v>
      </c>
      <c r="B424" s="165"/>
      <c r="C424" s="211">
        <f>YEAR(PA[[#This Row],[Date]])+IF(MONTH(PA[[#This Row],[Date]])&gt;=4,1,0)</f>
        <v>1900</v>
      </c>
      <c r="D424" s="211">
        <f>YEAR(PA[[#This Row],[Date]])</f>
        <v>1900</v>
      </c>
      <c r="E424" s="37" t="s">
        <v>157</v>
      </c>
      <c r="F424" s="37" t="s">
        <v>157</v>
      </c>
      <c r="G424" s="214">
        <f>PA[[#This Row],[Date]]-DAY(PA[[#This Row],[Date]])+1</f>
        <v>1</v>
      </c>
      <c r="H424" s="202">
        <f>DAY(EOMONTH(PA[[#This Row],[Month Year]],0))</f>
        <v>31</v>
      </c>
      <c r="I424" s="203"/>
      <c r="J424" s="203"/>
      <c r="K424" s="35">
        <f>IFERROR((PA[[#This Row],[Sunset Time (POA&lt;20 W/m2)]]-PA[[#This Row],[Sunrise Time (POA&gt;20 W/m2)]])*24,"")</f>
        <v>0</v>
      </c>
      <c r="L424" s="37"/>
      <c r="M424" s="33"/>
      <c r="N424" s="33"/>
      <c r="O424" s="36"/>
      <c r="P424" s="36"/>
      <c r="Q424" s="37"/>
      <c r="R424" s="202">
        <f>IF((PA[[#This Row],[String Type(If String BD)]]&amp;PA[[#This Row],[Equipment (If any BD other than PV  array and inv)]])="",1,0)</f>
        <v>1</v>
      </c>
      <c r="S424" s="202">
        <f>IF(PA[[#This Row],[String Type(If String BD)]]="",1,0)</f>
        <v>1</v>
      </c>
      <c r="T42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4" s="204" t="str">
        <f>IFERROR(_xlfn.XLOOKUP(PA[[#This Row],[Affected Equipment ]],'Basic Data'!N:N,'Basic Data'!Q:Q),"")</f>
        <v/>
      </c>
      <c r="V424" s="208" t="str">
        <f>IFERROR(_xlfn.XLOOKUP(PA[[#This Row],[Affected Equipment ]],'Basic Data'!N:N,'Basic Data'!R:R),"")</f>
        <v/>
      </c>
      <c r="W424" s="38"/>
      <c r="X424" s="41"/>
      <c r="Y424" s="40"/>
      <c r="Z424" s="47"/>
      <c r="AA424" s="47"/>
      <c r="AB424" s="47"/>
      <c r="AC424" s="47"/>
      <c r="AD424" s="205">
        <f>IF(PA[[#This Row],[Acknowledgement Time ]]="NA","",(PA[[#This Row],[Acknowledgement Time ]]-PA[[#This Row],[Fault Time]])*24)</f>
        <v>0</v>
      </c>
      <c r="AE424" s="205">
        <f>IF(PA[[#This Row],[Work Start time on Fault]]="NA","",(PA[[#This Row],[Work Start time on Fault]]-PA[[#This Row],[Fault Time]])*24)</f>
        <v>0</v>
      </c>
      <c r="AF424" s="206">
        <f>IF(PA[[#This Row],[Status]]="Open","",(PA[[#This Row],[Work Completion time on fault]]-PA[[#This Row],[Fault Time]])*24)</f>
        <v>0</v>
      </c>
      <c r="AG424" s="205">
        <f>IFERROR((PA[[#This Row],[Work Completion time on fault]]-PA[[#This Row],[Fault Time]])*24,"")</f>
        <v>0</v>
      </c>
      <c r="AH424" s="282"/>
      <c r="AI424" s="33"/>
      <c r="AJ424" s="204" t="str">
        <f>IFERROR(PA[[#This Row],[Breakdown Time]]*PA[[#This Row],[Plant Equivalent Weightage]],"")</f>
        <v/>
      </c>
      <c r="AK424" s="38"/>
      <c r="AL424" s="51" t="str">
        <f>IFERROR((_xlfn.XLOOKUP($G424,'Modelling New'!D:D,'Modelling New'!$O:$O)*PA[[#This Row],[Lost PoA(kWh/m2)]]*PA[[#This Row],[DC Capacity Affected (kW)]]),"")</f>
        <v/>
      </c>
      <c r="AM424" s="33"/>
      <c r="AN424" s="33"/>
      <c r="AO424" s="33"/>
      <c r="AP424" s="33"/>
    </row>
    <row r="425" spans="1:42">
      <c r="A425" s="30">
        <f t="shared" si="4"/>
        <v>424</v>
      </c>
      <c r="B425" s="165"/>
      <c r="C425" s="212">
        <f>YEAR(PA[[#This Row],[Date]])+IF(MONTH(PA[[#This Row],[Date]])&gt;=4,1,0)</f>
        <v>1900</v>
      </c>
      <c r="D425" s="212">
        <f>YEAR(PA[[#This Row],[Date]])</f>
        <v>1900</v>
      </c>
      <c r="E425" s="37" t="s">
        <v>157</v>
      </c>
      <c r="F425" s="37" t="s">
        <v>157</v>
      </c>
      <c r="G425" s="214">
        <f>PA[[#This Row],[Date]]-DAY(PA[[#This Row],[Date]])+1</f>
        <v>1</v>
      </c>
      <c r="H425" s="32">
        <f>DAY(EOMONTH(PA[[#This Row],[Month Year]],0))</f>
        <v>31</v>
      </c>
      <c r="I425" s="34"/>
      <c r="J425" s="34"/>
      <c r="K425" s="35">
        <f>IFERROR((PA[[#This Row],[Sunset Time (POA&lt;20 W/m2)]]-PA[[#This Row],[Sunrise Time (POA&gt;20 W/m2)]])*24,"")</f>
        <v>0</v>
      </c>
      <c r="L425" s="33"/>
      <c r="M425" s="33"/>
      <c r="N425" s="33"/>
      <c r="O425" s="36"/>
      <c r="P425" s="36"/>
      <c r="Q425" s="33"/>
      <c r="R425" s="32">
        <f>IF((PA[[#This Row],[String Type(If String BD)]]&amp;PA[[#This Row],[Equipment (If any BD other than PV  array and inv)]])="",1,0)</f>
        <v>1</v>
      </c>
      <c r="S425" s="32">
        <f>IF(PA[[#This Row],[String Type(If String BD)]]="",1,0)</f>
        <v>1</v>
      </c>
      <c r="T425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5" s="35" t="str">
        <f>IFERROR(_xlfn.XLOOKUP(PA[[#This Row],[Affected Equipment ]],'Basic Data'!N:N,'Basic Data'!Q:Q),"")</f>
        <v/>
      </c>
      <c r="V425" s="207" t="str">
        <f>IFERROR(_xlfn.XLOOKUP(PA[[#This Row],[Affected Equipment ]],'Basic Data'!N:N,'Basic Data'!R:R),"")</f>
        <v/>
      </c>
      <c r="W425" s="36"/>
      <c r="X425" s="40"/>
      <c r="Y425" s="41"/>
      <c r="Z425" s="46"/>
      <c r="AA425" s="46"/>
      <c r="AB425" s="46"/>
      <c r="AC425" s="46"/>
      <c r="AD425" s="44">
        <f>IF(PA[[#This Row],[Acknowledgement Time ]]="NA","",(PA[[#This Row],[Acknowledgement Time ]]-PA[[#This Row],[Fault Time]])*24)</f>
        <v>0</v>
      </c>
      <c r="AE425" s="44">
        <f>IF(PA[[#This Row],[Work Start time on Fault]]="NA","",(PA[[#This Row],[Work Start time on Fault]]-PA[[#This Row],[Fault Time]])*24)</f>
        <v>0</v>
      </c>
      <c r="AF425" s="45">
        <f>IF(PA[[#This Row],[Status]]="Open","",(PA[[#This Row],[Work Completion time on fault]]-PA[[#This Row],[Fault Time]])*24)</f>
        <v>0</v>
      </c>
      <c r="AG425" s="44">
        <f>IFERROR((PA[[#This Row],[Work Completion time on fault]]-PA[[#This Row],[Fault Time]])*24,"")</f>
        <v>0</v>
      </c>
      <c r="AH425" s="36"/>
      <c r="AI425" s="33"/>
      <c r="AJ425" s="35" t="str">
        <f>IFERROR(PA[[#This Row],[Breakdown Time]]*PA[[#This Row],[Plant Equivalent Weightage]],"")</f>
        <v/>
      </c>
      <c r="AK425" s="36"/>
      <c r="AL425" s="51" t="str">
        <f>IFERROR((_xlfn.XLOOKUP($G425,'Modelling New'!D:D,'Modelling New'!$O:$O)*PA[[#This Row],[Lost PoA(kWh/m2)]]*PA[[#This Row],[DC Capacity Affected (kW)]]),"")</f>
        <v/>
      </c>
      <c r="AM425" s="33"/>
      <c r="AN425" s="33"/>
      <c r="AO425" s="33"/>
      <c r="AP425" s="33"/>
    </row>
    <row r="426" spans="1:42">
      <c r="A426" s="30">
        <f t="shared" si="4"/>
        <v>425</v>
      </c>
      <c r="B426" s="165"/>
      <c r="C426" s="212">
        <f>YEAR(PA[[#This Row],[Date]])+IF(MONTH(PA[[#This Row],[Date]])&gt;=4,1,0)</f>
        <v>1900</v>
      </c>
      <c r="D426" s="212">
        <f>YEAR(PA[[#This Row],[Date]])</f>
        <v>1900</v>
      </c>
      <c r="E426" s="37" t="s">
        <v>157</v>
      </c>
      <c r="F426" s="37" t="s">
        <v>157</v>
      </c>
      <c r="G426" s="214">
        <f>PA[[#This Row],[Date]]-DAY(PA[[#This Row],[Date]])+1</f>
        <v>1</v>
      </c>
      <c r="H426" s="32">
        <f>DAY(EOMONTH(PA[[#This Row],[Month Year]],0))</f>
        <v>31</v>
      </c>
      <c r="I426" s="34"/>
      <c r="J426" s="34"/>
      <c r="K426" s="35">
        <f>IFERROR((PA[[#This Row],[Sunset Time (POA&lt;20 W/m2)]]-PA[[#This Row],[Sunrise Time (POA&gt;20 W/m2)]])*24,"")</f>
        <v>0</v>
      </c>
      <c r="L426" s="33"/>
      <c r="M426" s="33"/>
      <c r="N426" s="33"/>
      <c r="O426" s="36"/>
      <c r="P426" s="36"/>
      <c r="Q426" s="33"/>
      <c r="R426" s="32">
        <f>IF((PA[[#This Row],[String Type(If String BD)]]&amp;PA[[#This Row],[Equipment (If any BD other than PV  array and inv)]])="",1,0)</f>
        <v>1</v>
      </c>
      <c r="S426" s="32">
        <f>IF(PA[[#This Row],[String Type(If String BD)]]="",1,0)</f>
        <v>1</v>
      </c>
      <c r="T42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6" s="35" t="str">
        <f>IFERROR(_xlfn.XLOOKUP(PA[[#This Row],[Affected Equipment ]],'Basic Data'!N:N,'Basic Data'!Q:Q),"")</f>
        <v/>
      </c>
      <c r="V426" s="207" t="str">
        <f>IFERROR(_xlfn.XLOOKUP(PA[[#This Row],[Affected Equipment ]],'Basic Data'!N:N,'Basic Data'!R:R),"")</f>
        <v/>
      </c>
      <c r="W426" s="36"/>
      <c r="X426" s="40"/>
      <c r="Y426" s="41"/>
      <c r="Z426" s="46"/>
      <c r="AA426" s="46"/>
      <c r="AB426" s="46"/>
      <c r="AC426" s="46"/>
      <c r="AD426" s="44">
        <f>IF(PA[[#This Row],[Acknowledgement Time ]]="NA","",(PA[[#This Row],[Acknowledgement Time ]]-PA[[#This Row],[Fault Time]])*24)</f>
        <v>0</v>
      </c>
      <c r="AE426" s="44">
        <f>IF(PA[[#This Row],[Work Start time on Fault]]="NA","",(PA[[#This Row],[Work Start time on Fault]]-PA[[#This Row],[Fault Time]])*24)</f>
        <v>0</v>
      </c>
      <c r="AF426" s="45">
        <f>IF(PA[[#This Row],[Status]]="Open","",(PA[[#This Row],[Work Completion time on fault]]-PA[[#This Row],[Fault Time]])*24)</f>
        <v>0</v>
      </c>
      <c r="AG426" s="44">
        <f>IFERROR((PA[[#This Row],[Work Completion time on fault]]-PA[[#This Row],[Fault Time]])*24,"")</f>
        <v>0</v>
      </c>
      <c r="AH426" s="36"/>
      <c r="AI426" s="33"/>
      <c r="AJ426" s="35" t="str">
        <f>IFERROR(PA[[#This Row],[Breakdown Time]]*PA[[#This Row],[Plant Equivalent Weightage]],"")</f>
        <v/>
      </c>
      <c r="AK426" s="36"/>
      <c r="AL426" s="51" t="str">
        <f>IFERROR((_xlfn.XLOOKUP($G426,'Modelling New'!D:D,'Modelling New'!$O:$O)*PA[[#This Row],[Lost PoA(kWh/m2)]]*PA[[#This Row],[DC Capacity Affected (kW)]]),"")</f>
        <v/>
      </c>
      <c r="AM426" s="33"/>
      <c r="AN426" s="33"/>
      <c r="AO426" s="33"/>
      <c r="AP426" s="33"/>
    </row>
    <row r="427" spans="1:42">
      <c r="A427" s="30">
        <f t="shared" si="4"/>
        <v>426</v>
      </c>
      <c r="B427" s="165"/>
      <c r="C427" s="212">
        <f>YEAR(PA[[#This Row],[Date]])+IF(MONTH(PA[[#This Row],[Date]])&gt;=4,1,0)</f>
        <v>1900</v>
      </c>
      <c r="D427" s="212">
        <f>YEAR(PA[[#This Row],[Date]])</f>
        <v>1900</v>
      </c>
      <c r="E427" s="37" t="s">
        <v>157</v>
      </c>
      <c r="F427" s="37" t="s">
        <v>157</v>
      </c>
      <c r="G427" s="214">
        <f>PA[[#This Row],[Date]]-DAY(PA[[#This Row],[Date]])+1</f>
        <v>1</v>
      </c>
      <c r="H427" s="32">
        <f>DAY(EOMONTH(PA[[#This Row],[Month Year]],0))</f>
        <v>31</v>
      </c>
      <c r="I427" s="34"/>
      <c r="J427" s="34"/>
      <c r="K427" s="35">
        <f>IFERROR((PA[[#This Row],[Sunset Time (POA&lt;20 W/m2)]]-PA[[#This Row],[Sunrise Time (POA&gt;20 W/m2)]])*24,"")</f>
        <v>0</v>
      </c>
      <c r="L427" s="33"/>
      <c r="M427" s="33"/>
      <c r="N427" s="33"/>
      <c r="O427" s="36"/>
      <c r="P427" s="36"/>
      <c r="Q427" s="33"/>
      <c r="R427" s="32">
        <f>IF((PA[[#This Row],[String Type(If String BD)]]&amp;PA[[#This Row],[Equipment (If any BD other than PV  array and inv)]])="",1,0)</f>
        <v>1</v>
      </c>
      <c r="S427" s="32">
        <f>IF(PA[[#This Row],[String Type(If String BD)]]="",1,0)</f>
        <v>1</v>
      </c>
      <c r="T42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7" s="35" t="str">
        <f>IFERROR(_xlfn.XLOOKUP(PA[[#This Row],[Affected Equipment ]],'Basic Data'!N:N,'Basic Data'!Q:Q),"")</f>
        <v/>
      </c>
      <c r="V427" s="207" t="str">
        <f>IFERROR(_xlfn.XLOOKUP(PA[[#This Row],[Affected Equipment ]],'Basic Data'!N:N,'Basic Data'!R:R),"")</f>
        <v/>
      </c>
      <c r="W427" s="36"/>
      <c r="X427" s="40"/>
      <c r="Y427" s="40"/>
      <c r="Z427" s="46"/>
      <c r="AA427" s="46"/>
      <c r="AB427" s="46"/>
      <c r="AC427" s="46"/>
      <c r="AD427" s="44">
        <f>IF(PA[[#This Row],[Acknowledgement Time ]]="NA","",(PA[[#This Row],[Acknowledgement Time ]]-PA[[#This Row],[Fault Time]])*24)</f>
        <v>0</v>
      </c>
      <c r="AE427" s="44">
        <f>IF(PA[[#This Row],[Work Start time on Fault]]="NA","",(PA[[#This Row],[Work Start time on Fault]]-PA[[#This Row],[Fault Time]])*24)</f>
        <v>0</v>
      </c>
      <c r="AF427" s="45">
        <f>IF(PA[[#This Row],[Status]]="Open","",(PA[[#This Row],[Work Completion time on fault]]-PA[[#This Row],[Fault Time]])*24)</f>
        <v>0</v>
      </c>
      <c r="AG427" s="44">
        <f>IFERROR((PA[[#This Row],[Work Completion time on fault]]-PA[[#This Row],[Fault Time]])*24,"")</f>
        <v>0</v>
      </c>
      <c r="AH427" s="36"/>
      <c r="AI427" s="33"/>
      <c r="AJ427" s="35" t="str">
        <f>IFERROR(PA[[#This Row],[Breakdown Time]]*PA[[#This Row],[Plant Equivalent Weightage]],"")</f>
        <v/>
      </c>
      <c r="AK427" s="36"/>
      <c r="AL427" s="51" t="str">
        <f>IFERROR((_xlfn.XLOOKUP($G427,'Modelling New'!D:D,'Modelling New'!$O:$O)*PA[[#This Row],[Lost PoA(kWh/m2)]]*PA[[#This Row],[DC Capacity Affected (kW)]]),"")</f>
        <v/>
      </c>
      <c r="AM427" s="33"/>
      <c r="AN427" s="33"/>
      <c r="AO427" s="33"/>
      <c r="AP427" s="33"/>
    </row>
    <row r="428" spans="1:42">
      <c r="A428" s="30">
        <f t="shared" si="4"/>
        <v>427</v>
      </c>
      <c r="B428" s="165"/>
      <c r="C428" s="211">
        <f>YEAR(PA[[#This Row],[Date]])+IF(MONTH(PA[[#This Row],[Date]])&gt;=4,1,0)</f>
        <v>1900</v>
      </c>
      <c r="D428" s="211">
        <f>YEAR(PA[[#This Row],[Date]])</f>
        <v>1900</v>
      </c>
      <c r="E428" s="37" t="s">
        <v>157</v>
      </c>
      <c r="F428" s="37" t="s">
        <v>157</v>
      </c>
      <c r="G428" s="214">
        <f>PA[[#This Row],[Date]]-DAY(PA[[#This Row],[Date]])+1</f>
        <v>1</v>
      </c>
      <c r="H428" s="202">
        <f>DAY(EOMONTH(PA[[#This Row],[Month Year]],0))</f>
        <v>31</v>
      </c>
      <c r="I428" s="34"/>
      <c r="J428" s="34"/>
      <c r="K428" s="35">
        <f>IFERROR((PA[[#This Row],[Sunset Time (POA&lt;20 W/m2)]]-PA[[#This Row],[Sunrise Time (POA&gt;20 W/m2)]])*24,"")</f>
        <v>0</v>
      </c>
      <c r="L428" s="33"/>
      <c r="M428" s="37"/>
      <c r="N428" s="37"/>
      <c r="O428" s="38"/>
      <c r="P428" s="38"/>
      <c r="Q428" s="37"/>
      <c r="R428" s="202">
        <f>IF((PA[[#This Row],[String Type(If String BD)]]&amp;PA[[#This Row],[Equipment (If any BD other than PV  array and inv)]])="",1,0)</f>
        <v>1</v>
      </c>
      <c r="S428" s="202">
        <f>IF(PA[[#This Row],[String Type(If String BD)]]="",1,0)</f>
        <v>1</v>
      </c>
      <c r="T42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8" s="204" t="str">
        <f>IFERROR(_xlfn.XLOOKUP(PA[[#This Row],[Affected Equipment ]],'Basic Data'!N:N,'Basic Data'!Q:Q),"")</f>
        <v/>
      </c>
      <c r="V428" s="208" t="str">
        <f>IFERROR(_xlfn.XLOOKUP(PA[[#This Row],[Affected Equipment ]],'Basic Data'!N:N,'Basic Data'!R:R),"")</f>
        <v/>
      </c>
      <c r="W428" s="36"/>
      <c r="X428" s="41"/>
      <c r="Y428" s="40"/>
      <c r="Z428" s="47"/>
      <c r="AA428" s="47"/>
      <c r="AB428" s="47"/>
      <c r="AC428" s="47"/>
      <c r="AD428" s="205">
        <f>IF(PA[[#This Row],[Acknowledgement Time ]]="NA","",(PA[[#This Row],[Acknowledgement Time ]]-PA[[#This Row],[Fault Time]])*24)</f>
        <v>0</v>
      </c>
      <c r="AE428" s="205">
        <f>IF(PA[[#This Row],[Work Start time on Fault]]="NA","",(PA[[#This Row],[Work Start time on Fault]]-PA[[#This Row],[Fault Time]])*24)</f>
        <v>0</v>
      </c>
      <c r="AF428" s="206">
        <f>IF(PA[[#This Row],[Status]]="Open","",(PA[[#This Row],[Work Completion time on fault]]-PA[[#This Row],[Fault Time]])*24)</f>
        <v>0</v>
      </c>
      <c r="AG428" s="205">
        <f>IFERROR((PA[[#This Row],[Work Completion time on fault]]-PA[[#This Row],[Fault Time]])*24,"")</f>
        <v>0</v>
      </c>
      <c r="AH428" s="36"/>
      <c r="AI428" s="33"/>
      <c r="AJ428" s="204" t="str">
        <f>IFERROR(PA[[#This Row],[Breakdown Time]]*PA[[#This Row],[Plant Equivalent Weightage]],"")</f>
        <v/>
      </c>
      <c r="AK428" s="38"/>
      <c r="AL428" s="51" t="str">
        <f>IFERROR((_xlfn.XLOOKUP($G428,'Modelling New'!D:D,'Modelling New'!$O:$O)*PA[[#This Row],[Lost PoA(kWh/m2)]]*PA[[#This Row],[DC Capacity Affected (kW)]]),"")</f>
        <v/>
      </c>
      <c r="AM428" s="33"/>
      <c r="AN428" s="33"/>
      <c r="AO428" s="33"/>
      <c r="AP428" s="33"/>
    </row>
    <row r="429" spans="1:42">
      <c r="A429" s="30">
        <f t="shared" si="4"/>
        <v>428</v>
      </c>
      <c r="B429" s="165"/>
      <c r="C429" s="211">
        <f>YEAR(PA[[#This Row],[Date]])+IF(MONTH(PA[[#This Row],[Date]])&gt;=4,1,0)</f>
        <v>1900</v>
      </c>
      <c r="D429" s="211">
        <f>YEAR(PA[[#This Row],[Date]])</f>
        <v>1900</v>
      </c>
      <c r="E429" s="37" t="s">
        <v>157</v>
      </c>
      <c r="F429" s="37" t="s">
        <v>157</v>
      </c>
      <c r="G429" s="214">
        <f>PA[[#This Row],[Date]]-DAY(PA[[#This Row],[Date]])+1</f>
        <v>1</v>
      </c>
      <c r="H429" s="202">
        <f>DAY(EOMONTH(PA[[#This Row],[Month Year]],0))</f>
        <v>31</v>
      </c>
      <c r="I429" s="34"/>
      <c r="J429" s="34"/>
      <c r="K429" s="35">
        <f>IFERROR((PA[[#This Row],[Sunset Time (POA&lt;20 W/m2)]]-PA[[#This Row],[Sunrise Time (POA&gt;20 W/m2)]])*24,"")</f>
        <v>0</v>
      </c>
      <c r="L429" s="37"/>
      <c r="M429" s="37"/>
      <c r="N429" s="37"/>
      <c r="O429" s="38"/>
      <c r="P429" s="38"/>
      <c r="Q429" s="37"/>
      <c r="R429" s="202">
        <f>IF((PA[[#This Row],[String Type(If String BD)]]&amp;PA[[#This Row],[Equipment (If any BD other than PV  array and inv)]])="",1,0)</f>
        <v>1</v>
      </c>
      <c r="S429" s="202">
        <f>IF(PA[[#This Row],[String Type(If String BD)]]="",1,0)</f>
        <v>1</v>
      </c>
      <c r="T42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29" s="204" t="str">
        <f>IFERROR(_xlfn.XLOOKUP(PA[[#This Row],[Affected Equipment ]],'Basic Data'!N:N,'Basic Data'!Q:Q),"")</f>
        <v/>
      </c>
      <c r="V429" s="208" t="str">
        <f>IFERROR(_xlfn.XLOOKUP(PA[[#This Row],[Affected Equipment ]],'Basic Data'!N:N,'Basic Data'!R:R),"")</f>
        <v/>
      </c>
      <c r="W429" s="38"/>
      <c r="X429" s="41"/>
      <c r="Y429" s="41"/>
      <c r="Z429" s="47"/>
      <c r="AA429" s="47"/>
      <c r="AB429" s="47"/>
      <c r="AC429" s="47"/>
      <c r="AD429" s="205">
        <f>IF(PA[[#This Row],[Acknowledgement Time ]]="NA","",(PA[[#This Row],[Acknowledgement Time ]]-PA[[#This Row],[Fault Time]])*24)</f>
        <v>0</v>
      </c>
      <c r="AE429" s="205">
        <f>IF(PA[[#This Row],[Work Start time on Fault]]="NA","",(PA[[#This Row],[Work Start time on Fault]]-PA[[#This Row],[Fault Time]])*24)</f>
        <v>0</v>
      </c>
      <c r="AF429" s="206">
        <f>IF(PA[[#This Row],[Status]]="Open","",(PA[[#This Row],[Work Completion time on fault]]-PA[[#This Row],[Fault Time]])*24)</f>
        <v>0</v>
      </c>
      <c r="AG429" s="205">
        <f>IFERROR((PA[[#This Row],[Work Completion time on fault]]-PA[[#This Row],[Fault Time]])*24,"")</f>
        <v>0</v>
      </c>
      <c r="AH429" s="38"/>
      <c r="AI429" s="33"/>
      <c r="AJ429" s="204" t="str">
        <f>IFERROR(PA[[#This Row],[Breakdown Time]]*PA[[#This Row],[Plant Equivalent Weightage]],"")</f>
        <v/>
      </c>
      <c r="AK429" s="38"/>
      <c r="AL429" s="51" t="str">
        <f>IFERROR((_xlfn.XLOOKUP($G429,'Modelling New'!D:D,'Modelling New'!$O:$O)*PA[[#This Row],[Lost PoA(kWh/m2)]]*PA[[#This Row],[DC Capacity Affected (kW)]]),"")</f>
        <v/>
      </c>
      <c r="AM429" s="33"/>
      <c r="AN429" s="33"/>
      <c r="AO429" s="33"/>
      <c r="AP429" s="33"/>
    </row>
    <row r="430" spans="1:42">
      <c r="A430" s="30">
        <f t="shared" si="4"/>
        <v>429</v>
      </c>
      <c r="B430" s="165"/>
      <c r="C430" s="211">
        <f>YEAR(PA[[#This Row],[Date]])+IF(MONTH(PA[[#This Row],[Date]])&gt;=4,1,0)</f>
        <v>1900</v>
      </c>
      <c r="D430" s="211">
        <f>YEAR(PA[[#This Row],[Date]])</f>
        <v>1900</v>
      </c>
      <c r="E430" s="37" t="s">
        <v>157</v>
      </c>
      <c r="F430" s="37" t="s">
        <v>157</v>
      </c>
      <c r="G430" s="214">
        <f>PA[[#This Row],[Date]]-DAY(PA[[#This Row],[Date]])+1</f>
        <v>1</v>
      </c>
      <c r="H430" s="202">
        <f>DAY(EOMONTH(PA[[#This Row],[Month Year]],0))</f>
        <v>31</v>
      </c>
      <c r="I430" s="34"/>
      <c r="J430" s="34"/>
      <c r="K430" s="35">
        <f>IFERROR((PA[[#This Row],[Sunset Time (POA&lt;20 W/m2)]]-PA[[#This Row],[Sunrise Time (POA&gt;20 W/m2)]])*24,"")</f>
        <v>0</v>
      </c>
      <c r="L430" s="37"/>
      <c r="M430" s="37"/>
      <c r="N430" s="33"/>
      <c r="O430" s="36"/>
      <c r="P430" s="36"/>
      <c r="Q430" s="33"/>
      <c r="R430" s="202">
        <f>IF((PA[[#This Row],[String Type(If String BD)]]&amp;PA[[#This Row],[Equipment (If any BD other than PV  array and inv)]])="",1,0)</f>
        <v>1</v>
      </c>
      <c r="S430" s="202">
        <f>IF(PA[[#This Row],[String Type(If String BD)]]="",1,0)</f>
        <v>1</v>
      </c>
      <c r="T43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0" s="35" t="str">
        <f>IFERROR(_xlfn.XLOOKUP(PA[[#This Row],[Affected Equipment ]],'Basic Data'!N:N,'Basic Data'!Q:Q),"")</f>
        <v/>
      </c>
      <c r="V430" s="207" t="str">
        <f>IFERROR(_xlfn.XLOOKUP(PA[[#This Row],[Affected Equipment ]],'Basic Data'!N:N,'Basic Data'!R:R),"")</f>
        <v/>
      </c>
      <c r="W430" s="38"/>
      <c r="X430" s="40"/>
      <c r="Y430" s="41"/>
      <c r="Z430" s="47"/>
      <c r="AA430" s="47"/>
      <c r="AB430" s="47"/>
      <c r="AC430" s="47"/>
      <c r="AD430" s="205">
        <f>IF(PA[[#This Row],[Acknowledgement Time ]]="NA","",(PA[[#This Row],[Acknowledgement Time ]]-PA[[#This Row],[Fault Time]])*24)</f>
        <v>0</v>
      </c>
      <c r="AE430" s="205">
        <f>IF(PA[[#This Row],[Work Start time on Fault]]="NA","",(PA[[#This Row],[Work Start time on Fault]]-PA[[#This Row],[Fault Time]])*24)</f>
        <v>0</v>
      </c>
      <c r="AF430" s="206">
        <f>IF(PA[[#This Row],[Status]]="Open","",(PA[[#This Row],[Work Completion time on fault]]-PA[[#This Row],[Fault Time]])*24)</f>
        <v>0</v>
      </c>
      <c r="AG430" s="205">
        <f>IFERROR((PA[[#This Row],[Work Completion time on fault]]-PA[[#This Row],[Fault Time]])*24,"")</f>
        <v>0</v>
      </c>
      <c r="AH430" s="38"/>
      <c r="AI430" s="33"/>
      <c r="AJ430" s="35" t="str">
        <f>IFERROR(PA[[#This Row],[Breakdown Time]]*PA[[#This Row],[Plant Equivalent Weightage]],"")</f>
        <v/>
      </c>
      <c r="AK430" s="38"/>
      <c r="AL430" s="51" t="str">
        <f>IFERROR((_xlfn.XLOOKUP($G430,'Modelling New'!D:D,'Modelling New'!$O:$O)*PA[[#This Row],[Lost PoA(kWh/m2)]]*PA[[#This Row],[DC Capacity Affected (kW)]]),"")</f>
        <v/>
      </c>
      <c r="AM430" s="33"/>
      <c r="AN430" s="33"/>
      <c r="AO430" s="33"/>
      <c r="AP430" s="33"/>
    </row>
    <row r="431" spans="1:42">
      <c r="A431" s="30">
        <f t="shared" si="4"/>
        <v>430</v>
      </c>
      <c r="B431" s="165"/>
      <c r="C431" s="211">
        <f>YEAR(PA[[#This Row],[Date]])+IF(MONTH(PA[[#This Row],[Date]])&gt;=4,1,0)</f>
        <v>1900</v>
      </c>
      <c r="D431" s="211">
        <f>YEAR(PA[[#This Row],[Date]])</f>
        <v>1900</v>
      </c>
      <c r="E431" s="37" t="s">
        <v>157</v>
      </c>
      <c r="F431" s="37" t="s">
        <v>157</v>
      </c>
      <c r="G431" s="214">
        <f>PA[[#This Row],[Date]]-DAY(PA[[#This Row],[Date]])+1</f>
        <v>1</v>
      </c>
      <c r="H431" s="202">
        <f>DAY(EOMONTH(PA[[#This Row],[Month Year]],0))</f>
        <v>31</v>
      </c>
      <c r="I431" s="34"/>
      <c r="J431" s="34"/>
      <c r="K431" s="35">
        <f>IFERROR((PA[[#This Row],[Sunset Time (POA&lt;20 W/m2)]]-PA[[#This Row],[Sunrise Time (POA&gt;20 W/m2)]])*24,"")</f>
        <v>0</v>
      </c>
      <c r="L431" s="37"/>
      <c r="M431" s="37"/>
      <c r="N431" s="33"/>
      <c r="O431" s="36"/>
      <c r="P431" s="36"/>
      <c r="Q431" s="33"/>
      <c r="R431" s="202">
        <f>IF((PA[[#This Row],[String Type(If String BD)]]&amp;PA[[#This Row],[Equipment (If any BD other than PV  array and inv)]])="",1,0)</f>
        <v>1</v>
      </c>
      <c r="S431" s="202">
        <f>IF(PA[[#This Row],[String Type(If String BD)]]="",1,0)</f>
        <v>1</v>
      </c>
      <c r="T43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1" s="35" t="str">
        <f>IFERROR(_xlfn.XLOOKUP(PA[[#This Row],[Affected Equipment ]],'Basic Data'!N:N,'Basic Data'!Q:Q),"")</f>
        <v/>
      </c>
      <c r="V431" s="207" t="str">
        <f>IFERROR(_xlfn.XLOOKUP(PA[[#This Row],[Affected Equipment ]],'Basic Data'!N:N,'Basic Data'!R:R),"")</f>
        <v/>
      </c>
      <c r="W431" s="38"/>
      <c r="X431" s="40"/>
      <c r="Y431" s="41"/>
      <c r="Z431" s="47"/>
      <c r="AA431" s="47"/>
      <c r="AB431" s="47"/>
      <c r="AC431" s="47"/>
      <c r="AD431" s="205">
        <f>IF(PA[[#This Row],[Acknowledgement Time ]]="NA","",(PA[[#This Row],[Acknowledgement Time ]]-PA[[#This Row],[Fault Time]])*24)</f>
        <v>0</v>
      </c>
      <c r="AE431" s="205">
        <f>IF(PA[[#This Row],[Work Start time on Fault]]="NA","",(PA[[#This Row],[Work Start time on Fault]]-PA[[#This Row],[Fault Time]])*24)</f>
        <v>0</v>
      </c>
      <c r="AF431" s="206">
        <f>IF(PA[[#This Row],[Status]]="Open","",(PA[[#This Row],[Work Completion time on fault]]-PA[[#This Row],[Fault Time]])*24)</f>
        <v>0</v>
      </c>
      <c r="AG431" s="205">
        <f>IFERROR((PA[[#This Row],[Work Completion time on fault]]-PA[[#This Row],[Fault Time]])*24,"")</f>
        <v>0</v>
      </c>
      <c r="AH431" s="38"/>
      <c r="AI431" s="33"/>
      <c r="AJ431" s="35" t="str">
        <f>IFERROR(PA[[#This Row],[Breakdown Time]]*PA[[#This Row],[Plant Equivalent Weightage]],"")</f>
        <v/>
      </c>
      <c r="AK431" s="38"/>
      <c r="AL431" s="51" t="str">
        <f>IFERROR((_xlfn.XLOOKUP($G431,'Modelling New'!D:D,'Modelling New'!$O:$O)*PA[[#This Row],[Lost PoA(kWh/m2)]]*PA[[#This Row],[DC Capacity Affected (kW)]]),"")</f>
        <v/>
      </c>
      <c r="AM431" s="33"/>
      <c r="AN431" s="33"/>
      <c r="AO431" s="33"/>
      <c r="AP431" s="33"/>
    </row>
    <row r="432" spans="1:42">
      <c r="A432" s="30">
        <f t="shared" si="4"/>
        <v>431</v>
      </c>
      <c r="B432" s="165"/>
      <c r="C432" s="211">
        <f>YEAR(PA[[#This Row],[Date]])+IF(MONTH(PA[[#This Row],[Date]])&gt;=4,1,0)</f>
        <v>1900</v>
      </c>
      <c r="D432" s="211">
        <f>YEAR(PA[[#This Row],[Date]])</f>
        <v>1900</v>
      </c>
      <c r="E432" s="37" t="s">
        <v>157</v>
      </c>
      <c r="F432" s="37" t="s">
        <v>157</v>
      </c>
      <c r="G432" s="214">
        <f>PA[[#This Row],[Date]]-DAY(PA[[#This Row],[Date]])+1</f>
        <v>1</v>
      </c>
      <c r="H432" s="202">
        <f>DAY(EOMONTH(PA[[#This Row],[Month Year]],0))</f>
        <v>31</v>
      </c>
      <c r="I432" s="34"/>
      <c r="J432" s="34"/>
      <c r="K432" s="35">
        <f>IFERROR((PA[[#This Row],[Sunset Time (POA&lt;20 W/m2)]]-PA[[#This Row],[Sunrise Time (POA&gt;20 W/m2)]])*24,"")</f>
        <v>0</v>
      </c>
      <c r="L432" s="37"/>
      <c r="M432" s="37"/>
      <c r="N432" s="33"/>
      <c r="O432" s="36"/>
      <c r="P432" s="36"/>
      <c r="Q432" s="33"/>
      <c r="R432" s="202">
        <f>IF((PA[[#This Row],[String Type(If String BD)]]&amp;PA[[#This Row],[Equipment (If any BD other than PV  array and inv)]])="",1,0)</f>
        <v>1</v>
      </c>
      <c r="S432" s="202">
        <f>IF(PA[[#This Row],[String Type(If String BD)]]="",1,0)</f>
        <v>1</v>
      </c>
      <c r="T432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2" s="35" t="str">
        <f>IFERROR(_xlfn.XLOOKUP(PA[[#This Row],[Affected Equipment ]],'Basic Data'!N:N,'Basic Data'!Q:Q),"")</f>
        <v/>
      </c>
      <c r="V432" s="207" t="str">
        <f>IFERROR(_xlfn.XLOOKUP(PA[[#This Row],[Affected Equipment ]],'Basic Data'!N:N,'Basic Data'!R:R),"")</f>
        <v/>
      </c>
      <c r="W432" s="38"/>
      <c r="X432" s="40"/>
      <c r="Y432" s="41"/>
      <c r="Z432" s="47"/>
      <c r="AA432" s="47"/>
      <c r="AB432" s="47"/>
      <c r="AC432" s="47"/>
      <c r="AD432" s="205">
        <f>IF(PA[[#This Row],[Acknowledgement Time ]]="NA","",(PA[[#This Row],[Acknowledgement Time ]]-PA[[#This Row],[Fault Time]])*24)</f>
        <v>0</v>
      </c>
      <c r="AE432" s="205">
        <f>IF(PA[[#This Row],[Work Start time on Fault]]="NA","",(PA[[#This Row],[Work Start time on Fault]]-PA[[#This Row],[Fault Time]])*24)</f>
        <v>0</v>
      </c>
      <c r="AF432" s="206">
        <f>IF(PA[[#This Row],[Status]]="Open","",(PA[[#This Row],[Work Completion time on fault]]-PA[[#This Row],[Fault Time]])*24)</f>
        <v>0</v>
      </c>
      <c r="AG432" s="205">
        <f>IFERROR((PA[[#This Row],[Work Completion time on fault]]-PA[[#This Row],[Fault Time]])*24,"")</f>
        <v>0</v>
      </c>
      <c r="AH432" s="38"/>
      <c r="AI432" s="33"/>
      <c r="AJ432" s="35" t="str">
        <f>IFERROR(PA[[#This Row],[Breakdown Time]]*PA[[#This Row],[Plant Equivalent Weightage]],"")</f>
        <v/>
      </c>
      <c r="AK432" s="38"/>
      <c r="AL432" s="51" t="str">
        <f>IFERROR((_xlfn.XLOOKUP($G432,'Modelling New'!D:D,'Modelling New'!$O:$O)*PA[[#This Row],[Lost PoA(kWh/m2)]]*PA[[#This Row],[DC Capacity Affected (kW)]]),"")</f>
        <v/>
      </c>
      <c r="AM432" s="33"/>
      <c r="AN432" s="33"/>
      <c r="AO432" s="33"/>
      <c r="AP432" s="33"/>
    </row>
    <row r="433" spans="1:42">
      <c r="A433" s="30">
        <f t="shared" si="4"/>
        <v>432</v>
      </c>
      <c r="B433" s="165"/>
      <c r="C433" s="211">
        <f>YEAR(PA[[#This Row],[Date]])+IF(MONTH(PA[[#This Row],[Date]])&gt;=4,1,0)</f>
        <v>1900</v>
      </c>
      <c r="D433" s="211">
        <f>YEAR(PA[[#This Row],[Date]])</f>
        <v>1900</v>
      </c>
      <c r="E433" s="37" t="s">
        <v>157</v>
      </c>
      <c r="F433" s="37" t="s">
        <v>157</v>
      </c>
      <c r="G433" s="214">
        <f>PA[[#This Row],[Date]]-DAY(PA[[#This Row],[Date]])+1</f>
        <v>1</v>
      </c>
      <c r="H433" s="202">
        <f>DAY(EOMONTH(PA[[#This Row],[Month Year]],0))</f>
        <v>31</v>
      </c>
      <c r="I433" s="34"/>
      <c r="J433" s="34"/>
      <c r="K433" s="35">
        <f>IFERROR((PA[[#This Row],[Sunset Time (POA&lt;20 W/m2)]]-PA[[#This Row],[Sunrise Time (POA&gt;20 W/m2)]])*24,"")</f>
        <v>0</v>
      </c>
      <c r="L433" s="37"/>
      <c r="M433" s="37"/>
      <c r="N433" s="33"/>
      <c r="O433" s="36"/>
      <c r="P433" s="36"/>
      <c r="Q433" s="33"/>
      <c r="R433" s="202">
        <f>IF((PA[[#This Row],[String Type(If String BD)]]&amp;PA[[#This Row],[Equipment (If any BD other than PV  array and inv)]])="",1,0)</f>
        <v>1</v>
      </c>
      <c r="S433" s="202">
        <f>IF(PA[[#This Row],[String Type(If String BD)]]="",1,0)</f>
        <v>1</v>
      </c>
      <c r="T43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3" s="35" t="str">
        <f>IFERROR(_xlfn.XLOOKUP(PA[[#This Row],[Affected Equipment ]],'Basic Data'!N:N,'Basic Data'!Q:Q),"")</f>
        <v/>
      </c>
      <c r="V433" s="207" t="str">
        <f>IFERROR(_xlfn.XLOOKUP(PA[[#This Row],[Affected Equipment ]],'Basic Data'!N:N,'Basic Data'!R:R),"")</f>
        <v/>
      </c>
      <c r="W433" s="38"/>
      <c r="X433" s="40"/>
      <c r="Y433" s="41"/>
      <c r="Z433" s="47"/>
      <c r="AA433" s="47"/>
      <c r="AB433" s="47"/>
      <c r="AC433" s="47"/>
      <c r="AD433" s="205">
        <f>IF(PA[[#This Row],[Acknowledgement Time ]]="NA","",(PA[[#This Row],[Acknowledgement Time ]]-PA[[#This Row],[Fault Time]])*24)</f>
        <v>0</v>
      </c>
      <c r="AE433" s="205">
        <f>IF(PA[[#This Row],[Work Start time on Fault]]="NA","",(PA[[#This Row],[Work Start time on Fault]]-PA[[#This Row],[Fault Time]])*24)</f>
        <v>0</v>
      </c>
      <c r="AF433" s="206">
        <f>IF(PA[[#This Row],[Status]]="Open","",(PA[[#This Row],[Work Completion time on fault]]-PA[[#This Row],[Fault Time]])*24)</f>
        <v>0</v>
      </c>
      <c r="AG433" s="205">
        <f>IFERROR((PA[[#This Row],[Work Completion time on fault]]-PA[[#This Row],[Fault Time]])*24,"")</f>
        <v>0</v>
      </c>
      <c r="AH433" s="38"/>
      <c r="AI433" s="33"/>
      <c r="AJ433" s="35" t="str">
        <f>IFERROR(PA[[#This Row],[Breakdown Time]]*PA[[#This Row],[Plant Equivalent Weightage]],"")</f>
        <v/>
      </c>
      <c r="AK433" s="38"/>
      <c r="AL433" s="51" t="str">
        <f>IFERROR((_xlfn.XLOOKUP($G433,'Modelling New'!D:D,'Modelling New'!$O:$O)*PA[[#This Row],[Lost PoA(kWh/m2)]]*PA[[#This Row],[DC Capacity Affected (kW)]]),"")</f>
        <v/>
      </c>
      <c r="AM433" s="33"/>
      <c r="AN433" s="33"/>
      <c r="AO433" s="33"/>
      <c r="AP433" s="33"/>
    </row>
    <row r="434" spans="1:42">
      <c r="A434" s="30">
        <f t="shared" si="4"/>
        <v>433</v>
      </c>
      <c r="B434" s="165"/>
      <c r="C434" s="211">
        <f>YEAR(PA[[#This Row],[Date]])+IF(MONTH(PA[[#This Row],[Date]])&gt;=4,1,0)</f>
        <v>1900</v>
      </c>
      <c r="D434" s="211">
        <f>YEAR(PA[[#This Row],[Date]])</f>
        <v>1900</v>
      </c>
      <c r="E434" s="37" t="s">
        <v>157</v>
      </c>
      <c r="F434" s="37" t="s">
        <v>157</v>
      </c>
      <c r="G434" s="214">
        <f>PA[[#This Row],[Date]]-DAY(PA[[#This Row],[Date]])+1</f>
        <v>1</v>
      </c>
      <c r="H434" s="202">
        <f>DAY(EOMONTH(PA[[#This Row],[Month Year]],0))</f>
        <v>31</v>
      </c>
      <c r="I434" s="34"/>
      <c r="J434" s="34"/>
      <c r="K434" s="35">
        <f>IFERROR((PA[[#This Row],[Sunset Time (POA&lt;20 W/m2)]]-PA[[#This Row],[Sunrise Time (POA&gt;20 W/m2)]])*24,"")</f>
        <v>0</v>
      </c>
      <c r="L434" s="37"/>
      <c r="M434" s="37"/>
      <c r="N434" s="33"/>
      <c r="O434" s="36"/>
      <c r="P434" s="36"/>
      <c r="Q434" s="33"/>
      <c r="R434" s="202">
        <f>IF((PA[[#This Row],[String Type(If String BD)]]&amp;PA[[#This Row],[Equipment (If any BD other than PV  array and inv)]])="",1,0)</f>
        <v>1</v>
      </c>
      <c r="S434" s="202">
        <f>IF(PA[[#This Row],[String Type(If String BD)]]="",1,0)</f>
        <v>1</v>
      </c>
      <c r="T43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4" s="35" t="str">
        <f>IFERROR(_xlfn.XLOOKUP(PA[[#This Row],[Affected Equipment ]],'Basic Data'!N:N,'Basic Data'!Q:Q),"")</f>
        <v/>
      </c>
      <c r="V434" s="207" t="str">
        <f>IFERROR(_xlfn.XLOOKUP(PA[[#This Row],[Affected Equipment ]],'Basic Data'!N:N,'Basic Data'!R:R),"")</f>
        <v/>
      </c>
      <c r="W434" s="38"/>
      <c r="X434" s="40"/>
      <c r="Y434" s="41"/>
      <c r="Z434" s="47"/>
      <c r="AA434" s="47"/>
      <c r="AB434" s="47"/>
      <c r="AC434" s="47"/>
      <c r="AD434" s="205">
        <f>IF(PA[[#This Row],[Acknowledgement Time ]]="NA","",(PA[[#This Row],[Acknowledgement Time ]]-PA[[#This Row],[Fault Time]])*24)</f>
        <v>0</v>
      </c>
      <c r="AE434" s="205">
        <f>IF(PA[[#This Row],[Work Start time on Fault]]="NA","",(PA[[#This Row],[Work Start time on Fault]]-PA[[#This Row],[Fault Time]])*24)</f>
        <v>0</v>
      </c>
      <c r="AF434" s="206">
        <f>IF(PA[[#This Row],[Status]]="Open","",(PA[[#This Row],[Work Completion time on fault]]-PA[[#This Row],[Fault Time]])*24)</f>
        <v>0</v>
      </c>
      <c r="AG434" s="205">
        <f>IFERROR((PA[[#This Row],[Work Completion time on fault]]-PA[[#This Row],[Fault Time]])*24,"")</f>
        <v>0</v>
      </c>
      <c r="AH434" s="38"/>
      <c r="AI434" s="33"/>
      <c r="AJ434" s="35" t="str">
        <f>IFERROR(PA[[#This Row],[Breakdown Time]]*PA[[#This Row],[Plant Equivalent Weightage]],"")</f>
        <v/>
      </c>
      <c r="AK434" s="38"/>
      <c r="AL434" s="51" t="str">
        <f>IFERROR((_xlfn.XLOOKUP($G434,'Modelling New'!D:D,'Modelling New'!$O:$O)*PA[[#This Row],[Lost PoA(kWh/m2)]]*PA[[#This Row],[DC Capacity Affected (kW)]]),"")</f>
        <v/>
      </c>
      <c r="AM434" s="33"/>
      <c r="AN434" s="33"/>
      <c r="AO434" s="33"/>
      <c r="AP434" s="33"/>
    </row>
    <row r="435" spans="1:42">
      <c r="A435" s="30">
        <f t="shared" si="4"/>
        <v>434</v>
      </c>
      <c r="B435" s="165"/>
      <c r="C435" s="211">
        <f>YEAR(PA[[#This Row],[Date]])+IF(MONTH(PA[[#This Row],[Date]])&gt;=4,1,0)</f>
        <v>1900</v>
      </c>
      <c r="D435" s="211">
        <f>YEAR(PA[[#This Row],[Date]])</f>
        <v>1900</v>
      </c>
      <c r="E435" s="37" t="s">
        <v>157</v>
      </c>
      <c r="F435" s="37" t="s">
        <v>157</v>
      </c>
      <c r="G435" s="214">
        <f>PA[[#This Row],[Date]]-DAY(PA[[#This Row],[Date]])+1</f>
        <v>1</v>
      </c>
      <c r="H435" s="202">
        <f>DAY(EOMONTH(PA[[#This Row],[Month Year]],0))</f>
        <v>31</v>
      </c>
      <c r="I435" s="34"/>
      <c r="J435" s="34"/>
      <c r="K435" s="35">
        <f>IFERROR((PA[[#This Row],[Sunset Time (POA&lt;20 W/m2)]]-PA[[#This Row],[Sunrise Time (POA&gt;20 W/m2)]])*24,"")</f>
        <v>0</v>
      </c>
      <c r="L435" s="37"/>
      <c r="M435" s="37"/>
      <c r="N435" s="33"/>
      <c r="O435" s="38"/>
      <c r="P435" s="38"/>
      <c r="Q435" s="37"/>
      <c r="R435" s="202">
        <f>IF((PA[[#This Row],[String Type(If String BD)]]&amp;PA[[#This Row],[Equipment (If any BD other than PV  array and inv)]])="",1,0)</f>
        <v>1</v>
      </c>
      <c r="S435" s="202">
        <f>IF(PA[[#This Row],[String Type(If String BD)]]="",1,0)</f>
        <v>1</v>
      </c>
      <c r="T43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5" s="204" t="str">
        <f>IFERROR(_xlfn.XLOOKUP(PA[[#This Row],[Affected Equipment ]],'Basic Data'!N:N,'Basic Data'!Q:Q),"")</f>
        <v/>
      </c>
      <c r="V435" s="208" t="str">
        <f>IFERROR(_xlfn.XLOOKUP(PA[[#This Row],[Affected Equipment ]],'Basic Data'!N:N,'Basic Data'!R:R),"")</f>
        <v/>
      </c>
      <c r="W435" s="38"/>
      <c r="X435" s="41"/>
      <c r="Y435" s="41"/>
      <c r="Z435" s="47"/>
      <c r="AA435" s="47"/>
      <c r="AB435" s="47"/>
      <c r="AC435" s="47"/>
      <c r="AD435" s="205">
        <f>IF(PA[[#This Row],[Acknowledgement Time ]]="NA","",(PA[[#This Row],[Acknowledgement Time ]]-PA[[#This Row],[Fault Time]])*24)</f>
        <v>0</v>
      </c>
      <c r="AE435" s="205">
        <f>IF(PA[[#This Row],[Work Start time on Fault]]="NA","",(PA[[#This Row],[Work Start time on Fault]]-PA[[#This Row],[Fault Time]])*24)</f>
        <v>0</v>
      </c>
      <c r="AF435" s="206">
        <f>IF(PA[[#This Row],[Status]]="Open","",(PA[[#This Row],[Work Completion time on fault]]-PA[[#This Row],[Fault Time]])*24)</f>
        <v>0</v>
      </c>
      <c r="AG435" s="205">
        <f>IFERROR((PA[[#This Row],[Work Completion time on fault]]-PA[[#This Row],[Fault Time]])*24,"")</f>
        <v>0</v>
      </c>
      <c r="AH435" s="38"/>
      <c r="AI435" s="33"/>
      <c r="AJ435" s="204" t="str">
        <f>IFERROR(PA[[#This Row],[Breakdown Time]]*PA[[#This Row],[Plant Equivalent Weightage]],"")</f>
        <v/>
      </c>
      <c r="AK435" s="38"/>
      <c r="AL435" s="51" t="str">
        <f>IFERROR((_xlfn.XLOOKUP($G435,'Modelling New'!D:D,'Modelling New'!$O:$O)*PA[[#This Row],[Lost PoA(kWh/m2)]]*PA[[#This Row],[DC Capacity Affected (kW)]]),"")</f>
        <v/>
      </c>
      <c r="AM435" s="33"/>
      <c r="AN435" s="33"/>
      <c r="AO435" s="33"/>
      <c r="AP435" s="33"/>
    </row>
    <row r="436" spans="1:42">
      <c r="A436" s="30">
        <f t="shared" si="4"/>
        <v>435</v>
      </c>
      <c r="B436" s="165"/>
      <c r="C436" s="211">
        <f>YEAR(PA[[#This Row],[Date]])+IF(MONTH(PA[[#This Row],[Date]])&gt;=4,1,0)</f>
        <v>1900</v>
      </c>
      <c r="D436" s="211">
        <f>YEAR(PA[[#This Row],[Date]])</f>
        <v>1900</v>
      </c>
      <c r="E436" s="37" t="s">
        <v>157</v>
      </c>
      <c r="F436" s="37" t="s">
        <v>157</v>
      </c>
      <c r="G436" s="214">
        <f>PA[[#This Row],[Date]]-DAY(PA[[#This Row],[Date]])+1</f>
        <v>1</v>
      </c>
      <c r="H436" s="202">
        <f>DAY(EOMONTH(PA[[#This Row],[Month Year]],0))</f>
        <v>31</v>
      </c>
      <c r="I436" s="34"/>
      <c r="J436" s="34"/>
      <c r="K436" s="35">
        <f>IFERROR((PA[[#This Row],[Sunset Time (POA&lt;20 W/m2)]]-PA[[#This Row],[Sunrise Time (POA&gt;20 W/m2)]])*24,"")</f>
        <v>0</v>
      </c>
      <c r="L436" s="37"/>
      <c r="M436" s="37"/>
      <c r="N436" s="33"/>
      <c r="O436" s="36"/>
      <c r="P436" s="36"/>
      <c r="Q436" s="33"/>
      <c r="R436" s="202">
        <f>IF((PA[[#This Row],[String Type(If String BD)]]&amp;PA[[#This Row],[Equipment (If any BD other than PV  array and inv)]])="",1,0)</f>
        <v>1</v>
      </c>
      <c r="S436" s="202">
        <f>IF(PA[[#This Row],[String Type(If String BD)]]="",1,0)</f>
        <v>1</v>
      </c>
      <c r="T436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6" s="35" t="str">
        <f>IFERROR(_xlfn.XLOOKUP(PA[[#This Row],[Affected Equipment ]],'Basic Data'!N:N,'Basic Data'!Q:Q),"")</f>
        <v/>
      </c>
      <c r="V436" s="207" t="str">
        <f>IFERROR(_xlfn.XLOOKUP(PA[[#This Row],[Affected Equipment ]],'Basic Data'!N:N,'Basic Data'!R:R),"")</f>
        <v/>
      </c>
      <c r="W436" s="38"/>
      <c r="X436" s="40"/>
      <c r="Y436" s="41"/>
      <c r="Z436" s="47"/>
      <c r="AA436" s="47"/>
      <c r="AB436" s="47"/>
      <c r="AC436" s="47"/>
      <c r="AD436" s="205">
        <f>IF(PA[[#This Row],[Acknowledgement Time ]]="NA","",(PA[[#This Row],[Acknowledgement Time ]]-PA[[#This Row],[Fault Time]])*24)</f>
        <v>0</v>
      </c>
      <c r="AE436" s="205">
        <f>IF(PA[[#This Row],[Work Start time on Fault]]="NA","",(PA[[#This Row],[Work Start time on Fault]]-PA[[#This Row],[Fault Time]])*24)</f>
        <v>0</v>
      </c>
      <c r="AF436" s="206">
        <f>IF(PA[[#This Row],[Status]]="Open","",(PA[[#This Row],[Work Completion time on fault]]-PA[[#This Row],[Fault Time]])*24)</f>
        <v>0</v>
      </c>
      <c r="AG436" s="205">
        <f>IFERROR((PA[[#This Row],[Work Completion time on fault]]-PA[[#This Row],[Fault Time]])*24,"")</f>
        <v>0</v>
      </c>
      <c r="AH436" s="38"/>
      <c r="AI436" s="33"/>
      <c r="AJ436" s="35" t="str">
        <f>IFERROR(PA[[#This Row],[Breakdown Time]]*PA[[#This Row],[Plant Equivalent Weightage]],"")</f>
        <v/>
      </c>
      <c r="AK436" s="38"/>
      <c r="AL436" s="51" t="str">
        <f>IFERROR((_xlfn.XLOOKUP($G436,'Modelling New'!D:D,'Modelling New'!$O:$O)*PA[[#This Row],[Lost PoA(kWh/m2)]]*PA[[#This Row],[DC Capacity Affected (kW)]]),"")</f>
        <v/>
      </c>
      <c r="AM436" s="33"/>
      <c r="AN436" s="33"/>
      <c r="AO436" s="33"/>
      <c r="AP436" s="33"/>
    </row>
    <row r="437" spans="1:42">
      <c r="A437" s="30">
        <f t="shared" si="4"/>
        <v>436</v>
      </c>
      <c r="B437" s="165"/>
      <c r="C437" s="212">
        <f>YEAR(PA[[#This Row],[Date]])+IF(MONTH(PA[[#This Row],[Date]])&gt;=4,1,0)</f>
        <v>1900</v>
      </c>
      <c r="D437" s="211">
        <f>YEAR(PA[[#This Row],[Date]])</f>
        <v>1900</v>
      </c>
      <c r="E437" s="37" t="s">
        <v>157</v>
      </c>
      <c r="F437" s="37" t="s">
        <v>157</v>
      </c>
      <c r="G437" s="214">
        <f>PA[[#This Row],[Date]]-DAY(PA[[#This Row],[Date]])+1</f>
        <v>1</v>
      </c>
      <c r="H437" s="32">
        <f>DAY(EOMONTH(PA[[#This Row],[Month Year]],0))</f>
        <v>31</v>
      </c>
      <c r="I437" s="34"/>
      <c r="J437" s="34"/>
      <c r="K437" s="35">
        <f>IFERROR((PA[[#This Row],[Sunset Time (POA&lt;20 W/m2)]]-PA[[#This Row],[Sunrise Time (POA&gt;20 W/m2)]])*24,"")</f>
        <v>0</v>
      </c>
      <c r="L437" s="37"/>
      <c r="M437" s="37"/>
      <c r="N437" s="33"/>
      <c r="O437" s="36"/>
      <c r="P437" s="36"/>
      <c r="Q437" s="33"/>
      <c r="R437" s="32">
        <f>IF((PA[[#This Row],[String Type(If String BD)]]&amp;PA[[#This Row],[Equipment (If any BD other than PV  array and inv)]])="",1,0)</f>
        <v>1</v>
      </c>
      <c r="S437" s="32">
        <f>IF(PA[[#This Row],[String Type(If String BD)]]="",1,0)</f>
        <v>1</v>
      </c>
      <c r="T43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7" s="35" t="str">
        <f>IFERROR(_xlfn.XLOOKUP(PA[[#This Row],[Affected Equipment ]],'Basic Data'!N:N,'Basic Data'!Q:Q),"")</f>
        <v/>
      </c>
      <c r="V437" s="207" t="str">
        <f>IFERROR(_xlfn.XLOOKUP(PA[[#This Row],[Affected Equipment ]],'Basic Data'!N:N,'Basic Data'!R:R),"")</f>
        <v/>
      </c>
      <c r="W437" s="38"/>
      <c r="X437" s="40"/>
      <c r="Y437" s="41"/>
      <c r="Z437" s="47"/>
      <c r="AA437" s="47"/>
      <c r="AB437" s="47"/>
      <c r="AC437" s="46"/>
      <c r="AD437" s="44">
        <f>IF(PA[[#This Row],[Acknowledgement Time ]]="NA","",(PA[[#This Row],[Acknowledgement Time ]]-PA[[#This Row],[Fault Time]])*24)</f>
        <v>0</v>
      </c>
      <c r="AE437" s="44">
        <f>IF(PA[[#This Row],[Work Start time on Fault]]="NA","",(PA[[#This Row],[Work Start time on Fault]]-PA[[#This Row],[Fault Time]])*24)</f>
        <v>0</v>
      </c>
      <c r="AF437" s="45">
        <f>IF(PA[[#This Row],[Status]]="Open","",(PA[[#This Row],[Work Completion time on fault]]-PA[[#This Row],[Fault Time]])*24)</f>
        <v>0</v>
      </c>
      <c r="AG437" s="44">
        <f>IFERROR((PA[[#This Row],[Work Completion time on fault]]-PA[[#This Row],[Fault Time]])*24,"")</f>
        <v>0</v>
      </c>
      <c r="AH437" s="38"/>
      <c r="AI437" s="33"/>
      <c r="AJ437" s="35" t="str">
        <f>IFERROR(PA[[#This Row],[Breakdown Time]]*PA[[#This Row],[Plant Equivalent Weightage]],"")</f>
        <v/>
      </c>
      <c r="AK437" s="36"/>
      <c r="AL437" s="51" t="str">
        <f>IFERROR((_xlfn.XLOOKUP($G437,'Modelling New'!D:D,'Modelling New'!$O:$O)*PA[[#This Row],[Lost PoA(kWh/m2)]]*PA[[#This Row],[DC Capacity Affected (kW)]]),"")</f>
        <v/>
      </c>
      <c r="AM437" s="33"/>
      <c r="AN437" s="33"/>
      <c r="AO437" s="33"/>
      <c r="AP437" s="33"/>
    </row>
    <row r="438" spans="1:42">
      <c r="A438" s="30">
        <f t="shared" si="4"/>
        <v>437</v>
      </c>
      <c r="B438" s="165"/>
      <c r="C438" s="212">
        <f>YEAR(PA[[#This Row],[Date]])+IF(MONTH(PA[[#This Row],[Date]])&gt;=4,1,0)</f>
        <v>1900</v>
      </c>
      <c r="D438" s="211">
        <f>YEAR(PA[[#This Row],[Date]])</f>
        <v>1900</v>
      </c>
      <c r="E438" s="37" t="s">
        <v>157</v>
      </c>
      <c r="F438" s="37" t="s">
        <v>157</v>
      </c>
      <c r="G438" s="214">
        <f>PA[[#This Row],[Date]]-DAY(PA[[#This Row],[Date]])+1</f>
        <v>1</v>
      </c>
      <c r="H438" s="32">
        <f>DAY(EOMONTH(PA[[#This Row],[Month Year]],0))</f>
        <v>31</v>
      </c>
      <c r="I438" s="34"/>
      <c r="J438" s="34"/>
      <c r="K438" s="35">
        <f>IFERROR((PA[[#This Row],[Sunset Time (POA&lt;20 W/m2)]]-PA[[#This Row],[Sunrise Time (POA&gt;20 W/m2)]])*24,"")</f>
        <v>0</v>
      </c>
      <c r="L438" s="37"/>
      <c r="M438" s="37"/>
      <c r="N438" s="33"/>
      <c r="O438" s="36"/>
      <c r="P438" s="36"/>
      <c r="Q438" s="33"/>
      <c r="R438" s="32">
        <f>IF((PA[[#This Row],[String Type(If String BD)]]&amp;PA[[#This Row],[Equipment (If any BD other than PV  array and inv)]])="",1,0)</f>
        <v>1</v>
      </c>
      <c r="S438" s="32">
        <f>IF(PA[[#This Row],[String Type(If String BD)]]="",1,0)</f>
        <v>1</v>
      </c>
      <c r="T438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8" s="35" t="str">
        <f>IFERROR(_xlfn.XLOOKUP(PA[[#This Row],[Affected Equipment ]],'Basic Data'!N:N,'Basic Data'!Q:Q),"")</f>
        <v/>
      </c>
      <c r="V438" s="207" t="str">
        <f>IFERROR(_xlfn.XLOOKUP(PA[[#This Row],[Affected Equipment ]],'Basic Data'!N:N,'Basic Data'!R:R),"")</f>
        <v/>
      </c>
      <c r="W438" s="38"/>
      <c r="X438" s="40"/>
      <c r="Y438" s="41"/>
      <c r="Z438" s="46"/>
      <c r="AA438" s="46"/>
      <c r="AB438" s="46"/>
      <c r="AC438" s="46"/>
      <c r="AD438" s="44">
        <f>IF(PA[[#This Row],[Acknowledgement Time ]]="NA","",(PA[[#This Row],[Acknowledgement Time ]]-PA[[#This Row],[Fault Time]])*24)</f>
        <v>0</v>
      </c>
      <c r="AE438" s="44">
        <f>IF(PA[[#This Row],[Work Start time on Fault]]="NA","",(PA[[#This Row],[Work Start time on Fault]]-PA[[#This Row],[Fault Time]])*24)</f>
        <v>0</v>
      </c>
      <c r="AF438" s="45">
        <f>IF(PA[[#This Row],[Status]]="Open","",(PA[[#This Row],[Work Completion time on fault]]-PA[[#This Row],[Fault Time]])*24)</f>
        <v>0</v>
      </c>
      <c r="AG438" s="44">
        <f>IFERROR((PA[[#This Row],[Work Completion time on fault]]-PA[[#This Row],[Fault Time]])*24,"")</f>
        <v>0</v>
      </c>
      <c r="AH438" s="38"/>
      <c r="AI438" s="33"/>
      <c r="AJ438" s="35" t="str">
        <f>IFERROR(PA[[#This Row],[Breakdown Time]]*PA[[#This Row],[Plant Equivalent Weightage]],"")</f>
        <v/>
      </c>
      <c r="AK438" s="36"/>
      <c r="AL438" s="51" t="str">
        <f>IFERROR((_xlfn.XLOOKUP($G438,'Modelling New'!D:D,'Modelling New'!$O:$O)*PA[[#This Row],[Lost PoA(kWh/m2)]]*PA[[#This Row],[DC Capacity Affected (kW)]]),"")</f>
        <v/>
      </c>
      <c r="AM438" s="33"/>
      <c r="AN438" s="33"/>
      <c r="AO438" s="33"/>
      <c r="AP438" s="33"/>
    </row>
    <row r="439" spans="1:42">
      <c r="A439" s="30">
        <f t="shared" si="4"/>
        <v>438</v>
      </c>
      <c r="B439" s="165"/>
      <c r="C439" s="212">
        <f>YEAR(PA[[#This Row],[Date]])+IF(MONTH(PA[[#This Row],[Date]])&gt;=4,1,0)</f>
        <v>1900</v>
      </c>
      <c r="D439" s="211">
        <f>YEAR(PA[[#This Row],[Date]])</f>
        <v>1900</v>
      </c>
      <c r="E439" s="37" t="s">
        <v>157</v>
      </c>
      <c r="F439" s="37" t="s">
        <v>157</v>
      </c>
      <c r="G439" s="214">
        <f>PA[[#This Row],[Date]]-DAY(PA[[#This Row],[Date]])+1</f>
        <v>1</v>
      </c>
      <c r="H439" s="32">
        <f>DAY(EOMONTH(PA[[#This Row],[Month Year]],0))</f>
        <v>31</v>
      </c>
      <c r="I439" s="34"/>
      <c r="J439" s="34"/>
      <c r="K439" s="35">
        <f>IFERROR((PA[[#This Row],[Sunset Time (POA&lt;20 W/m2)]]-PA[[#This Row],[Sunrise Time (POA&gt;20 W/m2)]])*24,"")</f>
        <v>0</v>
      </c>
      <c r="L439" s="37"/>
      <c r="M439" s="37"/>
      <c r="N439" s="33"/>
      <c r="O439" s="36"/>
      <c r="P439" s="36"/>
      <c r="Q439" s="33"/>
      <c r="R439" s="32">
        <f>IF((PA[[#This Row],[String Type(If String BD)]]&amp;PA[[#This Row],[Equipment (If any BD other than PV  array and inv)]])="",1,0)</f>
        <v>1</v>
      </c>
      <c r="S439" s="32">
        <f>IF(PA[[#This Row],[String Type(If String BD)]]="",1,0)</f>
        <v>1</v>
      </c>
      <c r="T439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39" s="35" t="str">
        <f>IFERROR(_xlfn.XLOOKUP(PA[[#This Row],[Affected Equipment ]],'Basic Data'!N:N,'Basic Data'!Q:Q),"")</f>
        <v/>
      </c>
      <c r="V439" s="207" t="str">
        <f>IFERROR(_xlfn.XLOOKUP(PA[[#This Row],[Affected Equipment ]],'Basic Data'!N:N,'Basic Data'!R:R),"")</f>
        <v/>
      </c>
      <c r="W439" s="38"/>
      <c r="X439" s="40"/>
      <c r="Y439" s="41"/>
      <c r="Z439" s="47"/>
      <c r="AA439" s="47"/>
      <c r="AB439" s="47"/>
      <c r="AC439" s="46"/>
      <c r="AD439" s="44">
        <f>IF(PA[[#This Row],[Acknowledgement Time ]]="NA","",(PA[[#This Row],[Acknowledgement Time ]]-PA[[#This Row],[Fault Time]])*24)</f>
        <v>0</v>
      </c>
      <c r="AE439" s="44">
        <f>IF(PA[[#This Row],[Work Start time on Fault]]="NA","",(PA[[#This Row],[Work Start time on Fault]]-PA[[#This Row],[Fault Time]])*24)</f>
        <v>0</v>
      </c>
      <c r="AF439" s="45">
        <f>IF(PA[[#This Row],[Status]]="Open","",(PA[[#This Row],[Work Completion time on fault]]-PA[[#This Row],[Fault Time]])*24)</f>
        <v>0</v>
      </c>
      <c r="AG439" s="44">
        <f>IFERROR((PA[[#This Row],[Work Completion time on fault]]-PA[[#This Row],[Fault Time]])*24,"")</f>
        <v>0</v>
      </c>
      <c r="AH439" s="38"/>
      <c r="AI439" s="33"/>
      <c r="AJ439" s="35" t="str">
        <f>IFERROR(PA[[#This Row],[Breakdown Time]]*PA[[#This Row],[Plant Equivalent Weightage]],"")</f>
        <v/>
      </c>
      <c r="AK439" s="36"/>
      <c r="AL439" s="51" t="str">
        <f>IFERROR((_xlfn.XLOOKUP($G439,'Modelling New'!D:D,'Modelling New'!$O:$O)*PA[[#This Row],[Lost PoA(kWh/m2)]]*PA[[#This Row],[DC Capacity Affected (kW)]]),"")</f>
        <v/>
      </c>
      <c r="AM439" s="33"/>
      <c r="AN439" s="33"/>
      <c r="AO439" s="33"/>
      <c r="AP439" s="33"/>
    </row>
    <row r="440" spans="1:42">
      <c r="A440" s="30">
        <f t="shared" si="4"/>
        <v>439</v>
      </c>
      <c r="B440" s="165"/>
      <c r="C440" s="212">
        <f>YEAR(PA[[#This Row],[Date]])+IF(MONTH(PA[[#This Row],[Date]])&gt;=4,1,0)</f>
        <v>1900</v>
      </c>
      <c r="D440" s="211">
        <f>YEAR(PA[[#This Row],[Date]])</f>
        <v>1900</v>
      </c>
      <c r="E440" s="37" t="s">
        <v>157</v>
      </c>
      <c r="F440" s="37" t="s">
        <v>157</v>
      </c>
      <c r="G440" s="214">
        <f>PA[[#This Row],[Date]]-DAY(PA[[#This Row],[Date]])+1</f>
        <v>1</v>
      </c>
      <c r="H440" s="32">
        <f>DAY(EOMONTH(PA[[#This Row],[Month Year]],0))</f>
        <v>31</v>
      </c>
      <c r="I440" s="34"/>
      <c r="J440" s="34"/>
      <c r="K440" s="35">
        <f>IFERROR((PA[[#This Row],[Sunset Time (POA&lt;20 W/m2)]]-PA[[#This Row],[Sunrise Time (POA&gt;20 W/m2)]])*24,"")</f>
        <v>0</v>
      </c>
      <c r="L440" s="33"/>
      <c r="M440" s="33"/>
      <c r="N440" s="33"/>
      <c r="O440" s="36"/>
      <c r="P440" s="36"/>
      <c r="Q440" s="33"/>
      <c r="R440" s="32">
        <f>IF((PA[[#This Row],[String Type(If String BD)]]&amp;PA[[#This Row],[Equipment (If any BD other than PV  array and inv)]])="",1,0)</f>
        <v>1</v>
      </c>
      <c r="S440" s="32">
        <f>IF(PA[[#This Row],[String Type(If String BD)]]="",1,0)</f>
        <v>1</v>
      </c>
      <c r="T440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0" s="35" t="str">
        <f>IFERROR(_xlfn.XLOOKUP(PA[[#This Row],[Affected Equipment ]],'Basic Data'!N:N,'Basic Data'!Q:Q),"")</f>
        <v/>
      </c>
      <c r="V440" s="207" t="str">
        <f>IFERROR(_xlfn.XLOOKUP(PA[[#This Row],[Affected Equipment ]],'Basic Data'!N:N,'Basic Data'!R:R),"")</f>
        <v/>
      </c>
      <c r="W440" s="36"/>
      <c r="X440" s="40"/>
      <c r="Y440" s="40"/>
      <c r="Z440" s="46"/>
      <c r="AA440" s="46"/>
      <c r="AB440" s="46"/>
      <c r="AC440" s="46"/>
      <c r="AD440" s="44">
        <f>IF(PA[[#This Row],[Acknowledgement Time ]]="NA","",(PA[[#This Row],[Acknowledgement Time ]]-PA[[#This Row],[Fault Time]])*24)</f>
        <v>0</v>
      </c>
      <c r="AE440" s="44">
        <f>IF(PA[[#This Row],[Work Start time on Fault]]="NA","",(PA[[#This Row],[Work Start time on Fault]]-PA[[#This Row],[Fault Time]])*24)</f>
        <v>0</v>
      </c>
      <c r="AF440" s="45">
        <f>IF(PA[[#This Row],[Status]]="Open","",(PA[[#This Row],[Work Completion time on fault]]-PA[[#This Row],[Fault Time]])*24)</f>
        <v>0</v>
      </c>
      <c r="AG440" s="44">
        <f>IFERROR((PA[[#This Row],[Work Completion time on fault]]-PA[[#This Row],[Fault Time]])*24,"")</f>
        <v>0</v>
      </c>
      <c r="AH440" s="38"/>
      <c r="AI440" s="33"/>
      <c r="AJ440" s="35" t="str">
        <f>IFERROR(PA[[#This Row],[Breakdown Time]]*PA[[#This Row],[Plant Equivalent Weightage]],"")</f>
        <v/>
      </c>
      <c r="AK440" s="36"/>
      <c r="AL440" s="51" t="str">
        <f>IFERROR((_xlfn.XLOOKUP($G440,'Modelling New'!D:D,'Modelling New'!$O:$O)*PA[[#This Row],[Lost PoA(kWh/m2)]]*PA[[#This Row],[DC Capacity Affected (kW)]]),"")</f>
        <v/>
      </c>
      <c r="AM440" s="33"/>
      <c r="AN440" s="33"/>
      <c r="AO440" s="33"/>
      <c r="AP440" s="33"/>
    </row>
    <row r="441" spans="1:42">
      <c r="A441" s="30">
        <f t="shared" si="4"/>
        <v>440</v>
      </c>
      <c r="B441" s="165"/>
      <c r="C441" s="211">
        <f>YEAR(PA[[#This Row],[Date]])+IF(MONTH(PA[[#This Row],[Date]])&gt;=4,1,0)</f>
        <v>1900</v>
      </c>
      <c r="D441" s="211">
        <f>YEAR(PA[[#This Row],[Date]])</f>
        <v>1900</v>
      </c>
      <c r="E441" s="37" t="s">
        <v>157</v>
      </c>
      <c r="F441" s="37" t="s">
        <v>157</v>
      </c>
      <c r="G441" s="214">
        <f>PA[[#This Row],[Date]]-DAY(PA[[#This Row],[Date]])+1</f>
        <v>1</v>
      </c>
      <c r="H441" s="202">
        <f>DAY(EOMONTH(PA[[#This Row],[Month Year]],0))</f>
        <v>31</v>
      </c>
      <c r="I441" s="34"/>
      <c r="J441" s="34"/>
      <c r="K441" s="35">
        <f>IFERROR((PA[[#This Row],[Sunset Time (POA&lt;20 W/m2)]]-PA[[#This Row],[Sunrise Time (POA&gt;20 W/m2)]])*24,"")</f>
        <v>0</v>
      </c>
      <c r="L441" s="37"/>
      <c r="M441" s="37"/>
      <c r="N441" s="33"/>
      <c r="O441" s="38"/>
      <c r="P441" s="38"/>
      <c r="Q441" s="37"/>
      <c r="R441" s="202">
        <f>IF((PA[[#This Row],[String Type(If String BD)]]&amp;PA[[#This Row],[Equipment (If any BD other than PV  array and inv)]])="",1,0)</f>
        <v>1</v>
      </c>
      <c r="S441" s="202">
        <f>IF(PA[[#This Row],[String Type(If String BD)]]="",1,0)</f>
        <v>1</v>
      </c>
      <c r="T44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1" s="204" t="str">
        <f>IFERROR(_xlfn.XLOOKUP(PA[[#This Row],[Affected Equipment ]],'Basic Data'!N:N,'Basic Data'!Q:Q),"")</f>
        <v/>
      </c>
      <c r="V441" s="208" t="str">
        <f>IFERROR(_xlfn.XLOOKUP(PA[[#This Row],[Affected Equipment ]],'Basic Data'!N:N,'Basic Data'!R:R),"")</f>
        <v/>
      </c>
      <c r="W441" s="38"/>
      <c r="X441" s="41"/>
      <c r="Y441" s="41"/>
      <c r="Z441" s="47"/>
      <c r="AA441" s="47"/>
      <c r="AB441" s="47"/>
      <c r="AC441" s="47"/>
      <c r="AD441" s="205">
        <f>IF(PA[[#This Row],[Acknowledgement Time ]]="NA","",(PA[[#This Row],[Acknowledgement Time ]]-PA[[#This Row],[Fault Time]])*24)</f>
        <v>0</v>
      </c>
      <c r="AE441" s="205">
        <f>IF(PA[[#This Row],[Work Start time on Fault]]="NA","",(PA[[#This Row],[Work Start time on Fault]]-PA[[#This Row],[Fault Time]])*24)</f>
        <v>0</v>
      </c>
      <c r="AF441" s="206">
        <f>IF(PA[[#This Row],[Status]]="Open","",(PA[[#This Row],[Work Completion time on fault]]-PA[[#This Row],[Fault Time]])*24)</f>
        <v>0</v>
      </c>
      <c r="AG441" s="205">
        <f>IFERROR((PA[[#This Row],[Work Completion time on fault]]-PA[[#This Row],[Fault Time]])*24,"")</f>
        <v>0</v>
      </c>
      <c r="AH441" s="38"/>
      <c r="AI441" s="33"/>
      <c r="AJ441" s="204" t="str">
        <f>IFERROR(PA[[#This Row],[Breakdown Time]]*PA[[#This Row],[Plant Equivalent Weightage]],"")</f>
        <v/>
      </c>
      <c r="AK441" s="38"/>
      <c r="AL441" s="51" t="str">
        <f>IFERROR((_xlfn.XLOOKUP($G441,'Modelling New'!D:D,'Modelling New'!$O:$O)*PA[[#This Row],[Lost PoA(kWh/m2)]]*PA[[#This Row],[DC Capacity Affected (kW)]]),"")</f>
        <v/>
      </c>
      <c r="AM441" s="33"/>
      <c r="AN441" s="33"/>
      <c r="AO441" s="33"/>
      <c r="AP441" s="33"/>
    </row>
    <row r="442" spans="1:42">
      <c r="A442" s="30">
        <f t="shared" si="4"/>
        <v>441</v>
      </c>
      <c r="B442" s="165"/>
      <c r="C442" s="211">
        <f>YEAR(PA[[#This Row],[Date]])+IF(MONTH(PA[[#This Row],[Date]])&gt;=4,1,0)</f>
        <v>1900</v>
      </c>
      <c r="D442" s="211">
        <f>YEAR(PA[[#This Row],[Date]])</f>
        <v>1900</v>
      </c>
      <c r="E442" s="37" t="s">
        <v>157</v>
      </c>
      <c r="F442" s="37" t="s">
        <v>157</v>
      </c>
      <c r="G442" s="214">
        <f>PA[[#This Row],[Date]]-DAY(PA[[#This Row],[Date]])+1</f>
        <v>1</v>
      </c>
      <c r="H442" s="202">
        <f>DAY(EOMONTH(PA[[#This Row],[Month Year]],0))</f>
        <v>31</v>
      </c>
      <c r="I442" s="34"/>
      <c r="J442" s="34"/>
      <c r="K442" s="35">
        <f>IFERROR((PA[[#This Row],[Sunset Time (POA&lt;20 W/m2)]]-PA[[#This Row],[Sunrise Time (POA&gt;20 W/m2)]])*24,"")</f>
        <v>0</v>
      </c>
      <c r="L442" s="37"/>
      <c r="M442" s="37"/>
      <c r="N442" s="33"/>
      <c r="O442" s="38"/>
      <c r="P442" s="38"/>
      <c r="Q442" s="37"/>
      <c r="R442" s="202">
        <f>IF((PA[[#This Row],[String Type(If String BD)]]&amp;PA[[#This Row],[Equipment (If any BD other than PV  array and inv)]])="",1,0)</f>
        <v>1</v>
      </c>
      <c r="S442" s="202">
        <f>IF(PA[[#This Row],[String Type(If String BD)]]="",1,0)</f>
        <v>1</v>
      </c>
      <c r="T44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2" s="204" t="str">
        <f>IFERROR(_xlfn.XLOOKUP(PA[[#This Row],[Affected Equipment ]],'Basic Data'!N:N,'Basic Data'!Q:Q),"")</f>
        <v/>
      </c>
      <c r="V442" s="208" t="str">
        <f>IFERROR(_xlfn.XLOOKUP(PA[[#This Row],[Affected Equipment ]],'Basic Data'!N:N,'Basic Data'!R:R),"")</f>
        <v/>
      </c>
      <c r="W442" s="38"/>
      <c r="X442" s="41"/>
      <c r="Y442" s="40"/>
      <c r="Z442" s="47"/>
      <c r="AA442" s="47"/>
      <c r="AB442" s="47"/>
      <c r="AC442" s="47"/>
      <c r="AD442" s="205">
        <f>IF(PA[[#This Row],[Acknowledgement Time ]]="NA","",(PA[[#This Row],[Acknowledgement Time ]]-PA[[#This Row],[Fault Time]])*24)</f>
        <v>0</v>
      </c>
      <c r="AE442" s="205">
        <f>IF(PA[[#This Row],[Work Start time on Fault]]="NA","",(PA[[#This Row],[Work Start time on Fault]]-PA[[#This Row],[Fault Time]])*24)</f>
        <v>0</v>
      </c>
      <c r="AF442" s="206">
        <f>IF(PA[[#This Row],[Status]]="Open","",(PA[[#This Row],[Work Completion time on fault]]-PA[[#This Row],[Fault Time]])*24)</f>
        <v>0</v>
      </c>
      <c r="AG442" s="205">
        <f>IFERROR((PA[[#This Row],[Work Completion time on fault]]-PA[[#This Row],[Fault Time]])*24,"")</f>
        <v>0</v>
      </c>
      <c r="AH442" s="38"/>
      <c r="AI442" s="37"/>
      <c r="AJ442" s="204" t="str">
        <f>IFERROR(PA[[#This Row],[Breakdown Time]]*PA[[#This Row],[Plant Equivalent Weightage]],"")</f>
        <v/>
      </c>
      <c r="AK442" s="38"/>
      <c r="AL442" s="51" t="str">
        <f>IFERROR((_xlfn.XLOOKUP($G442,'Modelling New'!D:D,'Modelling New'!$O:$O)*PA[[#This Row],[Lost PoA(kWh/m2)]]*PA[[#This Row],[DC Capacity Affected (kW)]]),"")</f>
        <v/>
      </c>
      <c r="AM442" s="37"/>
      <c r="AN442" s="37"/>
      <c r="AO442" s="37"/>
      <c r="AP442" s="37"/>
    </row>
    <row r="443" spans="1:42">
      <c r="A443" s="30">
        <f t="shared" si="4"/>
        <v>442</v>
      </c>
      <c r="B443" s="165"/>
      <c r="C443" s="212">
        <f>YEAR(PA[[#This Row],[Date]])+IF(MONTH(PA[[#This Row],[Date]])&gt;=4,1,0)</f>
        <v>1900</v>
      </c>
      <c r="D443" s="211">
        <f>YEAR(PA[[#This Row],[Date]])</f>
        <v>1900</v>
      </c>
      <c r="E443" s="37" t="s">
        <v>157</v>
      </c>
      <c r="F443" s="37" t="s">
        <v>157</v>
      </c>
      <c r="G443" s="214">
        <f>PA[[#This Row],[Date]]-DAY(PA[[#This Row],[Date]])+1</f>
        <v>1</v>
      </c>
      <c r="H443" s="32">
        <f>DAY(EOMONTH(PA[[#This Row],[Month Year]],0))</f>
        <v>31</v>
      </c>
      <c r="I443" s="34"/>
      <c r="J443" s="34"/>
      <c r="K443" s="35">
        <f>IFERROR((PA[[#This Row],[Sunset Time (POA&lt;20 W/m2)]]-PA[[#This Row],[Sunrise Time (POA&gt;20 W/m2)]])*24,"")</f>
        <v>0</v>
      </c>
      <c r="L443" s="33"/>
      <c r="M443" s="33"/>
      <c r="N443" s="33"/>
      <c r="O443" s="36"/>
      <c r="P443" s="36"/>
      <c r="Q443" s="33"/>
      <c r="R443" s="32">
        <f>IF((PA[[#This Row],[String Type(If String BD)]]&amp;PA[[#This Row],[Equipment (If any BD other than PV  array and inv)]])="",1,0)</f>
        <v>1</v>
      </c>
      <c r="S443" s="32">
        <f>IF(PA[[#This Row],[String Type(If String BD)]]="",1,0)</f>
        <v>1</v>
      </c>
      <c r="T443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3" s="35" t="str">
        <f>IFERROR(_xlfn.XLOOKUP(PA[[#This Row],[Affected Equipment ]],'Basic Data'!N:N,'Basic Data'!Q:Q),"")</f>
        <v/>
      </c>
      <c r="V443" s="207" t="str">
        <f>IFERROR(_xlfn.XLOOKUP(PA[[#This Row],[Affected Equipment ]],'Basic Data'!N:N,'Basic Data'!R:R),"")</f>
        <v/>
      </c>
      <c r="W443" s="36"/>
      <c r="X443" s="40"/>
      <c r="Y443" s="40"/>
      <c r="Z443" s="46"/>
      <c r="AA443" s="46"/>
      <c r="AB443" s="46"/>
      <c r="AC443" s="46"/>
      <c r="AD443" s="44">
        <f>IF(PA[[#This Row],[Acknowledgement Time ]]="NA","",(PA[[#This Row],[Acknowledgement Time ]]-PA[[#This Row],[Fault Time]])*24)</f>
        <v>0</v>
      </c>
      <c r="AE443" s="44">
        <f>IF(PA[[#This Row],[Work Start time on Fault]]="NA","",(PA[[#This Row],[Work Start time on Fault]]-PA[[#This Row],[Fault Time]])*24)</f>
        <v>0</v>
      </c>
      <c r="AF443" s="45">
        <f>IF(PA[[#This Row],[Status]]="Open","",(PA[[#This Row],[Work Completion time on fault]]-PA[[#This Row],[Fault Time]])*24)</f>
        <v>0</v>
      </c>
      <c r="AG443" s="44">
        <f>IFERROR((PA[[#This Row],[Work Completion time on fault]]-PA[[#This Row],[Fault Time]])*24,"")</f>
        <v>0</v>
      </c>
      <c r="AH443" s="36"/>
      <c r="AI443" s="37"/>
      <c r="AJ443" s="35" t="str">
        <f>IFERROR(PA[[#This Row],[Breakdown Time]]*PA[[#This Row],[Plant Equivalent Weightage]],"")</f>
        <v/>
      </c>
      <c r="AK443" s="36"/>
      <c r="AL443" s="51" t="str">
        <f>IFERROR((_xlfn.XLOOKUP($G443,'Modelling New'!D:D,'Modelling New'!$O:$O)*PA[[#This Row],[Lost PoA(kWh/m2)]]*PA[[#This Row],[DC Capacity Affected (kW)]]),"")</f>
        <v/>
      </c>
      <c r="AM443" s="37"/>
      <c r="AN443" s="37"/>
      <c r="AO443" s="37"/>
      <c r="AP443" s="37"/>
    </row>
    <row r="444" spans="1:42">
      <c r="A444" s="30">
        <f t="shared" si="4"/>
        <v>443</v>
      </c>
      <c r="B444" s="165"/>
      <c r="C444" s="212">
        <f>YEAR(PA[[#This Row],[Date]])+IF(MONTH(PA[[#This Row],[Date]])&gt;=4,1,0)</f>
        <v>1900</v>
      </c>
      <c r="D444" s="211">
        <f>YEAR(PA[[#This Row],[Date]])</f>
        <v>1900</v>
      </c>
      <c r="E444" s="37" t="s">
        <v>157</v>
      </c>
      <c r="F444" s="37" t="s">
        <v>157</v>
      </c>
      <c r="G444" s="214">
        <f>PA[[#This Row],[Date]]-DAY(PA[[#This Row],[Date]])+1</f>
        <v>1</v>
      </c>
      <c r="H444" s="32">
        <f>DAY(EOMONTH(PA[[#This Row],[Month Year]],0))</f>
        <v>31</v>
      </c>
      <c r="I444" s="34"/>
      <c r="J444" s="34"/>
      <c r="K444" s="35">
        <f>IFERROR((PA[[#This Row],[Sunset Time (POA&lt;20 W/m2)]]-PA[[#This Row],[Sunrise Time (POA&gt;20 W/m2)]])*24,"")</f>
        <v>0</v>
      </c>
      <c r="L444" s="33"/>
      <c r="M444" s="33"/>
      <c r="N444" s="33"/>
      <c r="O444" s="36"/>
      <c r="P444" s="36"/>
      <c r="Q444" s="33"/>
      <c r="R444" s="32">
        <f>IF((PA[[#This Row],[String Type(If String BD)]]&amp;PA[[#This Row],[Equipment (If any BD other than PV  array and inv)]])="",1,0)</f>
        <v>1</v>
      </c>
      <c r="S444" s="32">
        <f>IF(PA[[#This Row],[String Type(If String BD)]]="",1,0)</f>
        <v>1</v>
      </c>
      <c r="T444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4" s="35" t="str">
        <f>IFERROR(_xlfn.XLOOKUP(PA[[#This Row],[Affected Equipment ]],'Basic Data'!N:N,'Basic Data'!Q:Q),"")</f>
        <v/>
      </c>
      <c r="V444" s="207" t="str">
        <f>IFERROR(_xlfn.XLOOKUP(PA[[#This Row],[Affected Equipment ]],'Basic Data'!N:N,'Basic Data'!R:R),"")</f>
        <v/>
      </c>
      <c r="W444" s="36"/>
      <c r="X444" s="40"/>
      <c r="Y444" s="40"/>
      <c r="Z444" s="46"/>
      <c r="AA444" s="46"/>
      <c r="AB444" s="46"/>
      <c r="AC444" s="46"/>
      <c r="AD444" s="44">
        <f>IF(PA[[#This Row],[Acknowledgement Time ]]="NA","",(PA[[#This Row],[Acknowledgement Time ]]-PA[[#This Row],[Fault Time]])*24)</f>
        <v>0</v>
      </c>
      <c r="AE444" s="44">
        <f>IF(PA[[#This Row],[Work Start time on Fault]]="NA","",(PA[[#This Row],[Work Start time on Fault]]-PA[[#This Row],[Fault Time]])*24)</f>
        <v>0</v>
      </c>
      <c r="AF444" s="45">
        <f>IF(PA[[#This Row],[Status]]="Open","",(PA[[#This Row],[Work Completion time on fault]]-PA[[#This Row],[Fault Time]])*24)</f>
        <v>0</v>
      </c>
      <c r="AG444" s="44">
        <f>IFERROR((PA[[#This Row],[Work Completion time on fault]]-PA[[#This Row],[Fault Time]])*24,"")</f>
        <v>0</v>
      </c>
      <c r="AH444" s="38"/>
      <c r="AI444" s="37"/>
      <c r="AJ444" s="35" t="str">
        <f>IFERROR(PA[[#This Row],[Breakdown Time]]*PA[[#This Row],[Plant Equivalent Weightage]],"")</f>
        <v/>
      </c>
      <c r="AK444" s="36"/>
      <c r="AL444" s="51" t="str">
        <f>IFERROR((_xlfn.XLOOKUP($G444,'Modelling New'!D:D,'Modelling New'!$O:$O)*PA[[#This Row],[Lost PoA(kWh/m2)]]*PA[[#This Row],[DC Capacity Affected (kW)]]),"")</f>
        <v/>
      </c>
      <c r="AM444" s="37"/>
      <c r="AN444" s="37"/>
      <c r="AO444" s="37"/>
      <c r="AP444" s="37"/>
    </row>
    <row r="445" spans="1:42">
      <c r="A445" s="30">
        <f t="shared" si="4"/>
        <v>444</v>
      </c>
      <c r="B445" s="165"/>
      <c r="C445" s="211">
        <f>YEAR(PA[[#This Row],[Date]])+IF(MONTH(PA[[#This Row],[Date]])&gt;=4,1,0)</f>
        <v>1900</v>
      </c>
      <c r="D445" s="211">
        <f>YEAR(PA[[#This Row],[Date]])</f>
        <v>1900</v>
      </c>
      <c r="E445" s="37" t="s">
        <v>157</v>
      </c>
      <c r="F445" s="37" t="s">
        <v>157</v>
      </c>
      <c r="G445" s="214">
        <f>PA[[#This Row],[Date]]-DAY(PA[[#This Row],[Date]])+1</f>
        <v>1</v>
      </c>
      <c r="H445" s="202">
        <f>DAY(EOMONTH(PA[[#This Row],[Month Year]],0))</f>
        <v>31</v>
      </c>
      <c r="I445" s="34"/>
      <c r="J445" s="34"/>
      <c r="K445" s="35">
        <f>IFERROR((PA[[#This Row],[Sunset Time (POA&lt;20 W/m2)]]-PA[[#This Row],[Sunrise Time (POA&gt;20 W/m2)]])*24,"")</f>
        <v>0</v>
      </c>
      <c r="L445" s="37"/>
      <c r="M445" s="37"/>
      <c r="N445" s="37"/>
      <c r="O445" s="38"/>
      <c r="P445" s="38"/>
      <c r="Q445" s="37"/>
      <c r="R445" s="202">
        <f>IF((PA[[#This Row],[String Type(If String BD)]]&amp;PA[[#This Row],[Equipment (If any BD other than PV  array and inv)]])="",1,0)</f>
        <v>1</v>
      </c>
      <c r="S445" s="202">
        <f>IF(PA[[#This Row],[String Type(If String BD)]]="",1,0)</f>
        <v>1</v>
      </c>
      <c r="T44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5" s="204" t="str">
        <f>IFERROR(_xlfn.XLOOKUP(PA[[#This Row],[Affected Equipment ]],'Basic Data'!N:N,'Basic Data'!Q:Q),"")</f>
        <v/>
      </c>
      <c r="V445" s="208" t="str">
        <f>IFERROR(_xlfn.XLOOKUP(PA[[#This Row],[Affected Equipment ]],'Basic Data'!N:N,'Basic Data'!R:R),"")</f>
        <v/>
      </c>
      <c r="W445" s="36"/>
      <c r="X445" s="41"/>
      <c r="Y445" s="40"/>
      <c r="Z445" s="46"/>
      <c r="AA445" s="46"/>
      <c r="AB445" s="46"/>
      <c r="AC445" s="46"/>
      <c r="AD445" s="205">
        <f>IF(PA[[#This Row],[Acknowledgement Time ]]="NA","",(PA[[#This Row],[Acknowledgement Time ]]-PA[[#This Row],[Fault Time]])*24)</f>
        <v>0</v>
      </c>
      <c r="AE445" s="205">
        <f>IF(PA[[#This Row],[Work Start time on Fault]]="NA","",(PA[[#This Row],[Work Start time on Fault]]-PA[[#This Row],[Fault Time]])*24)</f>
        <v>0</v>
      </c>
      <c r="AF445" s="206">
        <f>IF(PA[[#This Row],[Status]]="Open","",(PA[[#This Row],[Work Completion time on fault]]-PA[[#This Row],[Fault Time]])*24)</f>
        <v>0</v>
      </c>
      <c r="AG445" s="205">
        <f>IFERROR((PA[[#This Row],[Work Completion time on fault]]-PA[[#This Row],[Fault Time]])*24,"")</f>
        <v>0</v>
      </c>
      <c r="AH445" s="38"/>
      <c r="AI445" s="37"/>
      <c r="AJ445" s="204" t="str">
        <f>IFERROR(PA[[#This Row],[Breakdown Time]]*PA[[#This Row],[Plant Equivalent Weightage]],"")</f>
        <v/>
      </c>
      <c r="AK445" s="38"/>
      <c r="AL445" s="51" t="str">
        <f>IFERROR((_xlfn.XLOOKUP($G445,'Modelling New'!D:D,'Modelling New'!$O:$O)*PA[[#This Row],[Lost PoA(kWh/m2)]]*PA[[#This Row],[DC Capacity Affected (kW)]]),"")</f>
        <v/>
      </c>
      <c r="AM445" s="37"/>
      <c r="AN445" s="37"/>
      <c r="AO445" s="37"/>
      <c r="AP445" s="37"/>
    </row>
    <row r="446" spans="1:42">
      <c r="A446" s="30">
        <f t="shared" si="4"/>
        <v>445</v>
      </c>
      <c r="B446" s="165"/>
      <c r="C446" s="211">
        <f>YEAR(PA[[#This Row],[Date]])+IF(MONTH(PA[[#This Row],[Date]])&gt;=4,1,0)</f>
        <v>1900</v>
      </c>
      <c r="D446" s="211">
        <f>YEAR(PA[[#This Row],[Date]])</f>
        <v>1900</v>
      </c>
      <c r="E446" s="37" t="s">
        <v>157</v>
      </c>
      <c r="F446" s="37" t="s">
        <v>157</v>
      </c>
      <c r="G446" s="214">
        <f>PA[[#This Row],[Date]]-DAY(PA[[#This Row],[Date]])+1</f>
        <v>1</v>
      </c>
      <c r="H446" s="202">
        <f>DAY(EOMONTH(PA[[#This Row],[Month Year]],0))</f>
        <v>31</v>
      </c>
      <c r="I446" s="34"/>
      <c r="J446" s="34"/>
      <c r="K446" s="35">
        <f>IFERROR((PA[[#This Row],[Sunset Time (POA&lt;20 W/m2)]]-PA[[#This Row],[Sunrise Time (POA&gt;20 W/m2)]])*24,"")</f>
        <v>0</v>
      </c>
      <c r="L446" s="37"/>
      <c r="M446" s="37"/>
      <c r="N446" s="33"/>
      <c r="O446" s="38"/>
      <c r="P446" s="38"/>
      <c r="Q446" s="37"/>
      <c r="R446" s="202">
        <f>IF((PA[[#This Row],[String Type(If String BD)]]&amp;PA[[#This Row],[Equipment (If any BD other than PV  array and inv)]])="",1,0)</f>
        <v>1</v>
      </c>
      <c r="S446" s="202">
        <f>IF(PA[[#This Row],[String Type(If String BD)]]="",1,0)</f>
        <v>1</v>
      </c>
      <c r="T44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6" s="204" t="str">
        <f>IFERROR(_xlfn.XLOOKUP(PA[[#This Row],[Affected Equipment ]],'Basic Data'!N:N,'Basic Data'!Q:Q),"")</f>
        <v/>
      </c>
      <c r="V446" s="208" t="str">
        <f>IFERROR(_xlfn.XLOOKUP(PA[[#This Row],[Affected Equipment ]],'Basic Data'!N:N,'Basic Data'!R:R),"")</f>
        <v/>
      </c>
      <c r="W446" s="38"/>
      <c r="X446" s="41"/>
      <c r="Y446" s="41"/>
      <c r="Z446" s="47"/>
      <c r="AA446" s="47"/>
      <c r="AB446" s="47"/>
      <c r="AC446" s="47"/>
      <c r="AD446" s="205">
        <f>IF(PA[[#This Row],[Acknowledgement Time ]]="NA","",(PA[[#This Row],[Acknowledgement Time ]]-PA[[#This Row],[Fault Time]])*24)</f>
        <v>0</v>
      </c>
      <c r="AE446" s="205">
        <f>IF(PA[[#This Row],[Work Start time on Fault]]="NA","",(PA[[#This Row],[Work Start time on Fault]]-PA[[#This Row],[Fault Time]])*24)</f>
        <v>0</v>
      </c>
      <c r="AF446" s="206">
        <f>IF(PA[[#This Row],[Status]]="Open","",(PA[[#This Row],[Work Completion time on fault]]-PA[[#This Row],[Fault Time]])*24)</f>
        <v>0</v>
      </c>
      <c r="AG446" s="205">
        <f>IFERROR((PA[[#This Row],[Work Completion time on fault]]-PA[[#This Row],[Fault Time]])*24,"")</f>
        <v>0</v>
      </c>
      <c r="AH446" s="38"/>
      <c r="AI446" s="37"/>
      <c r="AJ446" s="204" t="str">
        <f>IFERROR(PA[[#This Row],[Breakdown Time]]*PA[[#This Row],[Plant Equivalent Weightage]],"")</f>
        <v/>
      </c>
      <c r="AK446" s="38"/>
      <c r="AL446" s="51" t="str">
        <f>IFERROR((_xlfn.XLOOKUP($G446,'Modelling New'!D:D,'Modelling New'!$O:$O)*PA[[#This Row],[Lost PoA(kWh/m2)]]*PA[[#This Row],[DC Capacity Affected (kW)]]),"")</f>
        <v/>
      </c>
      <c r="AM446" s="37"/>
      <c r="AN446" s="37"/>
      <c r="AO446" s="37"/>
      <c r="AP446" s="37"/>
    </row>
    <row r="447" spans="1:42">
      <c r="A447" s="30">
        <f t="shared" si="4"/>
        <v>446</v>
      </c>
      <c r="B447" s="165"/>
      <c r="C447" s="212">
        <f>YEAR(PA[[#This Row],[Date]])+IF(MONTH(PA[[#This Row],[Date]])&gt;=4,1,0)</f>
        <v>1900</v>
      </c>
      <c r="D447" s="211">
        <f>YEAR(PA[[#This Row],[Date]])</f>
        <v>1900</v>
      </c>
      <c r="E447" s="37" t="s">
        <v>157</v>
      </c>
      <c r="F447" s="37" t="s">
        <v>157</v>
      </c>
      <c r="G447" s="214">
        <f>PA[[#This Row],[Date]]-DAY(PA[[#This Row],[Date]])+1</f>
        <v>1</v>
      </c>
      <c r="H447" s="32">
        <f>DAY(EOMONTH(PA[[#This Row],[Month Year]],0))</f>
        <v>31</v>
      </c>
      <c r="I447" s="34"/>
      <c r="J447" s="34"/>
      <c r="K447" s="35">
        <f>IFERROR((PA[[#This Row],[Sunset Time (POA&lt;20 W/m2)]]-PA[[#This Row],[Sunrise Time (POA&gt;20 W/m2)]])*24,"")</f>
        <v>0</v>
      </c>
      <c r="L447" s="33"/>
      <c r="M447" s="33"/>
      <c r="N447" s="33"/>
      <c r="O447" s="36"/>
      <c r="P447" s="36"/>
      <c r="Q447" s="33"/>
      <c r="R447" s="32">
        <f>IF((PA[[#This Row],[String Type(If String BD)]]&amp;PA[[#This Row],[Equipment (If any BD other than PV  array and inv)]])="",1,0)</f>
        <v>1</v>
      </c>
      <c r="S447" s="32">
        <f>IF(PA[[#This Row],[String Type(If String BD)]]="",1,0)</f>
        <v>1</v>
      </c>
      <c r="T447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7" s="35" t="str">
        <f>IFERROR(_xlfn.XLOOKUP(PA[[#This Row],[Affected Equipment ]],'Basic Data'!N:N,'Basic Data'!Q:Q),"")</f>
        <v/>
      </c>
      <c r="V447" s="207" t="str">
        <f>IFERROR(_xlfn.XLOOKUP(PA[[#This Row],[Affected Equipment ]],'Basic Data'!N:N,'Basic Data'!R:R),"")</f>
        <v/>
      </c>
      <c r="W447" s="38"/>
      <c r="X447" s="40"/>
      <c r="Y447" s="40"/>
      <c r="Z447" s="46"/>
      <c r="AA447" s="46"/>
      <c r="AB447" s="46"/>
      <c r="AC447" s="46"/>
      <c r="AD447" s="44">
        <f>IF(PA[[#This Row],[Acknowledgement Time ]]="NA","",(PA[[#This Row],[Acknowledgement Time ]]-PA[[#This Row],[Fault Time]])*24)</f>
        <v>0</v>
      </c>
      <c r="AE447" s="44">
        <f>IF(PA[[#This Row],[Work Start time on Fault]]="NA","",(PA[[#This Row],[Work Start time on Fault]]-PA[[#This Row],[Fault Time]])*24)</f>
        <v>0</v>
      </c>
      <c r="AF447" s="45">
        <f>IF(PA[[#This Row],[Status]]="Open","",(PA[[#This Row],[Work Completion time on fault]]-PA[[#This Row],[Fault Time]])*24)</f>
        <v>0</v>
      </c>
      <c r="AG447" s="44">
        <f>IFERROR((PA[[#This Row],[Work Completion time on fault]]-PA[[#This Row],[Fault Time]])*24,"")</f>
        <v>0</v>
      </c>
      <c r="AH447" s="36"/>
      <c r="AI447" s="33"/>
      <c r="AJ447" s="35" t="str">
        <f>IFERROR(PA[[#This Row],[Breakdown Time]]*PA[[#This Row],[Plant Equivalent Weightage]],"")</f>
        <v/>
      </c>
      <c r="AK447" s="36"/>
      <c r="AL447" s="51" t="str">
        <f>IFERROR((_xlfn.XLOOKUP($G447,'Modelling New'!D:D,'Modelling New'!$O:$O)*PA[[#This Row],[Lost PoA(kWh/m2)]]*PA[[#This Row],[DC Capacity Affected (kW)]]),"")</f>
        <v/>
      </c>
      <c r="AM447" s="33"/>
      <c r="AN447" s="33"/>
      <c r="AO447" s="33"/>
      <c r="AP447" s="33"/>
    </row>
    <row r="448" spans="1:42">
      <c r="A448" s="30">
        <f t="shared" si="4"/>
        <v>447</v>
      </c>
      <c r="B448" s="165"/>
      <c r="C448" s="211">
        <f>YEAR(PA[[#This Row],[Date]])+IF(MONTH(PA[[#This Row],[Date]])&gt;=4,1,0)</f>
        <v>1900</v>
      </c>
      <c r="D448" s="211">
        <f>YEAR(PA[[#This Row],[Date]])</f>
        <v>1900</v>
      </c>
      <c r="E448" s="37" t="s">
        <v>157</v>
      </c>
      <c r="F448" s="37" t="s">
        <v>157</v>
      </c>
      <c r="G448" s="214">
        <f>PA[[#This Row],[Date]]-DAY(PA[[#This Row],[Date]])+1</f>
        <v>1</v>
      </c>
      <c r="H448" s="202">
        <f>DAY(EOMONTH(PA[[#This Row],[Month Year]],0))</f>
        <v>31</v>
      </c>
      <c r="I448" s="34"/>
      <c r="J448" s="34"/>
      <c r="K448" s="35">
        <f>IFERROR((PA[[#This Row],[Sunset Time (POA&lt;20 W/m2)]]-PA[[#This Row],[Sunrise Time (POA&gt;20 W/m2)]])*24,"")</f>
        <v>0</v>
      </c>
      <c r="L448" s="37"/>
      <c r="M448" s="37"/>
      <c r="N448" s="33"/>
      <c r="O448" s="38"/>
      <c r="P448" s="38"/>
      <c r="Q448" s="37"/>
      <c r="R448" s="202">
        <f>IF((PA[[#This Row],[String Type(If String BD)]]&amp;PA[[#This Row],[Equipment (If any BD other than PV  array and inv)]])="",1,0)</f>
        <v>1</v>
      </c>
      <c r="S448" s="202">
        <f>IF(PA[[#This Row],[String Type(If String BD)]]="",1,0)</f>
        <v>1</v>
      </c>
      <c r="T44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8" s="204" t="str">
        <f>IFERROR(_xlfn.XLOOKUP(PA[[#This Row],[Affected Equipment ]],'Basic Data'!N:N,'Basic Data'!Q:Q),"")</f>
        <v/>
      </c>
      <c r="V448" s="208" t="str">
        <f>IFERROR(_xlfn.XLOOKUP(PA[[#This Row],[Affected Equipment ]],'Basic Data'!N:N,'Basic Data'!R:R),"")</f>
        <v/>
      </c>
      <c r="W448" s="38"/>
      <c r="X448" s="41"/>
      <c r="Y448" s="40"/>
      <c r="Z448" s="46"/>
      <c r="AA448" s="46"/>
      <c r="AB448" s="46"/>
      <c r="AC448" s="47"/>
      <c r="AD448" s="205">
        <f>IF(PA[[#This Row],[Acknowledgement Time ]]="NA","",(PA[[#This Row],[Acknowledgement Time ]]-PA[[#This Row],[Fault Time]])*24)</f>
        <v>0</v>
      </c>
      <c r="AE448" s="205">
        <f>IF(PA[[#This Row],[Work Start time on Fault]]="NA","",(PA[[#This Row],[Work Start time on Fault]]-PA[[#This Row],[Fault Time]])*24)</f>
        <v>0</v>
      </c>
      <c r="AF448" s="206">
        <f>IF(PA[[#This Row],[Status]]="Open","",(PA[[#This Row],[Work Completion time on fault]]-PA[[#This Row],[Fault Time]])*24)</f>
        <v>0</v>
      </c>
      <c r="AG448" s="205">
        <f>IFERROR((PA[[#This Row],[Work Completion time on fault]]-PA[[#This Row],[Fault Time]])*24,"")</f>
        <v>0</v>
      </c>
      <c r="AH448" s="36"/>
      <c r="AI448" s="33"/>
      <c r="AJ448" s="204" t="str">
        <f>IFERROR(PA[[#This Row],[Breakdown Time]]*PA[[#This Row],[Plant Equivalent Weightage]],"")</f>
        <v/>
      </c>
      <c r="AK448" s="38"/>
      <c r="AL448" s="51" t="str">
        <f>IFERROR((_xlfn.XLOOKUP($G448,'Modelling New'!D:D,'Modelling New'!$O:$O)*PA[[#This Row],[Lost PoA(kWh/m2)]]*PA[[#This Row],[DC Capacity Affected (kW)]]),"")</f>
        <v/>
      </c>
      <c r="AM448" s="33"/>
      <c r="AN448" s="33"/>
      <c r="AO448" s="33"/>
      <c r="AP448" s="33"/>
    </row>
    <row r="449" spans="1:42">
      <c r="A449" s="30">
        <f t="shared" si="4"/>
        <v>448</v>
      </c>
      <c r="B449" s="165"/>
      <c r="C449" s="211">
        <f>YEAR(PA[[#This Row],[Date]])+IF(MONTH(PA[[#This Row],[Date]])&gt;=4,1,0)</f>
        <v>1900</v>
      </c>
      <c r="D449" s="211">
        <f>YEAR(PA[[#This Row],[Date]])</f>
        <v>1900</v>
      </c>
      <c r="E449" s="37" t="s">
        <v>157</v>
      </c>
      <c r="F449" s="37" t="s">
        <v>157</v>
      </c>
      <c r="G449" s="214">
        <f>PA[[#This Row],[Date]]-DAY(PA[[#This Row],[Date]])+1</f>
        <v>1</v>
      </c>
      <c r="H449" s="202">
        <f>DAY(EOMONTH(PA[[#This Row],[Month Year]],0))</f>
        <v>31</v>
      </c>
      <c r="I449" s="34"/>
      <c r="J449" s="34"/>
      <c r="K449" s="35">
        <f>IFERROR((PA[[#This Row],[Sunset Time (POA&lt;20 W/m2)]]-PA[[#This Row],[Sunrise Time (POA&gt;20 W/m2)]])*24,"")</f>
        <v>0</v>
      </c>
      <c r="L449" s="37"/>
      <c r="M449" s="37"/>
      <c r="N449" s="37"/>
      <c r="O449" s="38"/>
      <c r="P449" s="38"/>
      <c r="Q449" s="37"/>
      <c r="R449" s="202">
        <f>IF((PA[[#This Row],[String Type(If String BD)]]&amp;PA[[#This Row],[Equipment (If any BD other than PV  array and inv)]])="",1,0)</f>
        <v>1</v>
      </c>
      <c r="S449" s="202">
        <f>IF(PA[[#This Row],[String Type(If String BD)]]="",1,0)</f>
        <v>1</v>
      </c>
      <c r="T44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49" s="204" t="str">
        <f>IFERROR(_xlfn.XLOOKUP(PA[[#This Row],[Affected Equipment ]],'Basic Data'!N:N,'Basic Data'!Q:Q),"")</f>
        <v/>
      </c>
      <c r="V449" s="208" t="str">
        <f>IFERROR(_xlfn.XLOOKUP(PA[[#This Row],[Affected Equipment ]],'Basic Data'!N:N,'Basic Data'!R:R),"")</f>
        <v/>
      </c>
      <c r="W449" s="38"/>
      <c r="X449" s="41"/>
      <c r="Y449" s="40"/>
      <c r="Z449" s="47"/>
      <c r="AA449" s="47"/>
      <c r="AB449" s="47"/>
      <c r="AC449" s="47"/>
      <c r="AD449" s="205">
        <f>IF(PA[[#This Row],[Acknowledgement Time ]]="NA","",(PA[[#This Row],[Acknowledgement Time ]]-PA[[#This Row],[Fault Time]])*24)</f>
        <v>0</v>
      </c>
      <c r="AE449" s="205">
        <f>IF(PA[[#This Row],[Work Start time on Fault]]="NA","",(PA[[#This Row],[Work Start time on Fault]]-PA[[#This Row],[Fault Time]])*24)</f>
        <v>0</v>
      </c>
      <c r="AF449" s="206">
        <f>IF(PA[[#This Row],[Status]]="Open","",(PA[[#This Row],[Work Completion time on fault]]-PA[[#This Row],[Fault Time]])*24)</f>
        <v>0</v>
      </c>
      <c r="AG449" s="205">
        <f>IFERROR((PA[[#This Row],[Work Completion time on fault]]-PA[[#This Row],[Fault Time]])*24,"")</f>
        <v>0</v>
      </c>
      <c r="AH449" s="38"/>
      <c r="AI449" s="33"/>
      <c r="AJ449" s="204" t="str">
        <f>IFERROR(PA[[#This Row],[Breakdown Time]]*PA[[#This Row],[Plant Equivalent Weightage]],"")</f>
        <v/>
      </c>
      <c r="AK449" s="38"/>
      <c r="AL449" s="51" t="str">
        <f>IFERROR((_xlfn.XLOOKUP($G449,'Modelling New'!D:D,'Modelling New'!$O:$O)*PA[[#This Row],[Lost PoA(kWh/m2)]]*PA[[#This Row],[DC Capacity Affected (kW)]]),"")</f>
        <v/>
      </c>
      <c r="AM449" s="33"/>
      <c r="AN449" s="33"/>
      <c r="AO449" s="33"/>
      <c r="AP449" s="33"/>
    </row>
    <row r="450" spans="1:42">
      <c r="A450" s="30">
        <f t="shared" si="4"/>
        <v>449</v>
      </c>
      <c r="B450" s="165"/>
      <c r="C450" s="211">
        <f>YEAR(PA[[#This Row],[Date]])+IF(MONTH(PA[[#This Row],[Date]])&gt;=4,1,0)</f>
        <v>1900</v>
      </c>
      <c r="D450" s="211">
        <f>YEAR(PA[[#This Row],[Date]])</f>
        <v>1900</v>
      </c>
      <c r="E450" s="37" t="s">
        <v>157</v>
      </c>
      <c r="F450" s="37" t="s">
        <v>157</v>
      </c>
      <c r="G450" s="214">
        <f>PA[[#This Row],[Date]]-DAY(PA[[#This Row],[Date]])+1</f>
        <v>1</v>
      </c>
      <c r="H450" s="202">
        <f>DAY(EOMONTH(PA[[#This Row],[Month Year]],0))</f>
        <v>31</v>
      </c>
      <c r="I450" s="203"/>
      <c r="J450" s="203"/>
      <c r="K450" s="35">
        <f>IFERROR((PA[[#This Row],[Sunset Time (POA&lt;20 W/m2)]]-PA[[#This Row],[Sunrise Time (POA&gt;20 W/m2)]])*24,"")</f>
        <v>0</v>
      </c>
      <c r="L450" s="33"/>
      <c r="M450" s="33"/>
      <c r="N450" s="33"/>
      <c r="O450" s="38"/>
      <c r="P450" s="38"/>
      <c r="Q450" s="37"/>
      <c r="R450" s="202">
        <f>IF((PA[[#This Row],[String Type(If String BD)]]&amp;PA[[#This Row],[Equipment (If any BD other than PV  array and inv)]])="",1,0)</f>
        <v>1</v>
      </c>
      <c r="S450" s="202">
        <f>IF(PA[[#This Row],[String Type(If String BD)]]="",1,0)</f>
        <v>1</v>
      </c>
      <c r="T45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0" s="204" t="str">
        <f>IFERROR(_xlfn.XLOOKUP(PA[[#This Row],[Affected Equipment ]],'Basic Data'!N:N,'Basic Data'!Q:Q),"")</f>
        <v/>
      </c>
      <c r="V450" s="208" t="str">
        <f>IFERROR(_xlfn.XLOOKUP(PA[[#This Row],[Affected Equipment ]],'Basic Data'!N:N,'Basic Data'!R:R),"")</f>
        <v/>
      </c>
      <c r="W450" s="38"/>
      <c r="X450" s="40"/>
      <c r="Y450" s="40"/>
      <c r="Z450" s="47"/>
      <c r="AA450" s="48"/>
      <c r="AB450" s="49"/>
      <c r="AC450" s="47"/>
      <c r="AD450" s="205">
        <f>IF(PA[[#This Row],[Acknowledgement Time ]]="NA","",(PA[[#This Row],[Acknowledgement Time ]]-PA[[#This Row],[Fault Time]])*24)</f>
        <v>0</v>
      </c>
      <c r="AE450" s="205">
        <f>IF(PA[[#This Row],[Work Start time on Fault]]="NA","",(PA[[#This Row],[Work Start time on Fault]]-PA[[#This Row],[Fault Time]])*24)</f>
        <v>0</v>
      </c>
      <c r="AF450" s="206">
        <f>IF(PA[[#This Row],[Status]]="Open","",(PA[[#This Row],[Work Completion time on fault]]-PA[[#This Row],[Fault Time]])*24)</f>
        <v>0</v>
      </c>
      <c r="AG450" s="205">
        <f>IFERROR((PA[[#This Row],[Work Completion time on fault]]-PA[[#This Row],[Fault Time]])*24,"")</f>
        <v>0</v>
      </c>
      <c r="AH450" s="38"/>
      <c r="AI450" s="33"/>
      <c r="AJ450" s="204" t="str">
        <f>IFERROR(PA[[#This Row],[Breakdown Time]]*PA[[#This Row],[Plant Equivalent Weightage]],"")</f>
        <v/>
      </c>
      <c r="AK450" s="38"/>
      <c r="AL450" s="51" t="str">
        <f>IFERROR((_xlfn.XLOOKUP($G450,'Modelling New'!D:D,'Modelling New'!$O:$O)*PA[[#This Row],[Lost PoA(kWh/m2)]]*PA[[#This Row],[DC Capacity Affected (kW)]]),"")</f>
        <v/>
      </c>
      <c r="AM450" s="33"/>
      <c r="AN450" s="33"/>
      <c r="AO450" s="33"/>
      <c r="AP450" s="33"/>
    </row>
    <row r="451" spans="1:42">
      <c r="A451" s="30">
        <f t="shared" si="4"/>
        <v>450</v>
      </c>
      <c r="B451" s="31"/>
      <c r="C451" s="212">
        <f>YEAR(PA[[#This Row],[Date]])+IF(MONTH(PA[[#This Row],[Date]])&gt;=4,1,0)</f>
        <v>1900</v>
      </c>
      <c r="D451" s="33">
        <f>YEAR(PA[[#This Row],[Date]])</f>
        <v>1900</v>
      </c>
      <c r="E451" s="33" t="s">
        <v>157</v>
      </c>
      <c r="F451" s="33" t="s">
        <v>157</v>
      </c>
      <c r="G451" s="213">
        <f>PA[[#This Row],[Date]]-DAY(PA[[#This Row],[Date]])+1</f>
        <v>1</v>
      </c>
      <c r="H451" s="32">
        <f>DAY(EOMONTH(PA[[#This Row],[Month Year]],0))</f>
        <v>31</v>
      </c>
      <c r="I451" s="34"/>
      <c r="J451" s="34"/>
      <c r="K451" s="35">
        <f>IFERROR((PA[[#This Row],[Sunset Time (POA&lt;20 W/m2)]]-PA[[#This Row],[Sunrise Time (POA&gt;20 W/m2)]])*24,"")</f>
        <v>0</v>
      </c>
      <c r="L451" s="33"/>
      <c r="M451" s="33"/>
      <c r="N451" s="33"/>
      <c r="O451" s="36"/>
      <c r="P451" s="36"/>
      <c r="Q451" s="33"/>
      <c r="R451" s="32">
        <f>IF((PA[[#This Row],[String Type(If String BD)]]&amp;PA[[#This Row],[Equipment (If any BD other than PV  array and inv)]])="",1,0)</f>
        <v>1</v>
      </c>
      <c r="S451" s="32">
        <f>IF(PA[[#This Row],[String Type(If String BD)]]="",1,0)</f>
        <v>1</v>
      </c>
      <c r="T451" s="3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1" s="35" t="str">
        <f>IFERROR(_xlfn.XLOOKUP(PA[[#This Row],[Affected Equipment ]],'Basic Data'!N:N,'Basic Data'!Q:Q),"")</f>
        <v/>
      </c>
      <c r="V451" s="207" t="str">
        <f>IFERROR(_xlfn.XLOOKUP(PA[[#This Row],[Affected Equipment ]],'Basic Data'!N:N,'Basic Data'!R:R),"")</f>
        <v/>
      </c>
      <c r="W451" s="36"/>
      <c r="X451" s="40"/>
      <c r="Y451" s="40"/>
      <c r="Z451" s="46"/>
      <c r="AA451" s="42"/>
      <c r="AB451" s="43"/>
      <c r="AC451" s="46"/>
      <c r="AD451" s="44">
        <f>IF(PA[[#This Row],[Acknowledgement Time ]]="NA","",(PA[[#This Row],[Acknowledgement Time ]]-PA[[#This Row],[Fault Time]])*24)</f>
        <v>0</v>
      </c>
      <c r="AE451" s="44">
        <f>IF(PA[[#This Row],[Work Start time on Fault]]="NA","",(PA[[#This Row],[Work Start time on Fault]]-PA[[#This Row],[Fault Time]])*24)</f>
        <v>0</v>
      </c>
      <c r="AF451" s="45">
        <f>IF(PA[[#This Row],[Status]]="Open","",(PA[[#This Row],[Work Completion time on fault]]-PA[[#This Row],[Fault Time]])*24)</f>
        <v>0</v>
      </c>
      <c r="AG451" s="44">
        <f>IFERROR((PA[[#This Row],[Work Completion time on fault]]-PA[[#This Row],[Fault Time]])*24,"")</f>
        <v>0</v>
      </c>
      <c r="AH451" s="36"/>
      <c r="AI451" s="33"/>
      <c r="AJ451" s="35" t="str">
        <f>IFERROR(PA[[#This Row],[Breakdown Time]]*PA[[#This Row],[Plant Equivalent Weightage]],"")</f>
        <v/>
      </c>
      <c r="AK451" s="36"/>
      <c r="AL451" s="51" t="str">
        <f>IFERROR((_xlfn.XLOOKUP($G451,'Modelling New'!D:D,'Modelling New'!$O:$O)*PA[[#This Row],[Lost PoA(kWh/m2)]]*PA[[#This Row],[DC Capacity Affected (kW)]]),"")</f>
        <v/>
      </c>
      <c r="AM451" s="33"/>
      <c r="AN451" s="33"/>
      <c r="AO451" s="33"/>
      <c r="AP451" s="33"/>
    </row>
    <row r="452" spans="1:42">
      <c r="A452" s="30">
        <f t="shared" si="4"/>
        <v>451</v>
      </c>
      <c r="B452" s="31"/>
      <c r="C452" s="32">
        <f>YEAR(PA[[#This Row],[Date]])+IF(MONTH(PA[[#This Row],[Date]])&gt;=4,1,0)</f>
        <v>1900</v>
      </c>
      <c r="D452" s="202">
        <f>YEAR(PA[[#This Row],[Date]])</f>
        <v>1900</v>
      </c>
      <c r="E452" s="33" t="s">
        <v>157</v>
      </c>
      <c r="F452" s="33" t="s">
        <v>157</v>
      </c>
      <c r="G452" s="194">
        <f>PA[[#This Row],[Date]]-DAY(PA[[#This Row],[Date]])+1</f>
        <v>1</v>
      </c>
      <c r="H452" s="202">
        <f>DAY(EOMONTH(PA[[#This Row],[Month Year]],0))</f>
        <v>31</v>
      </c>
      <c r="I452" s="302"/>
      <c r="J452" s="302"/>
      <c r="K452" s="35">
        <f>IFERROR((PA[[#This Row],[Sunset Time (POA&lt;20 W/m2)]]-PA[[#This Row],[Sunrise Time (POA&gt;20 W/m2)]])*24,"")</f>
        <v>0</v>
      </c>
      <c r="L452" s="33"/>
      <c r="M452" s="33"/>
      <c r="N452" s="33"/>
      <c r="O452" s="36"/>
      <c r="P452" s="36"/>
      <c r="Q452" s="37"/>
      <c r="R452" s="202">
        <f>IF((PA[[#This Row],[String Type(If String BD)]]&amp;PA[[#This Row],[Equipment (If any BD other than PV  array and inv)]])="",1,0)</f>
        <v>1</v>
      </c>
      <c r="S452" s="202">
        <f>IF(PA[[#This Row],[String Type(If String BD)]]="",1,0)</f>
        <v>1</v>
      </c>
      <c r="T45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2" s="204" t="str">
        <f>IFERROR(_xlfn.XLOOKUP(PA[[#This Row],[Affected Equipment ]],'Basic Data'!N:N,'Basic Data'!Q:Q),"")</f>
        <v/>
      </c>
      <c r="V452" s="208" t="str">
        <f>IFERROR(_xlfn.XLOOKUP(PA[[#This Row],[Affected Equipment ]],'Basic Data'!N:N,'Basic Data'!R:R),"")</f>
        <v/>
      </c>
      <c r="W452" s="36"/>
      <c r="X452" s="41"/>
      <c r="Y452" s="41"/>
      <c r="Z452" s="42"/>
      <c r="AA452" s="42"/>
      <c r="AB452" s="42"/>
      <c r="AC452" s="42"/>
      <c r="AD452" s="205">
        <f>IF(PA[[#This Row],[Acknowledgement Time ]]="NA","",(PA[[#This Row],[Acknowledgement Time ]]-PA[[#This Row],[Fault Time]])*24)</f>
        <v>0</v>
      </c>
      <c r="AE452" s="205">
        <f>IF(PA[[#This Row],[Work Start time on Fault]]="NA","",(PA[[#This Row],[Work Start time on Fault]]-PA[[#This Row],[Fault Time]])*24)</f>
        <v>0</v>
      </c>
      <c r="AF452" s="206">
        <f>IF(PA[[#This Row],[Status]]="Open","",(PA[[#This Row],[Work Completion time on fault]]-PA[[#This Row],[Fault Time]])*24)</f>
        <v>0</v>
      </c>
      <c r="AG452" s="205">
        <f>IFERROR((PA[[#This Row],[Work Completion time on fault]]-PA[[#This Row],[Fault Time]])*24,"")</f>
        <v>0</v>
      </c>
      <c r="AH452" s="36"/>
      <c r="AI452" s="33"/>
      <c r="AJ452" s="35" t="str">
        <f>IFERROR(PA[[#This Row],[Breakdown Time]]*PA[[#This Row],[Plant Equivalent Weightage]],"")</f>
        <v/>
      </c>
      <c r="AK452" s="36"/>
      <c r="AL452" s="51" t="str">
        <f>IFERROR((_xlfn.XLOOKUP($G452,'Modelling New'!D:D,'Modelling New'!$O:$O)*PA[[#This Row],[Lost PoA(kWh/m2)]]*PA[[#This Row],[DC Capacity Affected (kW)]]),"")</f>
        <v/>
      </c>
      <c r="AM452" s="37"/>
      <c r="AN452" s="37"/>
      <c r="AO452" s="37"/>
      <c r="AP452" s="37"/>
    </row>
    <row r="453" spans="1:42">
      <c r="A453" s="30">
        <f t="shared" si="4"/>
        <v>452</v>
      </c>
      <c r="B453" s="31"/>
      <c r="C453" s="32">
        <f>YEAR(PA[[#This Row],[Date]])+IF(MONTH(PA[[#This Row],[Date]])&gt;=4,1,0)</f>
        <v>1900</v>
      </c>
      <c r="D453" s="202">
        <f>YEAR(PA[[#This Row],[Date]])</f>
        <v>1900</v>
      </c>
      <c r="E453" s="33" t="s">
        <v>157</v>
      </c>
      <c r="F453" s="33" t="s">
        <v>157</v>
      </c>
      <c r="G453" s="194">
        <f>PA[[#This Row],[Date]]-DAY(PA[[#This Row],[Date]])+1</f>
        <v>1</v>
      </c>
      <c r="H453" s="202">
        <f>DAY(EOMONTH(PA[[#This Row],[Month Year]],0))</f>
        <v>31</v>
      </c>
      <c r="I453" s="302"/>
      <c r="J453" s="302"/>
      <c r="K453" s="35">
        <f>IFERROR((PA[[#This Row],[Sunset Time (POA&lt;20 W/m2)]]-PA[[#This Row],[Sunrise Time (POA&gt;20 W/m2)]])*24,"")</f>
        <v>0</v>
      </c>
      <c r="L453" s="33"/>
      <c r="M453" s="33"/>
      <c r="N453" s="33"/>
      <c r="O453" s="36"/>
      <c r="P453" s="36"/>
      <c r="Q453" s="37"/>
      <c r="R453" s="202">
        <f>IF((PA[[#This Row],[String Type(If String BD)]]&amp;PA[[#This Row],[Equipment (If any BD other than PV  array and inv)]])="",1,0)</f>
        <v>1</v>
      </c>
      <c r="S453" s="202">
        <f>IF(PA[[#This Row],[String Type(If String BD)]]="",1,0)</f>
        <v>1</v>
      </c>
      <c r="T45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3" s="204" t="str">
        <f>IFERROR(_xlfn.XLOOKUP(PA[[#This Row],[Affected Equipment ]],'Basic Data'!N:N,'Basic Data'!Q:Q),"")</f>
        <v/>
      </c>
      <c r="V453" s="208" t="str">
        <f>IFERROR(_xlfn.XLOOKUP(PA[[#This Row],[Affected Equipment ]],'Basic Data'!N:N,'Basic Data'!R:R),"")</f>
        <v/>
      </c>
      <c r="W453" s="36"/>
      <c r="X453" s="41"/>
      <c r="Y453" s="286"/>
      <c r="Z453" s="42"/>
      <c r="AA453" s="42"/>
      <c r="AB453" s="42"/>
      <c r="AC453" s="42"/>
      <c r="AD453" s="205">
        <f>IF(PA[[#This Row],[Acknowledgement Time ]]="NA","",(PA[[#This Row],[Acknowledgement Time ]]-PA[[#This Row],[Fault Time]])*24)</f>
        <v>0</v>
      </c>
      <c r="AE453" s="205">
        <f>IF(PA[[#This Row],[Work Start time on Fault]]="NA","",(PA[[#This Row],[Work Start time on Fault]]-PA[[#This Row],[Fault Time]])*24)</f>
        <v>0</v>
      </c>
      <c r="AF453" s="206">
        <f>IF(PA[[#This Row],[Status]]="Open","",(PA[[#This Row],[Work Completion time on fault]]-PA[[#This Row],[Fault Time]])*24)</f>
        <v>0</v>
      </c>
      <c r="AG453" s="205">
        <f>IFERROR((PA[[#This Row],[Work Completion time on fault]]-PA[[#This Row],[Fault Time]])*24,"")</f>
        <v>0</v>
      </c>
      <c r="AH453" s="36"/>
      <c r="AI453" s="33"/>
      <c r="AJ453" s="204" t="str">
        <f>IFERROR(PA[[#This Row],[Breakdown Time]]*PA[[#This Row],[Plant Equivalent Weightage]],"")</f>
        <v/>
      </c>
      <c r="AK453" s="38"/>
      <c r="AL453" s="280" t="str">
        <f>IFERROR((_xlfn.XLOOKUP($G453,'Modelling New'!D:D,'Modelling New'!$O:$O)*PA[[#This Row],[Lost PoA(kWh/m2)]]*PA[[#This Row],[DC Capacity Affected (kW)]]),"")</f>
        <v/>
      </c>
      <c r="AM453" s="37"/>
      <c r="AN453" s="37"/>
      <c r="AO453" s="37"/>
      <c r="AP453" s="37"/>
    </row>
    <row r="454" spans="1:42">
      <c r="A454" s="30">
        <f t="shared" si="4"/>
        <v>453</v>
      </c>
      <c r="B454" s="31"/>
      <c r="C454" s="32">
        <f>YEAR(PA[[#This Row],[Date]])+IF(MONTH(PA[[#This Row],[Date]])&gt;=4,1,0)</f>
        <v>1900</v>
      </c>
      <c r="D454" s="202">
        <f>YEAR(PA[[#This Row],[Date]])</f>
        <v>1900</v>
      </c>
      <c r="E454" s="33" t="s">
        <v>157</v>
      </c>
      <c r="F454" s="33" t="s">
        <v>157</v>
      </c>
      <c r="G454" s="194">
        <f>PA[[#This Row],[Date]]-DAY(PA[[#This Row],[Date]])+1</f>
        <v>1</v>
      </c>
      <c r="H454" s="202">
        <f>DAY(EOMONTH(PA[[#This Row],[Month Year]],0))</f>
        <v>31</v>
      </c>
      <c r="I454" s="302"/>
      <c r="J454" s="302"/>
      <c r="K454" s="35">
        <f>IFERROR((PA[[#This Row],[Sunset Time (POA&lt;20 W/m2)]]-PA[[#This Row],[Sunrise Time (POA&gt;20 W/m2)]])*24,"")</f>
        <v>0</v>
      </c>
      <c r="L454" s="33"/>
      <c r="M454" s="33"/>
      <c r="N454" s="33"/>
      <c r="O454" s="36"/>
      <c r="P454" s="36"/>
      <c r="Q454" s="37"/>
      <c r="R454" s="202">
        <f>IF((PA[[#This Row],[String Type(If String BD)]]&amp;PA[[#This Row],[Equipment (If any BD other than PV  array and inv)]])="",1,0)</f>
        <v>1</v>
      </c>
      <c r="S454" s="202">
        <f>IF(PA[[#This Row],[String Type(If String BD)]]="",1,0)</f>
        <v>1</v>
      </c>
      <c r="T45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4" s="204" t="str">
        <f>IFERROR(_xlfn.XLOOKUP(PA[[#This Row],[Affected Equipment ]],'Basic Data'!N:N,'Basic Data'!Q:Q),"")</f>
        <v/>
      </c>
      <c r="V454" s="208" t="str">
        <f>IFERROR(_xlfn.XLOOKUP(PA[[#This Row],[Affected Equipment ]],'Basic Data'!N:N,'Basic Data'!R:R),"")</f>
        <v/>
      </c>
      <c r="W454" s="36"/>
      <c r="X454" s="41"/>
      <c r="Y454" s="286"/>
      <c r="Z454" s="42"/>
      <c r="AA454" s="42"/>
      <c r="AB454" s="42"/>
      <c r="AC454" s="42"/>
      <c r="AD454" s="205">
        <f>IF(PA[[#This Row],[Acknowledgement Time ]]="NA","",(PA[[#This Row],[Acknowledgement Time ]]-PA[[#This Row],[Fault Time]])*24)</f>
        <v>0</v>
      </c>
      <c r="AE454" s="205">
        <f>IF(PA[[#This Row],[Work Start time on Fault]]="NA","",(PA[[#This Row],[Work Start time on Fault]]-PA[[#This Row],[Fault Time]])*24)</f>
        <v>0</v>
      </c>
      <c r="AF454" s="206">
        <f>IF(PA[[#This Row],[Status]]="Open","",(PA[[#This Row],[Work Completion time on fault]]-PA[[#This Row],[Fault Time]])*24)</f>
        <v>0</v>
      </c>
      <c r="AG454" s="205">
        <f>IFERROR((PA[[#This Row],[Work Completion time on fault]]-PA[[#This Row],[Fault Time]])*24,"")</f>
        <v>0</v>
      </c>
      <c r="AH454" s="36"/>
      <c r="AI454" s="33"/>
      <c r="AJ454" s="204" t="str">
        <f>IFERROR(PA[[#This Row],[Breakdown Time]]*PA[[#This Row],[Plant Equivalent Weightage]],"")</f>
        <v/>
      </c>
      <c r="AK454" s="38"/>
      <c r="AL454" s="280" t="str">
        <f>IFERROR((_xlfn.XLOOKUP($G454,'Modelling New'!D:D,'Modelling New'!$O:$O)*PA[[#This Row],[Lost PoA(kWh/m2)]]*PA[[#This Row],[DC Capacity Affected (kW)]]),"")</f>
        <v/>
      </c>
      <c r="AM454" s="37"/>
      <c r="AN454" s="37"/>
      <c r="AO454" s="37"/>
      <c r="AP454" s="37"/>
    </row>
    <row r="455" spans="1:42">
      <c r="A455" s="30">
        <f t="shared" si="4"/>
        <v>454</v>
      </c>
      <c r="B455" s="31"/>
      <c r="C455" s="32">
        <f>YEAR(PA[[#This Row],[Date]])+IF(MONTH(PA[[#This Row],[Date]])&gt;=4,1,0)</f>
        <v>1900</v>
      </c>
      <c r="D455" s="202">
        <f>YEAR(PA[[#This Row],[Date]])</f>
        <v>1900</v>
      </c>
      <c r="E455" s="33" t="s">
        <v>157</v>
      </c>
      <c r="F455" s="33" t="s">
        <v>157</v>
      </c>
      <c r="G455" s="194">
        <f>PA[[#This Row],[Date]]-DAY(PA[[#This Row],[Date]])+1</f>
        <v>1</v>
      </c>
      <c r="H455" s="202">
        <f>DAY(EOMONTH(PA[[#This Row],[Month Year]],0))</f>
        <v>31</v>
      </c>
      <c r="I455" s="302"/>
      <c r="J455" s="302"/>
      <c r="K455" s="35">
        <f>IFERROR((PA[[#This Row],[Sunset Time (POA&lt;20 W/m2)]]-PA[[#This Row],[Sunrise Time (POA&gt;20 W/m2)]])*24,"")</f>
        <v>0</v>
      </c>
      <c r="L455" s="33"/>
      <c r="M455" s="33"/>
      <c r="N455" s="33"/>
      <c r="O455" s="36"/>
      <c r="P455" s="36"/>
      <c r="Q455" s="37"/>
      <c r="R455" s="202">
        <f>IF((PA[[#This Row],[String Type(If String BD)]]&amp;PA[[#This Row],[Equipment (If any BD other than PV  array and inv)]])="",1,0)</f>
        <v>1</v>
      </c>
      <c r="S455" s="202">
        <f>IF(PA[[#This Row],[String Type(If String BD)]]="",1,0)</f>
        <v>1</v>
      </c>
      <c r="T45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5" s="204" t="str">
        <f>IFERROR(_xlfn.XLOOKUP(PA[[#This Row],[Affected Equipment ]],'Basic Data'!N:N,'Basic Data'!Q:Q),"")</f>
        <v/>
      </c>
      <c r="V455" s="208" t="str">
        <f>IFERROR(_xlfn.XLOOKUP(PA[[#This Row],[Affected Equipment ]],'Basic Data'!N:N,'Basic Data'!R:R),"")</f>
        <v/>
      </c>
      <c r="W455" s="36"/>
      <c r="X455" s="41"/>
      <c r="Y455" s="286"/>
      <c r="Z455" s="42"/>
      <c r="AA455" s="42"/>
      <c r="AB455" s="42"/>
      <c r="AC455" s="42"/>
      <c r="AD455" s="205">
        <f>IF(PA[[#This Row],[Acknowledgement Time ]]="NA","",(PA[[#This Row],[Acknowledgement Time ]]-PA[[#This Row],[Fault Time]])*24)</f>
        <v>0</v>
      </c>
      <c r="AE455" s="205">
        <f>IF(PA[[#This Row],[Work Start time on Fault]]="NA","",(PA[[#This Row],[Work Start time on Fault]]-PA[[#This Row],[Fault Time]])*24)</f>
        <v>0</v>
      </c>
      <c r="AF455" s="206">
        <f>IF(PA[[#This Row],[Status]]="Open","",(PA[[#This Row],[Work Completion time on fault]]-PA[[#This Row],[Fault Time]])*24)</f>
        <v>0</v>
      </c>
      <c r="AG455" s="205">
        <f>IFERROR((PA[[#This Row],[Work Completion time on fault]]-PA[[#This Row],[Fault Time]])*24,"")</f>
        <v>0</v>
      </c>
      <c r="AH455" s="36"/>
      <c r="AI455" s="33"/>
      <c r="AJ455" s="204" t="str">
        <f>IFERROR(PA[[#This Row],[Breakdown Time]]*PA[[#This Row],[Plant Equivalent Weightage]],"")</f>
        <v/>
      </c>
      <c r="AK455" s="38"/>
      <c r="AL455" s="280" t="str">
        <f>IFERROR((_xlfn.XLOOKUP($G455,'Modelling New'!D:D,'Modelling New'!$O:$O)*PA[[#This Row],[Lost PoA(kWh/m2)]]*PA[[#This Row],[DC Capacity Affected (kW)]]),"")</f>
        <v/>
      </c>
      <c r="AM455" s="37"/>
      <c r="AN455" s="37"/>
      <c r="AO455" s="37"/>
      <c r="AP455" s="37"/>
    </row>
    <row r="456" spans="1:42">
      <c r="A456" s="30">
        <f t="shared" si="4"/>
        <v>455</v>
      </c>
      <c r="B456" s="31"/>
      <c r="C456" s="32">
        <f>YEAR(PA[[#This Row],[Date]])+IF(MONTH(PA[[#This Row],[Date]])&gt;=4,1,0)</f>
        <v>1900</v>
      </c>
      <c r="D456" s="202">
        <f>YEAR(PA[[#This Row],[Date]])</f>
        <v>1900</v>
      </c>
      <c r="E456" s="33" t="s">
        <v>157</v>
      </c>
      <c r="F456" s="33" t="s">
        <v>157</v>
      </c>
      <c r="G456" s="194">
        <f>PA[[#This Row],[Date]]-DAY(PA[[#This Row],[Date]])+1</f>
        <v>1</v>
      </c>
      <c r="H456" s="202">
        <f>DAY(EOMONTH(PA[[#This Row],[Month Year]],0))</f>
        <v>31</v>
      </c>
      <c r="I456" s="302"/>
      <c r="J456" s="302"/>
      <c r="K456" s="35">
        <f>IFERROR((PA[[#This Row],[Sunset Time (POA&lt;20 W/m2)]]-PA[[#This Row],[Sunrise Time (POA&gt;20 W/m2)]])*24,"")</f>
        <v>0</v>
      </c>
      <c r="L456" s="33"/>
      <c r="M456" s="33"/>
      <c r="N456" s="33"/>
      <c r="O456" s="36"/>
      <c r="P456" s="36"/>
      <c r="Q456" s="37"/>
      <c r="R456" s="202">
        <f>IF((PA[[#This Row],[String Type(If String BD)]]&amp;PA[[#This Row],[Equipment (If any BD other than PV  array and inv)]])="",1,0)</f>
        <v>1</v>
      </c>
      <c r="S456" s="202">
        <f>IF(PA[[#This Row],[String Type(If String BD)]]="",1,0)</f>
        <v>1</v>
      </c>
      <c r="T45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6" s="204" t="str">
        <f>IFERROR(_xlfn.XLOOKUP(PA[[#This Row],[Affected Equipment ]],'Basic Data'!N:N,'Basic Data'!Q:Q),"")</f>
        <v/>
      </c>
      <c r="V456" s="208" t="str">
        <f>IFERROR(_xlfn.XLOOKUP(PA[[#This Row],[Affected Equipment ]],'Basic Data'!N:N,'Basic Data'!R:R),"")</f>
        <v/>
      </c>
      <c r="W456" s="36"/>
      <c r="X456" s="41"/>
      <c r="Y456" s="286"/>
      <c r="Z456" s="42"/>
      <c r="AA456" s="42"/>
      <c r="AB456" s="42"/>
      <c r="AC456" s="42"/>
      <c r="AD456" s="205">
        <f>IF(PA[[#This Row],[Acknowledgement Time ]]="NA","",(PA[[#This Row],[Acknowledgement Time ]]-PA[[#This Row],[Fault Time]])*24)</f>
        <v>0</v>
      </c>
      <c r="AE456" s="205">
        <f>IF(PA[[#This Row],[Work Start time on Fault]]="NA","",(PA[[#This Row],[Work Start time on Fault]]-PA[[#This Row],[Fault Time]])*24)</f>
        <v>0</v>
      </c>
      <c r="AF456" s="206">
        <f>IF(PA[[#This Row],[Status]]="Open","",(PA[[#This Row],[Work Completion time on fault]]-PA[[#This Row],[Fault Time]])*24)</f>
        <v>0</v>
      </c>
      <c r="AG456" s="205">
        <f>IFERROR((PA[[#This Row],[Work Completion time on fault]]-PA[[#This Row],[Fault Time]])*24,"")</f>
        <v>0</v>
      </c>
      <c r="AH456" s="36"/>
      <c r="AI456" s="33"/>
      <c r="AJ456" s="204" t="str">
        <f>IFERROR(PA[[#This Row],[Breakdown Time]]*PA[[#This Row],[Plant Equivalent Weightage]],"")</f>
        <v/>
      </c>
      <c r="AK456" s="38"/>
      <c r="AL456" s="280" t="str">
        <f>IFERROR((_xlfn.XLOOKUP($G456,'Modelling New'!D:D,'Modelling New'!$O:$O)*PA[[#This Row],[Lost PoA(kWh/m2)]]*PA[[#This Row],[DC Capacity Affected (kW)]]),"")</f>
        <v/>
      </c>
      <c r="AM456" s="37"/>
      <c r="AN456" s="37"/>
      <c r="AO456" s="37"/>
      <c r="AP456" s="37"/>
    </row>
    <row r="457" spans="1:42">
      <c r="A457" s="30">
        <f t="shared" si="4"/>
        <v>456</v>
      </c>
      <c r="B457" s="31"/>
      <c r="C457" s="32">
        <f>YEAR(PA[[#This Row],[Date]])+IF(MONTH(PA[[#This Row],[Date]])&gt;=4,1,0)</f>
        <v>1900</v>
      </c>
      <c r="D457" s="202">
        <f>YEAR(PA[[#This Row],[Date]])</f>
        <v>1900</v>
      </c>
      <c r="E457" s="33" t="s">
        <v>157</v>
      </c>
      <c r="F457" s="33" t="s">
        <v>157</v>
      </c>
      <c r="G457" s="194">
        <f>PA[[#This Row],[Date]]-DAY(PA[[#This Row],[Date]])+1</f>
        <v>1</v>
      </c>
      <c r="H457" s="202">
        <f>DAY(EOMONTH(PA[[#This Row],[Month Year]],0))</f>
        <v>31</v>
      </c>
      <c r="I457" s="302"/>
      <c r="J457" s="302"/>
      <c r="K457" s="35">
        <f>IFERROR((PA[[#This Row],[Sunset Time (POA&lt;20 W/m2)]]-PA[[#This Row],[Sunrise Time (POA&gt;20 W/m2)]])*24,"")</f>
        <v>0</v>
      </c>
      <c r="L457" s="33"/>
      <c r="M457" s="33"/>
      <c r="N457" s="33"/>
      <c r="O457" s="36"/>
      <c r="P457" s="36"/>
      <c r="Q457" s="37"/>
      <c r="R457" s="202">
        <f>IF((PA[[#This Row],[String Type(If String BD)]]&amp;PA[[#This Row],[Equipment (If any BD other than PV  array and inv)]])="",1,0)</f>
        <v>1</v>
      </c>
      <c r="S457" s="202">
        <f>IF(PA[[#This Row],[String Type(If String BD)]]="",1,0)</f>
        <v>1</v>
      </c>
      <c r="T45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7" s="204" t="str">
        <f>IFERROR(_xlfn.XLOOKUP(PA[[#This Row],[Affected Equipment ]],'Basic Data'!N:N,'Basic Data'!Q:Q),"")</f>
        <v/>
      </c>
      <c r="V457" s="208" t="str">
        <f>IFERROR(_xlfn.XLOOKUP(PA[[#This Row],[Affected Equipment ]],'Basic Data'!N:N,'Basic Data'!R:R),"")</f>
        <v/>
      </c>
      <c r="W457" s="36"/>
      <c r="X457" s="41"/>
      <c r="Y457" s="286"/>
      <c r="Z457" s="42"/>
      <c r="AA457" s="42"/>
      <c r="AB457" s="42"/>
      <c r="AC457" s="42"/>
      <c r="AD457" s="205">
        <f>IF(PA[[#This Row],[Acknowledgement Time ]]="NA","",(PA[[#This Row],[Acknowledgement Time ]]-PA[[#This Row],[Fault Time]])*24)</f>
        <v>0</v>
      </c>
      <c r="AE457" s="205">
        <f>IF(PA[[#This Row],[Work Start time on Fault]]="NA","",(PA[[#This Row],[Work Start time on Fault]]-PA[[#This Row],[Fault Time]])*24)</f>
        <v>0</v>
      </c>
      <c r="AF457" s="206">
        <f>IF(PA[[#This Row],[Status]]="Open","",(PA[[#This Row],[Work Completion time on fault]]-PA[[#This Row],[Fault Time]])*24)</f>
        <v>0</v>
      </c>
      <c r="AG457" s="205">
        <f>IFERROR((PA[[#This Row],[Work Completion time on fault]]-PA[[#This Row],[Fault Time]])*24,"")</f>
        <v>0</v>
      </c>
      <c r="AH457" s="36"/>
      <c r="AI457" s="33"/>
      <c r="AJ457" s="204" t="str">
        <f>IFERROR(PA[[#This Row],[Breakdown Time]]*PA[[#This Row],[Plant Equivalent Weightage]],"")</f>
        <v/>
      </c>
      <c r="AK457" s="38"/>
      <c r="AL457" s="280" t="str">
        <f>IFERROR((_xlfn.XLOOKUP($G457,'Modelling New'!D:D,'Modelling New'!$O:$O)*PA[[#This Row],[Lost PoA(kWh/m2)]]*PA[[#This Row],[DC Capacity Affected (kW)]]),"")</f>
        <v/>
      </c>
      <c r="AM457" s="37"/>
      <c r="AN457" s="37"/>
      <c r="AO457" s="37"/>
      <c r="AP457" s="37"/>
    </row>
    <row r="458" spans="1:42">
      <c r="A458" s="30">
        <f t="shared" si="4"/>
        <v>457</v>
      </c>
      <c r="B458" s="31"/>
      <c r="C458" s="32">
        <f>YEAR(PA[[#This Row],[Date]])+IF(MONTH(PA[[#This Row],[Date]])&gt;=4,1,0)</f>
        <v>1900</v>
      </c>
      <c r="D458" s="202">
        <f>YEAR(PA[[#This Row],[Date]])</f>
        <v>1900</v>
      </c>
      <c r="E458" s="33" t="s">
        <v>157</v>
      </c>
      <c r="F458" s="33" t="s">
        <v>157</v>
      </c>
      <c r="G458" s="194">
        <f>PA[[#This Row],[Date]]-DAY(PA[[#This Row],[Date]])+1</f>
        <v>1</v>
      </c>
      <c r="H458" s="202">
        <f>DAY(EOMONTH(PA[[#This Row],[Month Year]],0))</f>
        <v>31</v>
      </c>
      <c r="I458" s="302"/>
      <c r="J458" s="302"/>
      <c r="K458" s="35">
        <f>IFERROR((PA[[#This Row],[Sunset Time (POA&lt;20 W/m2)]]-PA[[#This Row],[Sunrise Time (POA&gt;20 W/m2)]])*24,"")</f>
        <v>0</v>
      </c>
      <c r="L458" s="33"/>
      <c r="M458" s="33"/>
      <c r="N458" s="33"/>
      <c r="O458" s="36"/>
      <c r="P458" s="36"/>
      <c r="Q458" s="37"/>
      <c r="R458" s="202">
        <f>IF((PA[[#This Row],[String Type(If String BD)]]&amp;PA[[#This Row],[Equipment (If any BD other than PV  array and inv)]])="",1,0)</f>
        <v>1</v>
      </c>
      <c r="S458" s="202">
        <f>IF(PA[[#This Row],[String Type(If String BD)]]="",1,0)</f>
        <v>1</v>
      </c>
      <c r="T45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8" s="204" t="str">
        <f>IFERROR(_xlfn.XLOOKUP(PA[[#This Row],[Affected Equipment ]],'Basic Data'!N:N,'Basic Data'!Q:Q),"")</f>
        <v/>
      </c>
      <c r="V458" s="208" t="str">
        <f>IFERROR(_xlfn.XLOOKUP(PA[[#This Row],[Affected Equipment ]],'Basic Data'!N:N,'Basic Data'!R:R),"")</f>
        <v/>
      </c>
      <c r="W458" s="36"/>
      <c r="X458" s="41"/>
      <c r="Y458" s="286"/>
      <c r="Z458" s="42"/>
      <c r="AA458" s="42"/>
      <c r="AB458" s="42"/>
      <c r="AC458" s="42"/>
      <c r="AD458" s="205">
        <f>IF(PA[[#This Row],[Acknowledgement Time ]]="NA","",(PA[[#This Row],[Acknowledgement Time ]]-PA[[#This Row],[Fault Time]])*24)</f>
        <v>0</v>
      </c>
      <c r="AE458" s="205">
        <f>IF(PA[[#This Row],[Work Start time on Fault]]="NA","",(PA[[#This Row],[Work Start time on Fault]]-PA[[#This Row],[Fault Time]])*24)</f>
        <v>0</v>
      </c>
      <c r="AF458" s="206">
        <f>IF(PA[[#This Row],[Status]]="Open","",(PA[[#This Row],[Work Completion time on fault]]-PA[[#This Row],[Fault Time]])*24)</f>
        <v>0</v>
      </c>
      <c r="AG458" s="205">
        <f>IFERROR((PA[[#This Row],[Work Completion time on fault]]-PA[[#This Row],[Fault Time]])*24,"")</f>
        <v>0</v>
      </c>
      <c r="AH458" s="36"/>
      <c r="AI458" s="33"/>
      <c r="AJ458" s="204" t="str">
        <f>IFERROR(PA[[#This Row],[Breakdown Time]]*PA[[#This Row],[Plant Equivalent Weightage]],"")</f>
        <v/>
      </c>
      <c r="AK458" s="38"/>
      <c r="AL458" s="280" t="str">
        <f>IFERROR((_xlfn.XLOOKUP($G458,'Modelling New'!D:D,'Modelling New'!$O:$O)*PA[[#This Row],[Lost PoA(kWh/m2)]]*PA[[#This Row],[DC Capacity Affected (kW)]]),"")</f>
        <v/>
      </c>
      <c r="AM458" s="37"/>
      <c r="AN458" s="37"/>
      <c r="AO458" s="37"/>
      <c r="AP458" s="37"/>
    </row>
    <row r="459" spans="1:42">
      <c r="A459" s="30">
        <f t="shared" si="4"/>
        <v>458</v>
      </c>
      <c r="B459" s="31"/>
      <c r="C459" s="32">
        <f>YEAR(PA[[#This Row],[Date]])+IF(MONTH(PA[[#This Row],[Date]])&gt;=4,1,0)</f>
        <v>1900</v>
      </c>
      <c r="D459" s="202">
        <f>YEAR(PA[[#This Row],[Date]])</f>
        <v>1900</v>
      </c>
      <c r="E459" s="33" t="s">
        <v>157</v>
      </c>
      <c r="F459" s="33" t="s">
        <v>157</v>
      </c>
      <c r="G459" s="194">
        <f>PA[[#This Row],[Date]]-DAY(PA[[#This Row],[Date]])+1</f>
        <v>1</v>
      </c>
      <c r="H459" s="202">
        <f>DAY(EOMONTH(PA[[#This Row],[Month Year]],0))</f>
        <v>31</v>
      </c>
      <c r="I459" s="302"/>
      <c r="J459" s="302"/>
      <c r="K459" s="35">
        <f>IFERROR((PA[[#This Row],[Sunset Time (POA&lt;20 W/m2)]]-PA[[#This Row],[Sunrise Time (POA&gt;20 W/m2)]])*24,"")</f>
        <v>0</v>
      </c>
      <c r="L459" s="33"/>
      <c r="M459" s="33"/>
      <c r="N459" s="33"/>
      <c r="O459" s="36"/>
      <c r="P459" s="36"/>
      <c r="Q459" s="37"/>
      <c r="R459" s="202">
        <f>IF((PA[[#This Row],[String Type(If String BD)]]&amp;PA[[#This Row],[Equipment (If any BD other than PV  array and inv)]])="",1,0)</f>
        <v>1</v>
      </c>
      <c r="S459" s="202">
        <f>IF(PA[[#This Row],[String Type(If String BD)]]="",1,0)</f>
        <v>1</v>
      </c>
      <c r="T459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59" s="204" t="str">
        <f>IFERROR(_xlfn.XLOOKUP(PA[[#This Row],[Affected Equipment ]],'Basic Data'!N:N,'Basic Data'!Q:Q),"")</f>
        <v/>
      </c>
      <c r="V459" s="208" t="str">
        <f>IFERROR(_xlfn.XLOOKUP(PA[[#This Row],[Affected Equipment ]],'Basic Data'!N:N,'Basic Data'!R:R),"")</f>
        <v/>
      </c>
      <c r="W459" s="36"/>
      <c r="X459" s="41"/>
      <c r="Y459" s="41"/>
      <c r="Z459" s="42"/>
      <c r="AA459" s="42"/>
      <c r="AB459" s="42"/>
      <c r="AC459" s="42"/>
      <c r="AD459" s="205">
        <f>IF(PA[[#This Row],[Acknowledgement Time ]]="NA","",(PA[[#This Row],[Acknowledgement Time ]]-PA[[#This Row],[Fault Time]])*24)</f>
        <v>0</v>
      </c>
      <c r="AE459" s="205">
        <f>IF(PA[[#This Row],[Work Start time on Fault]]="NA","",(PA[[#This Row],[Work Start time on Fault]]-PA[[#This Row],[Fault Time]])*24)</f>
        <v>0</v>
      </c>
      <c r="AF459" s="206">
        <f>IF(PA[[#This Row],[Status]]="Open","",(PA[[#This Row],[Work Completion time on fault]]-PA[[#This Row],[Fault Time]])*24)</f>
        <v>0</v>
      </c>
      <c r="AG459" s="205">
        <f>IFERROR((PA[[#This Row],[Work Completion time on fault]]-PA[[#This Row],[Fault Time]])*24,"")</f>
        <v>0</v>
      </c>
      <c r="AH459" s="38"/>
      <c r="AI459" s="33"/>
      <c r="AJ459" s="204" t="str">
        <f>IFERROR(PA[[#This Row],[Breakdown Time]]*PA[[#This Row],[Plant Equivalent Weightage]],"")</f>
        <v/>
      </c>
      <c r="AK459" s="38"/>
      <c r="AL459" s="280" t="str">
        <f>IFERROR((_xlfn.XLOOKUP($G459,'Modelling New'!D:D,'Modelling New'!$O:$O)*PA[[#This Row],[Lost PoA(kWh/m2)]]*PA[[#This Row],[DC Capacity Affected (kW)]]),"")</f>
        <v/>
      </c>
      <c r="AM459" s="37"/>
      <c r="AN459" s="37"/>
      <c r="AO459" s="37"/>
      <c r="AP459" s="37"/>
    </row>
    <row r="460" spans="1:42">
      <c r="A460" s="30">
        <f t="shared" si="4"/>
        <v>459</v>
      </c>
      <c r="B460" s="31"/>
      <c r="C460" s="32">
        <f>YEAR(PA[[#This Row],[Date]])+IF(MONTH(PA[[#This Row],[Date]])&gt;=4,1,0)</f>
        <v>1900</v>
      </c>
      <c r="D460" s="202">
        <f>YEAR(PA[[#This Row],[Date]])</f>
        <v>1900</v>
      </c>
      <c r="E460" s="33" t="s">
        <v>157</v>
      </c>
      <c r="F460" s="33" t="s">
        <v>157</v>
      </c>
      <c r="G460" s="194">
        <f>PA[[#This Row],[Date]]-DAY(PA[[#This Row],[Date]])+1</f>
        <v>1</v>
      </c>
      <c r="H460" s="202">
        <f>DAY(EOMONTH(PA[[#This Row],[Month Year]],0))</f>
        <v>31</v>
      </c>
      <c r="I460" s="302"/>
      <c r="J460" s="302"/>
      <c r="K460" s="35">
        <f>IFERROR((PA[[#This Row],[Sunset Time (POA&lt;20 W/m2)]]-PA[[#This Row],[Sunrise Time (POA&gt;20 W/m2)]])*24,"")</f>
        <v>0</v>
      </c>
      <c r="L460" s="33"/>
      <c r="M460" s="33"/>
      <c r="N460" s="33"/>
      <c r="O460" s="36"/>
      <c r="P460" s="36"/>
      <c r="Q460" s="37"/>
      <c r="R460" s="202">
        <f>IF((PA[[#This Row],[String Type(If String BD)]]&amp;PA[[#This Row],[Equipment (If any BD other than PV  array and inv)]])="",1,0)</f>
        <v>1</v>
      </c>
      <c r="S460" s="202">
        <f>IF(PA[[#This Row],[String Type(If String BD)]]="",1,0)</f>
        <v>1</v>
      </c>
      <c r="T460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0" s="204" t="str">
        <f>IFERROR(_xlfn.XLOOKUP(PA[[#This Row],[Affected Equipment ]],'Basic Data'!N:N,'Basic Data'!Q:Q),"")</f>
        <v/>
      </c>
      <c r="V460" s="208" t="str">
        <f>IFERROR(_xlfn.XLOOKUP(PA[[#This Row],[Affected Equipment ]],'Basic Data'!N:N,'Basic Data'!R:R),"")</f>
        <v/>
      </c>
      <c r="W460" s="36"/>
      <c r="X460" s="41"/>
      <c r="Y460" s="41"/>
      <c r="Z460" s="42"/>
      <c r="AA460" s="42"/>
      <c r="AB460" s="42"/>
      <c r="AC460" s="42"/>
      <c r="AD460" s="205">
        <f>IF(PA[[#This Row],[Acknowledgement Time ]]="NA","",(PA[[#This Row],[Acknowledgement Time ]]-PA[[#This Row],[Fault Time]])*24)</f>
        <v>0</v>
      </c>
      <c r="AE460" s="205">
        <f>IF(PA[[#This Row],[Work Start time on Fault]]="NA","",(PA[[#This Row],[Work Start time on Fault]]-PA[[#This Row],[Fault Time]])*24)</f>
        <v>0</v>
      </c>
      <c r="AF460" s="206">
        <f>IF(PA[[#This Row],[Status]]="Open","",(PA[[#This Row],[Work Completion time on fault]]-PA[[#This Row],[Fault Time]])*24)</f>
        <v>0</v>
      </c>
      <c r="AG460" s="205">
        <f>IFERROR((PA[[#This Row],[Work Completion time on fault]]-PA[[#This Row],[Fault Time]])*24,"")</f>
        <v>0</v>
      </c>
      <c r="AH460" s="38"/>
      <c r="AI460" s="33"/>
      <c r="AJ460" s="204" t="str">
        <f>IFERROR(PA[[#This Row],[Breakdown Time]]*PA[[#This Row],[Plant Equivalent Weightage]],"")</f>
        <v/>
      </c>
      <c r="AK460" s="38"/>
      <c r="AL460" s="280" t="str">
        <f>IFERROR((_xlfn.XLOOKUP($G460,'Modelling New'!D:D,'Modelling New'!$O:$O)*PA[[#This Row],[Lost PoA(kWh/m2)]]*PA[[#This Row],[DC Capacity Affected (kW)]]),"")</f>
        <v/>
      </c>
      <c r="AM460" s="37"/>
      <c r="AN460" s="37"/>
      <c r="AO460" s="37"/>
      <c r="AP460" s="37"/>
    </row>
    <row r="461" spans="1:42">
      <c r="A461" s="30">
        <f t="shared" si="4"/>
        <v>460</v>
      </c>
      <c r="B461" s="31"/>
      <c r="C461" s="32">
        <f>YEAR(PA[[#This Row],[Date]])+IF(MONTH(PA[[#This Row],[Date]])&gt;=4,1,0)</f>
        <v>1900</v>
      </c>
      <c r="D461" s="202">
        <f>YEAR(PA[[#This Row],[Date]])</f>
        <v>1900</v>
      </c>
      <c r="E461" s="33" t="s">
        <v>157</v>
      </c>
      <c r="F461" s="33" t="s">
        <v>157</v>
      </c>
      <c r="G461" s="194">
        <f>PA[[#This Row],[Date]]-DAY(PA[[#This Row],[Date]])+1</f>
        <v>1</v>
      </c>
      <c r="H461" s="202">
        <f>DAY(EOMONTH(PA[[#This Row],[Month Year]],0))</f>
        <v>31</v>
      </c>
      <c r="I461" s="302"/>
      <c r="J461" s="302"/>
      <c r="K461" s="35">
        <f>IFERROR((PA[[#This Row],[Sunset Time (POA&lt;20 W/m2)]]-PA[[#This Row],[Sunrise Time (POA&gt;20 W/m2)]])*24,"")</f>
        <v>0</v>
      </c>
      <c r="L461" s="33"/>
      <c r="M461" s="33"/>
      <c r="N461" s="33"/>
      <c r="O461" s="36"/>
      <c r="P461" s="36"/>
      <c r="Q461" s="37"/>
      <c r="R461" s="202">
        <f>IF((PA[[#This Row],[String Type(If String BD)]]&amp;PA[[#This Row],[Equipment (If any BD other than PV  array and inv)]])="",1,0)</f>
        <v>1</v>
      </c>
      <c r="S461" s="202">
        <f>IF(PA[[#This Row],[String Type(If String BD)]]="",1,0)</f>
        <v>1</v>
      </c>
      <c r="T461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1" s="204" t="str">
        <f>IFERROR(_xlfn.XLOOKUP(PA[[#This Row],[Affected Equipment ]],'Basic Data'!N:N,'Basic Data'!Q:Q),"")</f>
        <v/>
      </c>
      <c r="V461" s="208" t="str">
        <f>IFERROR(_xlfn.XLOOKUP(PA[[#This Row],[Affected Equipment ]],'Basic Data'!N:N,'Basic Data'!R:R),"")</f>
        <v/>
      </c>
      <c r="W461" s="36"/>
      <c r="X461" s="41"/>
      <c r="Y461" s="41"/>
      <c r="Z461" s="42"/>
      <c r="AA461" s="42"/>
      <c r="AB461" s="42"/>
      <c r="AC461" s="42"/>
      <c r="AD461" s="205">
        <f>IF(PA[[#This Row],[Acknowledgement Time ]]="NA","",(PA[[#This Row],[Acknowledgement Time ]]-PA[[#This Row],[Fault Time]])*24)</f>
        <v>0</v>
      </c>
      <c r="AE461" s="205">
        <f>IF(PA[[#This Row],[Work Start time on Fault]]="NA","",(PA[[#This Row],[Work Start time on Fault]]-PA[[#This Row],[Fault Time]])*24)</f>
        <v>0</v>
      </c>
      <c r="AF461" s="206">
        <f>IF(PA[[#This Row],[Status]]="Open","",(PA[[#This Row],[Work Completion time on fault]]-PA[[#This Row],[Fault Time]])*24)</f>
        <v>0</v>
      </c>
      <c r="AG461" s="205">
        <f>IFERROR((PA[[#This Row],[Work Completion time on fault]]-PA[[#This Row],[Fault Time]])*24,"")</f>
        <v>0</v>
      </c>
      <c r="AH461" s="38"/>
      <c r="AI461" s="33"/>
      <c r="AJ461" s="204" t="str">
        <f>IFERROR(PA[[#This Row],[Breakdown Time]]*PA[[#This Row],[Plant Equivalent Weightage]],"")</f>
        <v/>
      </c>
      <c r="AK461" s="38"/>
      <c r="AL461" s="280" t="str">
        <f>IFERROR((_xlfn.XLOOKUP($G461,'Modelling New'!D:D,'Modelling New'!$O:$O)*PA[[#This Row],[Lost PoA(kWh/m2)]]*PA[[#This Row],[DC Capacity Affected (kW)]]),"")</f>
        <v/>
      </c>
      <c r="AM461" s="37"/>
      <c r="AN461" s="37"/>
      <c r="AO461" s="37"/>
      <c r="AP461" s="37"/>
    </row>
    <row r="462" spans="1:42">
      <c r="A462" s="30">
        <f t="shared" si="4"/>
        <v>461</v>
      </c>
      <c r="B462" s="31"/>
      <c r="C462" s="32">
        <f>YEAR(PA[[#This Row],[Date]])+IF(MONTH(PA[[#This Row],[Date]])&gt;=4,1,0)</f>
        <v>1900</v>
      </c>
      <c r="D462" s="202">
        <f>YEAR(PA[[#This Row],[Date]])</f>
        <v>1900</v>
      </c>
      <c r="E462" s="33" t="s">
        <v>157</v>
      </c>
      <c r="F462" s="33" t="s">
        <v>157</v>
      </c>
      <c r="G462" s="194">
        <f>PA[[#This Row],[Date]]-DAY(PA[[#This Row],[Date]])+1</f>
        <v>1</v>
      </c>
      <c r="H462" s="202">
        <f>DAY(EOMONTH(PA[[#This Row],[Month Year]],0))</f>
        <v>31</v>
      </c>
      <c r="I462" s="302"/>
      <c r="J462" s="302"/>
      <c r="K462" s="35">
        <f>IFERROR((PA[[#This Row],[Sunset Time (POA&lt;20 W/m2)]]-PA[[#This Row],[Sunrise Time (POA&gt;20 W/m2)]])*24,"")</f>
        <v>0</v>
      </c>
      <c r="L462" s="33"/>
      <c r="M462" s="33"/>
      <c r="N462" s="33"/>
      <c r="O462" s="38"/>
      <c r="P462" s="38"/>
      <c r="Q462" s="37"/>
      <c r="R462" s="202">
        <f>IF((PA[[#This Row],[String Type(If String BD)]]&amp;PA[[#This Row],[Equipment (If any BD other than PV  array and inv)]])="",1,0)</f>
        <v>1</v>
      </c>
      <c r="S462" s="202">
        <f>IF(PA[[#This Row],[String Type(If String BD)]]="",1,0)</f>
        <v>1</v>
      </c>
      <c r="T462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2" s="204" t="str">
        <f>IFERROR(_xlfn.XLOOKUP(PA[[#This Row],[Affected Equipment ]],'Basic Data'!N:N,'Basic Data'!Q:Q),"")</f>
        <v/>
      </c>
      <c r="V462" s="208" t="str">
        <f>IFERROR(_xlfn.XLOOKUP(PA[[#This Row],[Affected Equipment ]],'Basic Data'!N:N,'Basic Data'!R:R),"")</f>
        <v/>
      </c>
      <c r="W462" s="36"/>
      <c r="X462" s="41"/>
      <c r="Y462" s="286"/>
      <c r="Z462" s="42"/>
      <c r="AA462" s="42"/>
      <c r="AB462" s="42"/>
      <c r="AC462" s="42"/>
      <c r="AD462" s="205">
        <f>IF(PA[[#This Row],[Acknowledgement Time ]]="NA","",(PA[[#This Row],[Acknowledgement Time ]]-PA[[#This Row],[Fault Time]])*24)</f>
        <v>0</v>
      </c>
      <c r="AE462" s="205">
        <f>IF(PA[[#This Row],[Work Start time on Fault]]="NA","",(PA[[#This Row],[Work Start time on Fault]]-PA[[#This Row],[Fault Time]])*24)</f>
        <v>0</v>
      </c>
      <c r="AF462" s="206">
        <f>IF(PA[[#This Row],[Status]]="Open","",(PA[[#This Row],[Work Completion time on fault]]-PA[[#This Row],[Fault Time]])*24)</f>
        <v>0</v>
      </c>
      <c r="AG462" s="205">
        <f>IFERROR((PA[[#This Row],[Work Completion time on fault]]-PA[[#This Row],[Fault Time]])*24,"")</f>
        <v>0</v>
      </c>
      <c r="AH462" s="36"/>
      <c r="AI462" s="33"/>
      <c r="AJ462" s="204" t="str">
        <f>IFERROR(PA[[#This Row],[Breakdown Time]]*PA[[#This Row],[Plant Equivalent Weightage]],"")</f>
        <v/>
      </c>
      <c r="AK462" s="38"/>
      <c r="AL462" s="280" t="str">
        <f>IFERROR((_xlfn.XLOOKUP($G462,'Modelling New'!D:D,'Modelling New'!$O:$O)*PA[[#This Row],[Lost PoA(kWh/m2)]]*PA[[#This Row],[DC Capacity Affected (kW)]]),"")</f>
        <v/>
      </c>
      <c r="AM462" s="37"/>
      <c r="AN462" s="37"/>
      <c r="AO462" s="37"/>
      <c r="AP462" s="37"/>
    </row>
    <row r="463" spans="1:42">
      <c r="A463" s="30">
        <f t="shared" si="4"/>
        <v>462</v>
      </c>
      <c r="B463" s="31"/>
      <c r="C463" s="32">
        <f>YEAR(PA[[#This Row],[Date]])+IF(MONTH(PA[[#This Row],[Date]])&gt;=4,1,0)</f>
        <v>1900</v>
      </c>
      <c r="D463" s="202">
        <f>YEAR(PA[[#This Row],[Date]])</f>
        <v>1900</v>
      </c>
      <c r="E463" s="33" t="s">
        <v>157</v>
      </c>
      <c r="F463" s="33" t="s">
        <v>157</v>
      </c>
      <c r="G463" s="194">
        <f>PA[[#This Row],[Date]]-DAY(PA[[#This Row],[Date]])+1</f>
        <v>1</v>
      </c>
      <c r="H463" s="202">
        <f>DAY(EOMONTH(PA[[#This Row],[Month Year]],0))</f>
        <v>31</v>
      </c>
      <c r="I463" s="302"/>
      <c r="J463" s="302"/>
      <c r="K463" s="35">
        <f>IFERROR((PA[[#This Row],[Sunset Time (POA&lt;20 W/m2)]]-PA[[#This Row],[Sunrise Time (POA&gt;20 W/m2)]])*24,"")</f>
        <v>0</v>
      </c>
      <c r="L463" s="33"/>
      <c r="M463" s="33"/>
      <c r="N463" s="33"/>
      <c r="O463" s="38"/>
      <c r="P463" s="38"/>
      <c r="Q463" s="37"/>
      <c r="R463" s="202">
        <f>IF((PA[[#This Row],[String Type(If String BD)]]&amp;PA[[#This Row],[Equipment (If any BD other than PV  array and inv)]])="",1,0)</f>
        <v>1</v>
      </c>
      <c r="S463" s="202">
        <f>IF(PA[[#This Row],[String Type(If String BD)]]="",1,0)</f>
        <v>1</v>
      </c>
      <c r="T463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3" s="204" t="str">
        <f>IFERROR(_xlfn.XLOOKUP(PA[[#This Row],[Affected Equipment ]],'Basic Data'!N:N,'Basic Data'!Q:Q),"")</f>
        <v/>
      </c>
      <c r="V463" s="208" t="str">
        <f>IFERROR(_xlfn.XLOOKUP(PA[[#This Row],[Affected Equipment ]],'Basic Data'!N:N,'Basic Data'!R:R),"")</f>
        <v/>
      </c>
      <c r="W463" s="36"/>
      <c r="X463" s="41"/>
      <c r="Y463" s="286"/>
      <c r="Z463" s="42"/>
      <c r="AA463" s="42"/>
      <c r="AB463" s="42"/>
      <c r="AC463" s="42"/>
      <c r="AD463" s="205">
        <f>IF(PA[[#This Row],[Acknowledgement Time ]]="NA","",(PA[[#This Row],[Acknowledgement Time ]]-PA[[#This Row],[Fault Time]])*24)</f>
        <v>0</v>
      </c>
      <c r="AE463" s="205">
        <f>IF(PA[[#This Row],[Work Start time on Fault]]="NA","",(PA[[#This Row],[Work Start time on Fault]]-PA[[#This Row],[Fault Time]])*24)</f>
        <v>0</v>
      </c>
      <c r="AF463" s="206">
        <f>IF(PA[[#This Row],[Status]]="Open","",(PA[[#This Row],[Work Completion time on fault]]-PA[[#This Row],[Fault Time]])*24)</f>
        <v>0</v>
      </c>
      <c r="AG463" s="205">
        <f>IFERROR((PA[[#This Row],[Work Completion time on fault]]-PA[[#This Row],[Fault Time]])*24,"")</f>
        <v>0</v>
      </c>
      <c r="AH463" s="36"/>
      <c r="AI463" s="33"/>
      <c r="AJ463" s="204" t="str">
        <f>IFERROR(PA[[#This Row],[Breakdown Time]]*PA[[#This Row],[Plant Equivalent Weightage]],"")</f>
        <v/>
      </c>
      <c r="AK463" s="38"/>
      <c r="AL463" s="280" t="str">
        <f>IFERROR((_xlfn.XLOOKUP($G463,'Modelling New'!D:D,'Modelling New'!$O:$O)*PA[[#This Row],[Lost PoA(kWh/m2)]]*PA[[#This Row],[DC Capacity Affected (kW)]]),"")</f>
        <v/>
      </c>
      <c r="AM463" s="37"/>
      <c r="AN463" s="37"/>
      <c r="AO463" s="37"/>
      <c r="AP463" s="37"/>
    </row>
    <row r="464" spans="1:42">
      <c r="A464" s="30">
        <f t="shared" si="4"/>
        <v>463</v>
      </c>
      <c r="B464" s="31"/>
      <c r="C464" s="32">
        <f>YEAR(PA[[#This Row],[Date]])+IF(MONTH(PA[[#This Row],[Date]])&gt;=4,1,0)</f>
        <v>1900</v>
      </c>
      <c r="D464" s="202">
        <f>YEAR(PA[[#This Row],[Date]])</f>
        <v>1900</v>
      </c>
      <c r="E464" s="33" t="s">
        <v>157</v>
      </c>
      <c r="F464" s="33" t="s">
        <v>157</v>
      </c>
      <c r="G464" s="194">
        <f>PA[[#This Row],[Date]]-DAY(PA[[#This Row],[Date]])+1</f>
        <v>1</v>
      </c>
      <c r="H464" s="202">
        <f>DAY(EOMONTH(PA[[#This Row],[Month Year]],0))</f>
        <v>31</v>
      </c>
      <c r="I464" s="302"/>
      <c r="J464" s="302"/>
      <c r="K464" s="35">
        <f>IFERROR((PA[[#This Row],[Sunset Time (POA&lt;20 W/m2)]]-PA[[#This Row],[Sunrise Time (POA&gt;20 W/m2)]])*24,"")</f>
        <v>0</v>
      </c>
      <c r="L464" s="33"/>
      <c r="M464" s="33"/>
      <c r="N464" s="33"/>
      <c r="O464" s="38"/>
      <c r="P464" s="38"/>
      <c r="Q464" s="37"/>
      <c r="R464" s="202">
        <f>IF((PA[[#This Row],[String Type(If String BD)]]&amp;PA[[#This Row],[Equipment (If any BD other than PV  array and inv)]])="",1,0)</f>
        <v>1</v>
      </c>
      <c r="S464" s="202">
        <f>IF(PA[[#This Row],[String Type(If String BD)]]="",1,0)</f>
        <v>1</v>
      </c>
      <c r="T464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4" s="204" t="str">
        <f>IFERROR(_xlfn.XLOOKUP(PA[[#This Row],[Affected Equipment ]],'Basic Data'!N:N,'Basic Data'!Q:Q),"")</f>
        <v/>
      </c>
      <c r="V464" s="208" t="str">
        <f>IFERROR(_xlfn.XLOOKUP(PA[[#This Row],[Affected Equipment ]],'Basic Data'!N:N,'Basic Data'!R:R),"")</f>
        <v/>
      </c>
      <c r="W464" s="36"/>
      <c r="X464" s="41"/>
      <c r="Y464" s="283"/>
      <c r="Z464" s="42"/>
      <c r="AA464" s="42"/>
      <c r="AB464" s="42"/>
      <c r="AC464" s="42"/>
      <c r="AD464" s="205">
        <f>IF(PA[[#This Row],[Acknowledgement Time ]]="NA","",(PA[[#This Row],[Acknowledgement Time ]]-PA[[#This Row],[Fault Time]])*24)</f>
        <v>0</v>
      </c>
      <c r="AE464" s="205">
        <f>IF(PA[[#This Row],[Work Start time on Fault]]="NA","",(PA[[#This Row],[Work Start time on Fault]]-PA[[#This Row],[Fault Time]])*24)</f>
        <v>0</v>
      </c>
      <c r="AF464" s="206">
        <f>IF(PA[[#This Row],[Status]]="Open","",(PA[[#This Row],[Work Completion time on fault]]-PA[[#This Row],[Fault Time]])*24)</f>
        <v>0</v>
      </c>
      <c r="AG464" s="205">
        <f>IFERROR((PA[[#This Row],[Work Completion time on fault]]-PA[[#This Row],[Fault Time]])*24,"")</f>
        <v>0</v>
      </c>
      <c r="AH464" s="284"/>
      <c r="AI464" s="33"/>
      <c r="AJ464" s="204" t="str">
        <f>IFERROR(PA[[#This Row],[Breakdown Time]]*PA[[#This Row],[Plant Equivalent Weightage]],"")</f>
        <v/>
      </c>
      <c r="AK464" s="38"/>
      <c r="AL464" s="280" t="str">
        <f>IFERROR((_xlfn.XLOOKUP($G464,'Modelling New'!D:D,'Modelling New'!$O:$O)*PA[[#This Row],[Lost PoA(kWh/m2)]]*PA[[#This Row],[DC Capacity Affected (kW)]]),"")</f>
        <v/>
      </c>
      <c r="AM464" s="37"/>
      <c r="AN464" s="37"/>
      <c r="AO464" s="37"/>
      <c r="AP464" s="37"/>
    </row>
    <row r="465" spans="1:42">
      <c r="A465" s="30">
        <f t="shared" si="4"/>
        <v>464</v>
      </c>
      <c r="B465" s="31"/>
      <c r="C465" s="32">
        <f>YEAR(PA[[#This Row],[Date]])+IF(MONTH(PA[[#This Row],[Date]])&gt;=4,1,0)</f>
        <v>1900</v>
      </c>
      <c r="D465" s="202">
        <f>YEAR(PA[[#This Row],[Date]])</f>
        <v>1900</v>
      </c>
      <c r="E465" s="33" t="s">
        <v>157</v>
      </c>
      <c r="F465" s="33" t="s">
        <v>157</v>
      </c>
      <c r="G465" s="194">
        <f>PA[[#This Row],[Date]]-DAY(PA[[#This Row],[Date]])+1</f>
        <v>1</v>
      </c>
      <c r="H465" s="202">
        <f>DAY(EOMONTH(PA[[#This Row],[Month Year]],0))</f>
        <v>31</v>
      </c>
      <c r="I465" s="302"/>
      <c r="J465" s="302"/>
      <c r="K465" s="35">
        <f>IFERROR((PA[[#This Row],[Sunset Time (POA&lt;20 W/m2)]]-PA[[#This Row],[Sunrise Time (POA&gt;20 W/m2)]])*24,"")</f>
        <v>0</v>
      </c>
      <c r="L465" s="33"/>
      <c r="M465" s="33"/>
      <c r="N465" s="33"/>
      <c r="O465" s="38"/>
      <c r="P465" s="38"/>
      <c r="Q465" s="37"/>
      <c r="R465" s="202">
        <f>IF((PA[[#This Row],[String Type(If String BD)]]&amp;PA[[#This Row],[Equipment (If any BD other than PV  array and inv)]])="",1,0)</f>
        <v>1</v>
      </c>
      <c r="S465" s="202">
        <f>IF(PA[[#This Row],[String Type(If String BD)]]="",1,0)</f>
        <v>1</v>
      </c>
      <c r="T465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5" s="204" t="str">
        <f>IFERROR(_xlfn.XLOOKUP(PA[[#This Row],[Affected Equipment ]],'Basic Data'!N:N,'Basic Data'!Q:Q),"")</f>
        <v/>
      </c>
      <c r="V465" s="208" t="str">
        <f>IFERROR(_xlfn.XLOOKUP(PA[[#This Row],[Affected Equipment ]],'Basic Data'!N:N,'Basic Data'!R:R),"")</f>
        <v/>
      </c>
      <c r="W465" s="36"/>
      <c r="X465" s="41"/>
      <c r="Y465" s="283"/>
      <c r="Z465" s="42"/>
      <c r="AA465" s="42"/>
      <c r="AB465" s="42"/>
      <c r="AC465" s="42"/>
      <c r="AD465" s="205">
        <f>IF(PA[[#This Row],[Acknowledgement Time ]]="NA","",(PA[[#This Row],[Acknowledgement Time ]]-PA[[#This Row],[Fault Time]])*24)</f>
        <v>0</v>
      </c>
      <c r="AE465" s="205">
        <f>IF(PA[[#This Row],[Work Start time on Fault]]="NA","",(PA[[#This Row],[Work Start time on Fault]]-PA[[#This Row],[Fault Time]])*24)</f>
        <v>0</v>
      </c>
      <c r="AF465" s="206">
        <f>IF(PA[[#This Row],[Status]]="Open","",(PA[[#This Row],[Work Completion time on fault]]-PA[[#This Row],[Fault Time]])*24)</f>
        <v>0</v>
      </c>
      <c r="AG465" s="205">
        <f>IFERROR((PA[[#This Row],[Work Completion time on fault]]-PA[[#This Row],[Fault Time]])*24,"")</f>
        <v>0</v>
      </c>
      <c r="AH465" s="284"/>
      <c r="AI465" s="33"/>
      <c r="AJ465" s="204" t="str">
        <f>IFERROR(PA[[#This Row],[Breakdown Time]]*PA[[#This Row],[Plant Equivalent Weightage]],"")</f>
        <v/>
      </c>
      <c r="AK465" s="38"/>
      <c r="AL465" s="280" t="str">
        <f>IFERROR((_xlfn.XLOOKUP($G465,'Modelling New'!D:D,'Modelling New'!$O:$O)*PA[[#This Row],[Lost PoA(kWh/m2)]]*PA[[#This Row],[DC Capacity Affected (kW)]]),"")</f>
        <v/>
      </c>
      <c r="AM465" s="37"/>
      <c r="AN465" s="37"/>
      <c r="AO465" s="37"/>
      <c r="AP465" s="37"/>
    </row>
    <row r="466" spans="1:42">
      <c r="A466" s="30">
        <f t="shared" si="4"/>
        <v>465</v>
      </c>
      <c r="B466" s="31"/>
      <c r="C466" s="32">
        <f>YEAR(PA[[#This Row],[Date]])+IF(MONTH(PA[[#This Row],[Date]])&gt;=4,1,0)</f>
        <v>1900</v>
      </c>
      <c r="D466" s="202">
        <f>YEAR(PA[[#This Row],[Date]])</f>
        <v>1900</v>
      </c>
      <c r="E466" s="33" t="s">
        <v>157</v>
      </c>
      <c r="F466" s="33" t="s">
        <v>157</v>
      </c>
      <c r="G466" s="194">
        <f>PA[[#This Row],[Date]]-DAY(PA[[#This Row],[Date]])+1</f>
        <v>1</v>
      </c>
      <c r="H466" s="202">
        <f>DAY(EOMONTH(PA[[#This Row],[Month Year]],0))</f>
        <v>31</v>
      </c>
      <c r="I466" s="302"/>
      <c r="J466" s="302"/>
      <c r="K466" s="35">
        <f>IFERROR((PA[[#This Row],[Sunset Time (POA&lt;20 W/m2)]]-PA[[#This Row],[Sunrise Time (POA&gt;20 W/m2)]])*24,"")</f>
        <v>0</v>
      </c>
      <c r="L466" s="33"/>
      <c r="M466" s="33"/>
      <c r="N466" s="33"/>
      <c r="O466" s="38"/>
      <c r="P466" s="38"/>
      <c r="Q466" s="37"/>
      <c r="R466" s="202">
        <f>IF((PA[[#This Row],[String Type(If String BD)]]&amp;PA[[#This Row],[Equipment (If any BD other than PV  array and inv)]])="",1,0)</f>
        <v>1</v>
      </c>
      <c r="S466" s="202">
        <f>IF(PA[[#This Row],[String Type(If String BD)]]="",1,0)</f>
        <v>1</v>
      </c>
      <c r="T466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6" s="204" t="str">
        <f>IFERROR(_xlfn.XLOOKUP(PA[[#This Row],[Affected Equipment ]],'Basic Data'!N:N,'Basic Data'!Q:Q),"")</f>
        <v/>
      </c>
      <c r="V466" s="208" t="str">
        <f>IFERROR(_xlfn.XLOOKUP(PA[[#This Row],[Affected Equipment ]],'Basic Data'!N:N,'Basic Data'!R:R),"")</f>
        <v/>
      </c>
      <c r="W466" s="36"/>
      <c r="X466" s="41"/>
      <c r="Y466" s="286"/>
      <c r="Z466" s="42"/>
      <c r="AA466" s="42"/>
      <c r="AB466" s="42"/>
      <c r="AC466" s="42"/>
      <c r="AD466" s="205">
        <f>IF(PA[[#This Row],[Acknowledgement Time ]]="NA","",(PA[[#This Row],[Acknowledgement Time ]]-PA[[#This Row],[Fault Time]])*24)</f>
        <v>0</v>
      </c>
      <c r="AE466" s="205">
        <f>IF(PA[[#This Row],[Work Start time on Fault]]="NA","",(PA[[#This Row],[Work Start time on Fault]]-PA[[#This Row],[Fault Time]])*24)</f>
        <v>0</v>
      </c>
      <c r="AF466" s="206">
        <f>IF(PA[[#This Row],[Status]]="Open","",(PA[[#This Row],[Work Completion time on fault]]-PA[[#This Row],[Fault Time]])*24)</f>
        <v>0</v>
      </c>
      <c r="AG466" s="205">
        <f>IFERROR((PA[[#This Row],[Work Completion time on fault]]-PA[[#This Row],[Fault Time]])*24,"")</f>
        <v>0</v>
      </c>
      <c r="AH466" s="284"/>
      <c r="AI466" s="33"/>
      <c r="AJ466" s="204" t="str">
        <f>IFERROR(PA[[#This Row],[Breakdown Time]]*PA[[#This Row],[Plant Equivalent Weightage]],"")</f>
        <v/>
      </c>
      <c r="AK466" s="38"/>
      <c r="AL466" s="280" t="str">
        <f>IFERROR((_xlfn.XLOOKUP($G466,'Modelling New'!D:D,'Modelling New'!$O:$O)*PA[[#This Row],[Lost PoA(kWh/m2)]]*PA[[#This Row],[DC Capacity Affected (kW)]]),"")</f>
        <v/>
      </c>
      <c r="AM466" s="37"/>
      <c r="AN466" s="37"/>
      <c r="AO466" s="37"/>
      <c r="AP466" s="37"/>
    </row>
    <row r="467" spans="1:42">
      <c r="A467" s="30">
        <f t="shared" si="4"/>
        <v>466</v>
      </c>
      <c r="B467" s="31"/>
      <c r="C467" s="32">
        <f>YEAR(PA[[#This Row],[Date]])+IF(MONTH(PA[[#This Row],[Date]])&gt;=4,1,0)</f>
        <v>1900</v>
      </c>
      <c r="D467" s="202">
        <f>YEAR(PA[[#This Row],[Date]])</f>
        <v>1900</v>
      </c>
      <c r="E467" s="33" t="s">
        <v>157</v>
      </c>
      <c r="F467" s="33" t="s">
        <v>157</v>
      </c>
      <c r="G467" s="194">
        <f>PA[[#This Row],[Date]]-DAY(PA[[#This Row],[Date]])+1</f>
        <v>1</v>
      </c>
      <c r="H467" s="202">
        <f>DAY(EOMONTH(PA[[#This Row],[Month Year]],0))</f>
        <v>31</v>
      </c>
      <c r="I467" s="302"/>
      <c r="J467" s="302"/>
      <c r="K467" s="35">
        <f>IFERROR((PA[[#This Row],[Sunset Time (POA&lt;20 W/m2)]]-PA[[#This Row],[Sunrise Time (POA&gt;20 W/m2)]])*24,"")</f>
        <v>0</v>
      </c>
      <c r="L467" s="33"/>
      <c r="M467" s="33"/>
      <c r="N467" s="33"/>
      <c r="O467" s="38"/>
      <c r="P467" s="38"/>
      <c r="Q467" s="37"/>
      <c r="R467" s="202">
        <f>IF((PA[[#This Row],[String Type(If String BD)]]&amp;PA[[#This Row],[Equipment (If any BD other than PV  array and inv)]])="",1,0)</f>
        <v>1</v>
      </c>
      <c r="S467" s="202">
        <f>IF(PA[[#This Row],[String Type(If String BD)]]="",1,0)</f>
        <v>1</v>
      </c>
      <c r="T467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7" s="204" t="str">
        <f>IFERROR(_xlfn.XLOOKUP(PA[[#This Row],[Affected Equipment ]],'Basic Data'!N:N,'Basic Data'!Q:Q),"")</f>
        <v/>
      </c>
      <c r="V467" s="208" t="str">
        <f>IFERROR(_xlfn.XLOOKUP(PA[[#This Row],[Affected Equipment ]],'Basic Data'!N:N,'Basic Data'!R:R),"")</f>
        <v/>
      </c>
      <c r="W467" s="36"/>
      <c r="X467" s="41"/>
      <c r="Y467" s="286"/>
      <c r="Z467" s="42"/>
      <c r="AA467" s="42"/>
      <c r="AB467" s="42"/>
      <c r="AC467" s="42"/>
      <c r="AD467" s="205">
        <f>IF(PA[[#This Row],[Acknowledgement Time ]]="NA","",(PA[[#This Row],[Acknowledgement Time ]]-PA[[#This Row],[Fault Time]])*24)</f>
        <v>0</v>
      </c>
      <c r="AE467" s="205">
        <f>IF(PA[[#This Row],[Work Start time on Fault]]="NA","",(PA[[#This Row],[Work Start time on Fault]]-PA[[#This Row],[Fault Time]])*24)</f>
        <v>0</v>
      </c>
      <c r="AF467" s="206">
        <f>IF(PA[[#This Row],[Status]]="Open","",(PA[[#This Row],[Work Completion time on fault]]-PA[[#This Row],[Fault Time]])*24)</f>
        <v>0</v>
      </c>
      <c r="AG467" s="205">
        <f>IFERROR((PA[[#This Row],[Work Completion time on fault]]-PA[[#This Row],[Fault Time]])*24,"")</f>
        <v>0</v>
      </c>
      <c r="AH467" s="284"/>
      <c r="AI467" s="33"/>
      <c r="AJ467" s="204" t="str">
        <f>IFERROR(PA[[#This Row],[Breakdown Time]]*PA[[#This Row],[Plant Equivalent Weightage]],"")</f>
        <v/>
      </c>
      <c r="AK467" s="38"/>
      <c r="AL467" s="280" t="str">
        <f>IFERROR((_xlfn.XLOOKUP($G467,'Modelling New'!D:D,'Modelling New'!$O:$O)*PA[[#This Row],[Lost PoA(kWh/m2)]]*PA[[#This Row],[DC Capacity Affected (kW)]]),"")</f>
        <v/>
      </c>
      <c r="AM467" s="37"/>
      <c r="AN467" s="37"/>
      <c r="AO467" s="37"/>
      <c r="AP467" s="37"/>
    </row>
    <row r="468" spans="1:42">
      <c r="A468" s="30">
        <f t="shared" si="4"/>
        <v>467</v>
      </c>
      <c r="B468" s="31"/>
      <c r="C468" s="32">
        <f>YEAR(PA[[#This Row],[Date]])+IF(MONTH(PA[[#This Row],[Date]])&gt;=4,1,0)</f>
        <v>1900</v>
      </c>
      <c r="D468" s="202">
        <f>YEAR(PA[[#This Row],[Date]])</f>
        <v>1900</v>
      </c>
      <c r="E468" s="33" t="s">
        <v>157</v>
      </c>
      <c r="F468" s="33" t="s">
        <v>157</v>
      </c>
      <c r="G468" s="194">
        <f>PA[[#This Row],[Date]]-DAY(PA[[#This Row],[Date]])+1</f>
        <v>1</v>
      </c>
      <c r="H468" s="202">
        <f>DAY(EOMONTH(PA[[#This Row],[Month Year]],0))</f>
        <v>31</v>
      </c>
      <c r="I468" s="302"/>
      <c r="J468" s="302"/>
      <c r="K468" s="35">
        <f>IFERROR((PA[[#This Row],[Sunset Time (POA&lt;20 W/m2)]]-PA[[#This Row],[Sunrise Time (POA&gt;20 W/m2)]])*24,"")</f>
        <v>0</v>
      </c>
      <c r="L468" s="33"/>
      <c r="M468" s="33"/>
      <c r="N468" s="33"/>
      <c r="O468" s="38"/>
      <c r="P468" s="38"/>
      <c r="Q468" s="37"/>
      <c r="R468" s="202">
        <f>IF((PA[[#This Row],[String Type(If String BD)]]&amp;PA[[#This Row],[Equipment (If any BD other than PV  array and inv)]])="",1,0)</f>
        <v>1</v>
      </c>
      <c r="S468" s="202">
        <f>IF(PA[[#This Row],[String Type(If String BD)]]="",1,0)</f>
        <v>1</v>
      </c>
      <c r="T468" s="202" t="str">
        <f>IF(PA[[#This Row],[C1]]=1,CONCATENATE(PA[[#This Row],[Inverter  Station Number (if Bd in filed)]],PA[[#This Row],[Inverter number (If Inv, SCb or Str BD)]],PA[[#This Row],[Inverter Module Number (If Inv, SCb or Str BD)]],PA[[#This Row],[SCB Number (If SCB or Str BD)]]),IF(PA[[#This Row],[C2]]=0,PA[[#This Row],[String Type(If String BD)]],CONCATENATE(PA[[#This Row],[Inverter  Station Number (if Bd in filed)]],PA[[#This Row],[Equipment (If any BD other than PV  array and inv)]])))</f>
        <v/>
      </c>
      <c r="U468" s="204" t="str">
        <f>IFERROR(_xlfn.XLOOKUP(PA[[#This Row],[Affected Equipment ]],'Basic Data'!N:N,'Basic Data'!Q:Q),"")</f>
        <v/>
      </c>
      <c r="V468" s="208" t="str">
        <f>IFERROR(_xlfn.XLOOKUP(PA[[#This Row],[Affected Equipment ]],'Basic Data'!N:N,'Basic Data'!R:R),"")</f>
        <v/>
      </c>
      <c r="W468" s="36"/>
      <c r="X468" s="41"/>
      <c r="Y468" s="283"/>
      <c r="Z468" s="42"/>
      <c r="AA468" s="42"/>
      <c r="AB468" s="42"/>
      <c r="AC468" s="42"/>
      <c r="AD468" s="205">
        <f>IF(PA[[#This Row],[Acknowledgement Time ]]="NA","",(PA[[#This Row],[Acknowledgement Time ]]-PA[[#This Row],[Fault Time]])*24)</f>
        <v>0</v>
      </c>
      <c r="AE468" s="205">
        <f>IF(PA[[#This Row],[Work Start time on Fault]]="NA","",(PA[[#This Row],[Work Start time on Fault]]-PA[[#This Row],[Fault Time]])*24)</f>
        <v>0</v>
      </c>
      <c r="AF468" s="206">
        <f>IF(PA[[#This Row],[Status]]="Open","",(PA[[#This Row],[Work Completion time on fault]]-PA[[#This Row],[Fault Time]])*24)</f>
        <v>0</v>
      </c>
      <c r="AG468" s="205">
        <f>IFERROR((PA[[#This Row],[Work Completion time on fault]]-PA[[#This Row],[Fault Time]])*24,"")</f>
        <v>0</v>
      </c>
      <c r="AH468" s="36"/>
      <c r="AI468" s="33"/>
      <c r="AJ468" s="204" t="str">
        <f>IFERROR(PA[[#This Row],[Breakdown Time]]*PA[[#This Row],[Plant Equivalent Weightage]],"")</f>
        <v/>
      </c>
      <c r="AK468" s="38"/>
      <c r="AL468" s="280" t="str">
        <f>IFERROR((_xlfn.XLOOKUP($G468,'Modelling New'!D:D,'Modelling New'!$O:$O)*PA[[#This Row],[Lost PoA(kWh/m2)]]*PA[[#This Row],[DC Capacity Affected (kW)]]),"")</f>
        <v/>
      </c>
      <c r="AM468" s="37"/>
      <c r="AN468" s="37"/>
      <c r="AO468" s="37"/>
      <c r="AP468" s="37"/>
    </row>
  </sheetData>
  <phoneticPr fontId="37" type="noConversion"/>
  <pageMargins left="0.25" right="0.25" top="0.75" bottom="0.75" header="0.3" footer="0.3"/>
  <pageSetup paperSize="9" scale="21" fitToHeight="0" orientation="landscape" r:id="rId1"/>
  <ignoredErrors>
    <ignoredError sqref="D6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2000000}">
          <x14:formula1>
            <xm:f>'Basic Data'!$F$2:$F$6</xm:f>
          </x14:formula1>
          <xm:sqref>N130:N164 N167:N213 N215:N287 N306:N314 N320:N327 N333 N336:N342 N353:N357 N360:N364 N367 N373 N376 N386:N424 N426 N431:N439 N441:N442 N446:N448 N450:N468 N2:N45 N54:N127</xm:sqref>
        </x14:dataValidation>
        <x14:dataValidation type="list" allowBlank="1" showInputMessage="1" showErrorMessage="1" xr:uid="{00000000-0002-0000-0700-000003000000}">
          <x14:formula1>
            <xm:f>'Basic Data'!$H$2:$H$24</xm:f>
          </x14:formula1>
          <xm:sqref>O130:O131 O139:O164 O167:O172 O174:O181 O183:O184 O187 O190:O191 O193:O195 O197:O202 O215:O216 O220:O231 O235:O236 O238 O255 O266 O319:O321 O349:O352 O369 O379 O416 O419 O424 O452:O461 O2:O45 O54:O113 O115:O127</xm:sqref>
        </x14:dataValidation>
        <x14:dataValidation type="list" allowBlank="1" showInputMessage="1" showErrorMessage="1" xr:uid="{00000000-0002-0000-0700-000004000000}">
          <x14:formula1>
            <xm:f>'Basic Data'!$J$2:$J$10</xm:f>
          </x14:formula1>
          <xm:sqref>P130:P164 P167:P172 P175:P181 P184 P187 P221:P224 P228 P230:P231 P255 P319 P350:P352 P379 P416 P419 P424 P452:P461 P2:P45 P54:P127</xm:sqref>
        </x14:dataValidation>
        <x14:dataValidation type="list" allowBlank="1" showInputMessage="1" showErrorMessage="1" xr:uid="{00000000-0002-0000-0700-000007000000}">
          <x14:formula1>
            <xm:f>'Basic Data'!$Z$2:$Z$3</xm:f>
          </x14:formula1>
          <xm:sqref>AI184:AI287 AI319:AI321 AI330:AI331 AI2:AI113 AI447:AI468 AI170:AI182</xm:sqref>
        </x14:dataValidation>
        <x14:dataValidation type="list" allowBlank="1" showInputMessage="1" showErrorMessage="1" xr:uid="{00000000-0002-0000-0700-000001000000}">
          <x14:formula1>
            <xm:f>'Basic Data'!$D$2:$D$14</xm:f>
          </x14:formula1>
          <xm:sqref>M2:M5 M26:M45 M54:M113 M115:M468</xm:sqref>
        </x14:dataValidation>
        <x14:dataValidation type="list" allowBlank="1" showInputMessage="1" showErrorMessage="1" xr:uid="{00000000-0002-0000-0700-000006000000}">
          <x14:formula1>
            <xm:f>'Basic Data'!$X$2:$X$20</xm:f>
          </x14:formula1>
          <xm:sqref>W2:W45 W60:W468</xm:sqref>
        </x14:dataValidation>
        <x14:dataValidation type="list" allowBlank="1" showInputMessage="1" showErrorMessage="1" xr:uid="{00000000-0002-0000-0700-000000000000}">
          <x14:formula1>
            <xm:f>'Basic Data'!$B$2:$B$20</xm:f>
          </x14:formula1>
          <xm:sqref>L2:L5 L26:L45 L54:L113 L115:L468</xm:sqref>
        </x14:dataValidation>
        <x14:dataValidation type="list" allowBlank="1" showInputMessage="1" showErrorMessage="1" xr:uid="{00000000-0002-0000-0700-000005000000}">
          <x14:formula1>
            <xm:f>'Basic Data'!$L$2:$L$15</xm:f>
          </x14:formula1>
          <xm:sqref>Q2:Q45 Q54:Q113 Q115:Q468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604"/>
  <sheetViews>
    <sheetView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Q4" sqref="Q4"/>
    </sheetView>
  </sheetViews>
  <sheetFormatPr defaultColWidth="8.81640625" defaultRowHeight="14.5"/>
  <cols>
    <col min="1" max="1" width="10.1796875" customWidth="1"/>
    <col min="2" max="2" width="9.81640625" customWidth="1"/>
    <col min="3" max="3" width="12.1796875" customWidth="1"/>
    <col min="4" max="4" width="12.81640625" customWidth="1"/>
    <col min="5" max="5" width="13.453125" customWidth="1"/>
    <col min="6" max="6" width="8.81640625" style="4"/>
    <col min="7" max="8" width="10.1796875" style="4" customWidth="1"/>
    <col min="9" max="9" width="10.1796875" customWidth="1"/>
    <col min="10" max="10" width="52.1796875" customWidth="1"/>
    <col min="11" max="11" width="10.1796875" customWidth="1"/>
    <col min="12" max="12" width="12.1796875" customWidth="1"/>
    <col min="13" max="13" width="13" bestFit="1" customWidth="1"/>
    <col min="14" max="14" width="13.453125" bestFit="1" customWidth="1"/>
    <col min="15" max="15" width="16.453125" bestFit="1" customWidth="1"/>
    <col min="16" max="17" width="12.1796875" bestFit="1" customWidth="1"/>
    <col min="18" max="18" width="60.1796875" customWidth="1"/>
    <col min="19" max="19" width="10.1796875" bestFit="1" customWidth="1"/>
    <col min="20" max="21" width="13.81640625" customWidth="1"/>
    <col min="22" max="22" width="15.453125" style="13" bestFit="1" customWidth="1"/>
    <col min="23" max="23" width="13.453125" bestFit="1" customWidth="1"/>
    <col min="24" max="24" width="13.81640625" bestFit="1" customWidth="1"/>
    <col min="25" max="25" width="13.453125" bestFit="1" customWidth="1"/>
    <col min="31" max="31" width="22.453125" customWidth="1"/>
  </cols>
  <sheetData>
    <row r="1" spans="1:26" ht="42" customHeight="1">
      <c r="A1" s="14" t="s">
        <v>5</v>
      </c>
      <c r="B1" s="15" t="s">
        <v>77</v>
      </c>
      <c r="C1" s="14" t="s">
        <v>121</v>
      </c>
      <c r="D1" s="14" t="s">
        <v>122</v>
      </c>
      <c r="E1" s="14" t="s">
        <v>141</v>
      </c>
      <c r="F1" s="14" t="s">
        <v>142</v>
      </c>
      <c r="G1" s="14" t="s">
        <v>322</v>
      </c>
      <c r="H1" s="14" t="s">
        <v>323</v>
      </c>
      <c r="I1" s="14" t="s">
        <v>144</v>
      </c>
      <c r="J1" s="139" t="s">
        <v>145</v>
      </c>
      <c r="K1" s="14" t="s">
        <v>324</v>
      </c>
      <c r="L1" s="14" t="s">
        <v>146</v>
      </c>
      <c r="M1" s="14" t="s">
        <v>147</v>
      </c>
      <c r="N1" s="14" t="s">
        <v>148</v>
      </c>
      <c r="O1" s="14" t="s">
        <v>149</v>
      </c>
      <c r="P1" s="14" t="s">
        <v>150</v>
      </c>
      <c r="Q1" s="14" t="s">
        <v>151</v>
      </c>
      <c r="R1" s="14" t="s">
        <v>152</v>
      </c>
      <c r="S1" s="14" t="s">
        <v>153</v>
      </c>
      <c r="T1" s="21" t="s">
        <v>154</v>
      </c>
      <c r="U1" s="21" t="s">
        <v>325</v>
      </c>
      <c r="V1" s="22" t="s">
        <v>155</v>
      </c>
      <c r="W1" s="22" t="s">
        <v>326</v>
      </c>
      <c r="X1" s="22" t="s">
        <v>327</v>
      </c>
      <c r="Y1" s="29" t="s">
        <v>228</v>
      </c>
      <c r="Z1" s="29" t="s">
        <v>229</v>
      </c>
    </row>
    <row r="2" spans="1:26">
      <c r="A2" s="8">
        <v>1</v>
      </c>
      <c r="B2" s="16">
        <v>45689</v>
      </c>
      <c r="C2" s="26">
        <f>YEAR(Grid_BD[[#This Row],[Date]])+IF(MONTH(Grid_BD[[#This Row],[Date]])&gt;=4,1,0)</f>
        <v>2025</v>
      </c>
      <c r="D2" s="8">
        <f>YEAR(Grid_BD[[#This Row],[Date]])</f>
        <v>2025</v>
      </c>
      <c r="E2" s="8" t="s">
        <v>156</v>
      </c>
      <c r="G2" s="4" t="str">
        <f>IFERROR(_xlfn.XLOOKUP(Grid_BD[[#This Row],[Date]],RD[Date],RD[Operating Hours]),"")</f>
        <v/>
      </c>
      <c r="H2" s="4" t="str">
        <f>IFERROR(VLOOKUP(Grid_BD[[#This Row],[Affected Feeder ]],'Basic Data'!$AM$2:$AQ$42,3,0),"")</f>
        <v/>
      </c>
      <c r="I2" s="7" t="str">
        <f>IFERROR(VLOOKUP(Grid_BD[[#This Row],[Affected Feeder ]],'Basic Data'!$AM$2:$AQ$42,5,0),"")</f>
        <v/>
      </c>
      <c r="L2" s="18"/>
      <c r="M2" s="18"/>
      <c r="N2" s="18"/>
      <c r="O2" s="19">
        <f>(Grid_BD[[#This Row],[Work Start TimeStamp]]-Grid_BD[[#This Row],[Fault Start TimeStamp]])*24</f>
        <v>0</v>
      </c>
      <c r="P2" s="19">
        <f>(Grid_BD[[#This Row],[Fault Clearance time]]-Grid_BD[[#This Row],[Work Start TimeStamp]])*24</f>
        <v>0</v>
      </c>
      <c r="Q2" s="19">
        <f>(Grid_BD[[#This Row],[Fault Clearance time]]-Grid_BD[[#This Row],[Fault Start TimeStamp]])*24</f>
        <v>0</v>
      </c>
      <c r="R2" s="23"/>
      <c r="S2" s="4"/>
      <c r="T2" s="24" t="str">
        <f>IFERROR(Grid_BD[[#This Row],[Breakdown Time]]*Grid_BD[[#This Row],[Plant Equivalent Weightage]],"")</f>
        <v/>
      </c>
      <c r="U2" s="24">
        <v>0</v>
      </c>
      <c r="V2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" s="3">
        <f>IF(K2="Curtailment Order",(((100%*(Grid_BD[[#This Row],[Op. Hours]]-T2))+(((W2)/'Basic Data'!$AC$4)*T2))/Grid_BD[[#This Row],[Op. Hours]]),1)</f>
        <v>1</v>
      </c>
    </row>
    <row r="3" spans="1:26">
      <c r="A3" s="8">
        <f t="shared" ref="A3:A15" si="0">A2+1</f>
        <v>2</v>
      </c>
      <c r="B3" s="16"/>
      <c r="C3" s="26">
        <f>YEAR(Grid_BD[[#This Row],[Date]])+IF(MONTH(Grid_BD[[#This Row],[Date]])&gt;=4,1,0)</f>
        <v>1900</v>
      </c>
      <c r="D3" s="8">
        <f>YEAR(Grid_BD[[#This Row],[Date]])</f>
        <v>1900</v>
      </c>
      <c r="E3" s="8" t="s">
        <v>156</v>
      </c>
      <c r="G3" s="4" t="str">
        <f>IFERROR(_xlfn.XLOOKUP(Grid_BD[[#This Row],[Date]],RD[Date],RD[Operating Hours]),"")</f>
        <v/>
      </c>
      <c r="H3" s="4" t="str">
        <f>IFERROR(VLOOKUP(Grid_BD[[#This Row],[Affected Feeder ]],'Basic Data'!$AM$2:$AQ$42,3,0),"")</f>
        <v/>
      </c>
      <c r="I3" s="7" t="str">
        <f>IFERROR(VLOOKUP(Grid_BD[[#This Row],[Affected Feeder ]],'Basic Data'!$AM$2:$AQ$42,5,0),"")</f>
        <v/>
      </c>
      <c r="L3" s="18"/>
      <c r="M3" s="18"/>
      <c r="N3" s="18"/>
      <c r="O3" s="19">
        <f>(Grid_BD[[#This Row],[Work Start TimeStamp]]-Grid_BD[[#This Row],[Fault Start TimeStamp]])*24</f>
        <v>0</v>
      </c>
      <c r="P3" s="19">
        <f>(Grid_BD[[#This Row],[Fault Clearance time]]-Grid_BD[[#This Row],[Work Start TimeStamp]])*24</f>
        <v>0</v>
      </c>
      <c r="Q3" s="19">
        <f>(Grid_BD[[#This Row],[Fault Clearance time]]-Grid_BD[[#This Row],[Fault Start TimeStamp]])*24</f>
        <v>0</v>
      </c>
      <c r="R3" s="23"/>
      <c r="S3" s="4"/>
      <c r="T3" s="24" t="str">
        <f>IFERROR(Grid_BD[[#This Row],[Breakdown Time]]*Grid_BD[[#This Row],[Plant Equivalent Weightage]],"")</f>
        <v/>
      </c>
      <c r="U3" s="24"/>
      <c r="V3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" s="3">
        <f>IF(K3="Curtailment Order",(((100%*(Grid_BD[[#This Row],[Op. Hours]]-T3))+(((W3)/'Basic Data'!$AC$4)*T3))/Grid_BD[[#This Row],[Op. Hours]]),1)</f>
        <v>1</v>
      </c>
    </row>
    <row r="4" spans="1:26">
      <c r="A4" s="8">
        <f t="shared" si="0"/>
        <v>3</v>
      </c>
      <c r="B4" s="16"/>
      <c r="C4" s="26">
        <f>YEAR(Grid_BD[[#This Row],[Date]])+IF(MONTH(Grid_BD[[#This Row],[Date]])&gt;=4,1,0)</f>
        <v>1900</v>
      </c>
      <c r="D4" s="8">
        <f>YEAR(Grid_BD[[#This Row],[Date]])</f>
        <v>1900</v>
      </c>
      <c r="E4" s="8" t="s">
        <v>156</v>
      </c>
      <c r="G4" s="4" t="str">
        <f>IFERROR(_xlfn.XLOOKUP(Grid_BD[[#This Row],[Date]],RD[Date],RD[Operating Hours]),"")</f>
        <v/>
      </c>
      <c r="H4" s="4" t="str">
        <f>IFERROR(VLOOKUP(Grid_BD[[#This Row],[Affected Feeder ]],'Basic Data'!$AM$2:$AQ$42,3,0),"")</f>
        <v/>
      </c>
      <c r="I4" s="7" t="str">
        <f>IFERROR(VLOOKUP(Grid_BD[[#This Row],[Affected Feeder ]],'Basic Data'!$AM$2:$AQ$42,5,0),"")</f>
        <v/>
      </c>
      <c r="L4" s="18"/>
      <c r="M4" s="18"/>
      <c r="N4" s="18"/>
      <c r="O4" s="19"/>
      <c r="P4" s="19"/>
      <c r="Q4" s="19"/>
      <c r="R4" s="23"/>
      <c r="S4" s="4"/>
      <c r="T4" s="24" t="s">
        <v>281</v>
      </c>
      <c r="U4" s="24">
        <v>3.8859804999999996</v>
      </c>
      <c r="V4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4" s="3">
        <f>IF(K4="Curtailment Order",(((100%*(Grid_BD[[#This Row],[Op. Hours]]-T4))+(((W4)/'Basic Data'!$AC$4)*T4))/Grid_BD[[#This Row],[Op. Hours]]),1)</f>
        <v>1</v>
      </c>
    </row>
    <row r="5" spans="1:26">
      <c r="A5" s="8">
        <f t="shared" si="0"/>
        <v>4</v>
      </c>
      <c r="B5" s="16"/>
      <c r="C5" s="26">
        <f>YEAR(Grid_BD[[#This Row],[Date]])+IF(MONTH(Grid_BD[[#This Row],[Date]])&gt;=4,1,0)</f>
        <v>1900</v>
      </c>
      <c r="D5" s="8">
        <f>YEAR(Grid_BD[[#This Row],[Date]])</f>
        <v>1900</v>
      </c>
      <c r="E5" s="8" t="s">
        <v>156</v>
      </c>
      <c r="G5" s="4" t="str">
        <f>IFERROR(_xlfn.XLOOKUP(Grid_BD[[#This Row],[Date]],RD[Date],RD[Operating Hours]),"")</f>
        <v/>
      </c>
      <c r="H5" s="4" t="str">
        <f>IFERROR(VLOOKUP(Grid_BD[[#This Row],[Affected Feeder ]],'Basic Data'!$AM$2:$AQ$42,3,0),"")</f>
        <v/>
      </c>
      <c r="I5" s="7" t="str">
        <f>IFERROR(VLOOKUP(Grid_BD[[#This Row],[Affected Feeder ]],'Basic Data'!$AM$2:$AQ$42,5,0),"")</f>
        <v/>
      </c>
      <c r="L5" s="18"/>
      <c r="M5" s="20"/>
      <c r="N5" s="18"/>
      <c r="O5" s="19">
        <f>(Grid_BD[[#This Row],[Work Start TimeStamp]]-Grid_BD[[#This Row],[Fault Start TimeStamp]])*24</f>
        <v>0</v>
      </c>
      <c r="P5" s="19">
        <f>(Grid_BD[[#This Row],[Fault Clearance time]]-Grid_BD[[#This Row],[Work Start TimeStamp]])*24</f>
        <v>0</v>
      </c>
      <c r="Q5" s="19">
        <f>(Grid_BD[[#This Row],[Fault Clearance time]]-Grid_BD[[#This Row],[Fault Start TimeStamp]])*24</f>
        <v>0</v>
      </c>
      <c r="R5" s="23"/>
      <c r="S5" s="4"/>
      <c r="T5" s="24" t="str">
        <f>IFERROR(Grid_BD[[#This Row],[Breakdown Time]]*Grid_BD[[#This Row],[Plant Equivalent Weightage]],"")</f>
        <v/>
      </c>
      <c r="U5" s="24"/>
      <c r="V5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5" s="3">
        <f>IF(K5="Curtailment Order",(((100%*(Grid_BD[[#This Row],[Op. Hours]]-T5))+(((W5)/'Basic Data'!$AC$4)*T5))/Grid_BD[[#This Row],[Op. Hours]]),1)</f>
        <v>1</v>
      </c>
    </row>
    <row r="6" spans="1:26">
      <c r="A6" s="8">
        <f t="shared" si="0"/>
        <v>5</v>
      </c>
      <c r="B6" s="16"/>
      <c r="C6" s="26">
        <f>YEAR(Grid_BD[[#This Row],[Date]])+IF(MONTH(Grid_BD[[#This Row],[Date]])&gt;=4,1,0)</f>
        <v>1900</v>
      </c>
      <c r="D6" s="8">
        <f>YEAR(Grid_BD[[#This Row],[Date]])</f>
        <v>1900</v>
      </c>
      <c r="E6" s="8" t="s">
        <v>156</v>
      </c>
      <c r="G6" s="4" t="str">
        <f>IFERROR(_xlfn.XLOOKUP(Grid_BD[[#This Row],[Date]],RD[Date],RD[Operating Hours]),"")</f>
        <v/>
      </c>
      <c r="H6" s="4" t="str">
        <f>IFERROR(VLOOKUP(Grid_BD[[#This Row],[Affected Feeder ]],'Basic Data'!$AM$2:$AQ$42,3,0),"")</f>
        <v/>
      </c>
      <c r="I6" s="7" t="str">
        <f>IFERROR(VLOOKUP(Grid_BD[[#This Row],[Affected Feeder ]],'Basic Data'!$AM$2:$AQ$42,5,0),"")</f>
        <v/>
      </c>
      <c r="L6" s="18"/>
      <c r="M6" s="20"/>
      <c r="N6" s="18"/>
      <c r="O6" s="19">
        <f>(Grid_BD[[#This Row],[Work Start TimeStamp]]-Grid_BD[[#This Row],[Fault Start TimeStamp]])*24</f>
        <v>0</v>
      </c>
      <c r="P6" s="19">
        <f>(Grid_BD[[#This Row],[Fault Clearance time]]-Grid_BD[[#This Row],[Work Start TimeStamp]])*24</f>
        <v>0</v>
      </c>
      <c r="Q6" s="19">
        <f>(Grid_BD[[#This Row],[Fault Clearance time]]-Grid_BD[[#This Row],[Fault Start TimeStamp]])*24</f>
        <v>0</v>
      </c>
      <c r="R6" s="23"/>
      <c r="S6" s="4"/>
      <c r="T6" s="24" t="str">
        <f>IFERROR(Grid_BD[[#This Row],[Breakdown Time]]*Grid_BD[[#This Row],[Plant Equivalent Weightage]],"")</f>
        <v/>
      </c>
      <c r="U6" s="24"/>
      <c r="V6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6" s="3">
        <f>IF(K6="Curtailment Order",(((100%*(Grid_BD[[#This Row],[Op. Hours]]-T6))+(((W6)/'Basic Data'!$AC$4)*T6))/Grid_BD[[#This Row],[Op. Hours]]),1)</f>
        <v>1</v>
      </c>
    </row>
    <row r="7" spans="1:26">
      <c r="A7" s="8">
        <f t="shared" si="0"/>
        <v>6</v>
      </c>
      <c r="B7" s="16"/>
      <c r="C7" s="26">
        <f>YEAR(Grid_BD[[#This Row],[Date]])+IF(MONTH(Grid_BD[[#This Row],[Date]])&gt;=4,1,0)</f>
        <v>1900</v>
      </c>
      <c r="D7" s="8">
        <f>YEAR(Grid_BD[[#This Row],[Date]])</f>
        <v>1900</v>
      </c>
      <c r="E7" s="8" t="s">
        <v>156</v>
      </c>
      <c r="G7" s="4" t="str">
        <f>IFERROR(_xlfn.XLOOKUP(Grid_BD[[#This Row],[Date]],RD[Date],RD[Operating Hours]),"")</f>
        <v/>
      </c>
      <c r="H7" s="4" t="str">
        <f>IFERROR(VLOOKUP(Grid_BD[[#This Row],[Affected Feeder ]],'Basic Data'!$AM$2:$AQ$42,3,0),"")</f>
        <v/>
      </c>
      <c r="I7" s="7" t="str">
        <f>IFERROR(VLOOKUP(Grid_BD[[#This Row],[Affected Feeder ]],'Basic Data'!$AM$2:$AQ$42,5,0),"")</f>
        <v/>
      </c>
      <c r="L7" s="18"/>
      <c r="M7" s="20"/>
      <c r="N7" s="18"/>
      <c r="O7" s="19">
        <f>(Grid_BD[[#This Row],[Work Start TimeStamp]]-Grid_BD[[#This Row],[Fault Start TimeStamp]])*24</f>
        <v>0</v>
      </c>
      <c r="P7" s="19">
        <f>(Grid_BD[[#This Row],[Fault Clearance time]]-Grid_BD[[#This Row],[Work Start TimeStamp]])*24</f>
        <v>0</v>
      </c>
      <c r="Q7" s="19">
        <f>(Grid_BD[[#This Row],[Fault Clearance time]]-Grid_BD[[#This Row],[Fault Start TimeStamp]])*24</f>
        <v>0</v>
      </c>
      <c r="R7" s="23"/>
      <c r="S7" s="4"/>
      <c r="T7" s="24" t="str">
        <f>IFERROR(Grid_BD[[#This Row],[Breakdown Time]]*Grid_BD[[#This Row],[Plant Equivalent Weightage]],"")</f>
        <v/>
      </c>
      <c r="U7" s="24"/>
      <c r="V7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7" s="3">
        <f>IF(K7="Curtailment Order",(((100%*(Grid_BD[[#This Row],[Op. Hours]]-T7))+(((W7)/'Basic Data'!$AC$4)*T7))/Grid_BD[[#This Row],[Op. Hours]]),1)</f>
        <v>1</v>
      </c>
    </row>
    <row r="8" spans="1:26">
      <c r="A8" s="8">
        <f t="shared" si="0"/>
        <v>7</v>
      </c>
      <c r="B8" s="16"/>
      <c r="C8" s="26">
        <f>YEAR(Grid_BD[[#This Row],[Date]])+IF(MONTH(Grid_BD[[#This Row],[Date]])&gt;=4,1,0)</f>
        <v>1900</v>
      </c>
      <c r="D8" s="8">
        <f>YEAR(Grid_BD[[#This Row],[Date]])</f>
        <v>1900</v>
      </c>
      <c r="E8" s="8" t="s">
        <v>156</v>
      </c>
      <c r="G8" s="4" t="str">
        <f>IFERROR(_xlfn.XLOOKUP(Grid_BD[[#This Row],[Date]],RD[Date],RD[Operating Hours]),"")</f>
        <v/>
      </c>
      <c r="H8" s="4" t="str">
        <f>IFERROR(VLOOKUP(Grid_BD[[#This Row],[Affected Feeder ]],'Basic Data'!$AM$2:$AQ$42,3,0),"")</f>
        <v/>
      </c>
      <c r="I8" s="7" t="str">
        <f>IFERROR(VLOOKUP(Grid_BD[[#This Row],[Affected Feeder ]],'Basic Data'!$AM$2:$AQ$42,5,0),"")</f>
        <v/>
      </c>
      <c r="L8" s="18"/>
      <c r="M8" s="20"/>
      <c r="N8" s="18"/>
      <c r="O8" s="19">
        <f>(Grid_BD[[#This Row],[Work Start TimeStamp]]-Grid_BD[[#This Row],[Fault Start TimeStamp]])*24</f>
        <v>0</v>
      </c>
      <c r="P8" s="19">
        <f>(Grid_BD[[#This Row],[Fault Clearance time]]-Grid_BD[[#This Row],[Work Start TimeStamp]])*24</f>
        <v>0</v>
      </c>
      <c r="Q8" s="19">
        <f>(Grid_BD[[#This Row],[Fault Clearance time]]-Grid_BD[[#This Row],[Fault Start TimeStamp]])*24</f>
        <v>0</v>
      </c>
      <c r="R8" s="23"/>
      <c r="S8" s="4"/>
      <c r="T8" s="24" t="str">
        <f>IFERROR(Grid_BD[[#This Row],[Breakdown Time]]*Grid_BD[[#This Row],[Plant Equivalent Weightage]],"")</f>
        <v/>
      </c>
      <c r="U8" s="24"/>
      <c r="V8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8" s="3">
        <f>IF(K8="Curtailment Order",(((100%*(Grid_BD[[#This Row],[Op. Hours]]-T8))+(((W8)/'Basic Data'!$AC$4)*T8))/Grid_BD[[#This Row],[Op. Hours]]),1)</f>
        <v>1</v>
      </c>
    </row>
    <row r="9" spans="1:26">
      <c r="A9" s="8">
        <f t="shared" si="0"/>
        <v>8</v>
      </c>
      <c r="B9" s="16"/>
      <c r="C9" s="26">
        <f>YEAR(Grid_BD[[#This Row],[Date]])+IF(MONTH(Grid_BD[[#This Row],[Date]])&gt;=4,1,0)</f>
        <v>1900</v>
      </c>
      <c r="D9" s="8">
        <f>YEAR(Grid_BD[[#This Row],[Date]])</f>
        <v>1900</v>
      </c>
      <c r="E9" s="8" t="s">
        <v>156</v>
      </c>
      <c r="G9" s="4" t="str">
        <f>IFERROR(_xlfn.XLOOKUP(Grid_BD[[#This Row],[Date]],RD[Date],RD[Operating Hours]),"")</f>
        <v/>
      </c>
      <c r="H9" s="4" t="str">
        <f>IFERROR(VLOOKUP(Grid_BD[[#This Row],[Affected Feeder ]],'Basic Data'!$AM$2:$AQ$42,3,0),"")</f>
        <v/>
      </c>
      <c r="I9" s="7" t="str">
        <f>IFERROR(VLOOKUP(Grid_BD[[#This Row],[Affected Feeder ]],'Basic Data'!$AM$2:$AQ$42,5,0),"")</f>
        <v/>
      </c>
      <c r="L9" s="18"/>
      <c r="M9" s="20"/>
      <c r="N9" s="18"/>
      <c r="O9" s="19">
        <f>(Grid_BD[[#This Row],[Work Start TimeStamp]]-Grid_BD[[#This Row],[Fault Start TimeStamp]])*24</f>
        <v>0</v>
      </c>
      <c r="P9" s="19">
        <f>(Grid_BD[[#This Row],[Fault Clearance time]]-Grid_BD[[#This Row],[Work Start TimeStamp]])*24</f>
        <v>0</v>
      </c>
      <c r="Q9" s="19">
        <f>(Grid_BD[[#This Row],[Fault Clearance time]]-Grid_BD[[#This Row],[Fault Start TimeStamp]])*24</f>
        <v>0</v>
      </c>
      <c r="R9" s="23"/>
      <c r="S9" s="4"/>
      <c r="T9" s="24" t="str">
        <f>IFERROR(Grid_BD[[#This Row],[Breakdown Time]]*Grid_BD[[#This Row],[Plant Equivalent Weightage]],"")</f>
        <v/>
      </c>
      <c r="U9" s="24"/>
      <c r="V9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9" s="3">
        <f>IF(K9="Curtailment Order",(((100%*(Grid_BD[[#This Row],[Op. Hours]]-T9))+(((W9)/'Basic Data'!$AC$4)*T9))/Grid_BD[[#This Row],[Op. Hours]]),1)</f>
        <v>1</v>
      </c>
    </row>
    <row r="10" spans="1:26">
      <c r="A10" s="8">
        <f t="shared" si="0"/>
        <v>9</v>
      </c>
      <c r="B10" s="16"/>
      <c r="C10" s="26">
        <f>YEAR(Grid_BD[[#This Row],[Date]])+IF(MONTH(Grid_BD[[#This Row],[Date]])&gt;=4,1,0)</f>
        <v>1900</v>
      </c>
      <c r="D10" s="8">
        <f>YEAR(Grid_BD[[#This Row],[Date]])</f>
        <v>1900</v>
      </c>
      <c r="E10" s="8" t="s">
        <v>156</v>
      </c>
      <c r="G10" s="4" t="str">
        <f>IFERROR(_xlfn.XLOOKUP(Grid_BD[[#This Row],[Date]],RD[Date],RD[Operating Hours]),"")</f>
        <v/>
      </c>
      <c r="H10" s="4" t="str">
        <f>IFERROR(VLOOKUP(Grid_BD[[#This Row],[Affected Feeder ]],'Basic Data'!$AM$2:$AQ$42,3,0),"")</f>
        <v/>
      </c>
      <c r="I10" s="7" t="str">
        <f>IFERROR(VLOOKUP(Grid_BD[[#This Row],[Affected Feeder ]],'Basic Data'!$AM$2:$AQ$42,5,0),"")</f>
        <v/>
      </c>
      <c r="L10" s="18"/>
      <c r="M10" s="20"/>
      <c r="N10" s="18"/>
      <c r="O10" s="19">
        <f>(Grid_BD[[#This Row],[Work Start TimeStamp]]-Grid_BD[[#This Row],[Fault Start TimeStamp]])*24</f>
        <v>0</v>
      </c>
      <c r="P10" s="19">
        <f>(Grid_BD[[#This Row],[Fault Clearance time]]-Grid_BD[[#This Row],[Work Start TimeStamp]])*24</f>
        <v>0</v>
      </c>
      <c r="Q10" s="19">
        <f>(Grid_BD[[#This Row],[Fault Clearance time]]-Grid_BD[[#This Row],[Fault Start TimeStamp]])*24</f>
        <v>0</v>
      </c>
      <c r="R10" s="23"/>
      <c r="S10" s="4"/>
      <c r="T10" s="24" t="str">
        <f>IFERROR(Grid_BD[[#This Row],[Breakdown Time]]*Grid_BD[[#This Row],[Plant Equivalent Weightage]],"")</f>
        <v/>
      </c>
      <c r="U10" s="24"/>
      <c r="V10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0" s="3">
        <f>IF(K10="Curtailment Order",(((100%*(Grid_BD[[#This Row],[Op. Hours]]-T10))+(((W10)/'Basic Data'!$AC$4)*T10))/Grid_BD[[#This Row],[Op. Hours]]),1)</f>
        <v>1</v>
      </c>
    </row>
    <row r="11" spans="1:26">
      <c r="A11" s="8">
        <f t="shared" si="0"/>
        <v>10</v>
      </c>
      <c r="B11" s="16"/>
      <c r="C11" s="26">
        <f>YEAR(Grid_BD[[#This Row],[Date]])+IF(MONTH(Grid_BD[[#This Row],[Date]])&gt;=4,1,0)</f>
        <v>1900</v>
      </c>
      <c r="D11" s="8">
        <f>YEAR(Grid_BD[[#This Row],[Date]])</f>
        <v>1900</v>
      </c>
      <c r="E11" s="8" t="s">
        <v>156</v>
      </c>
      <c r="G11" s="4" t="str">
        <f>IFERROR(_xlfn.XLOOKUP(Grid_BD[[#This Row],[Date]],RD[Date],RD[Operating Hours]),"")</f>
        <v/>
      </c>
      <c r="H11" s="4" t="str">
        <f>IFERROR(VLOOKUP(Grid_BD[[#This Row],[Affected Feeder ]],'Basic Data'!$AM$2:$AQ$42,3,0),"")</f>
        <v/>
      </c>
      <c r="I11" s="7" t="str">
        <f>IFERROR(VLOOKUP(Grid_BD[[#This Row],[Affected Feeder ]],'Basic Data'!$AM$2:$AQ$42,5,0),"")</f>
        <v/>
      </c>
      <c r="L11" s="18"/>
      <c r="M11" s="20"/>
      <c r="N11" s="18"/>
      <c r="O11" s="19">
        <f>(Grid_BD[[#This Row],[Work Start TimeStamp]]-Grid_BD[[#This Row],[Fault Start TimeStamp]])*24</f>
        <v>0</v>
      </c>
      <c r="P11" s="19">
        <f>(Grid_BD[[#This Row],[Fault Clearance time]]-Grid_BD[[#This Row],[Work Start TimeStamp]])*24</f>
        <v>0</v>
      </c>
      <c r="Q11" s="19">
        <f>(Grid_BD[[#This Row],[Fault Clearance time]]-Grid_BD[[#This Row],[Fault Start TimeStamp]])*24</f>
        <v>0</v>
      </c>
      <c r="R11" s="23"/>
      <c r="S11" s="4"/>
      <c r="T11" s="24" t="str">
        <f>IFERROR(Grid_BD[[#This Row],[Breakdown Time]]*Grid_BD[[#This Row],[Plant Equivalent Weightage]],"")</f>
        <v/>
      </c>
      <c r="U11" s="24"/>
      <c r="V11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1" s="3">
        <f>IF(K11="Curtailment Order",(((100%*(Grid_BD[[#This Row],[Op. Hours]]-T11))+(((W11)/'Basic Data'!$AC$4)*T11))/Grid_BD[[#This Row],[Op. Hours]]),1)</f>
        <v>1</v>
      </c>
    </row>
    <row r="12" spans="1:26">
      <c r="A12" s="8">
        <f t="shared" si="0"/>
        <v>11</v>
      </c>
      <c r="B12" s="16"/>
      <c r="C12" s="26">
        <f>YEAR(Grid_BD[[#This Row],[Date]])+IF(MONTH(Grid_BD[[#This Row],[Date]])&gt;=4,1,0)</f>
        <v>1900</v>
      </c>
      <c r="D12" s="8">
        <f>YEAR(Grid_BD[[#This Row],[Date]])</f>
        <v>1900</v>
      </c>
      <c r="E12" s="8" t="s">
        <v>156</v>
      </c>
      <c r="G12" s="4" t="str">
        <f>IFERROR(_xlfn.XLOOKUP(Grid_BD[[#This Row],[Date]],RD[Date],RD[Operating Hours]),"")</f>
        <v/>
      </c>
      <c r="H12" s="4" t="str">
        <f>IFERROR(VLOOKUP(Grid_BD[[#This Row],[Affected Feeder ]],'Basic Data'!$AM$2:$AQ$42,3,0),"")</f>
        <v/>
      </c>
      <c r="I12" s="7" t="str">
        <f>IFERROR(VLOOKUP(Grid_BD[[#This Row],[Affected Feeder ]],'Basic Data'!$AM$2:$AQ$42,5,0),"")</f>
        <v/>
      </c>
      <c r="L12" s="18"/>
      <c r="M12" s="18"/>
      <c r="N12" s="18"/>
      <c r="O12" s="19">
        <f>(Grid_BD[[#This Row],[Work Start TimeStamp]]-Grid_BD[[#This Row],[Fault Start TimeStamp]])*24</f>
        <v>0</v>
      </c>
      <c r="P12" s="19">
        <f>(Grid_BD[[#This Row],[Fault Clearance time]]-Grid_BD[[#This Row],[Work Start TimeStamp]])*24</f>
        <v>0</v>
      </c>
      <c r="Q12" s="19">
        <f>(Grid_BD[[#This Row],[Fault Clearance time]]-Grid_BD[[#This Row],[Fault Start TimeStamp]])*24</f>
        <v>0</v>
      </c>
      <c r="R12" s="23"/>
      <c r="S12" s="4"/>
      <c r="T12" s="24" t="str">
        <f>IFERROR(Grid_BD[[#This Row],[Breakdown Time]]*Grid_BD[[#This Row],[Plant Equivalent Weightage]],"")</f>
        <v/>
      </c>
      <c r="U12" s="24"/>
      <c r="V12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2" s="3">
        <f>IF(K12="Curtailment Order",(((100%*(Grid_BD[[#This Row],[Op. Hours]]-T12))+(((W12)/'Basic Data'!$AC$4)*T12))/Grid_BD[[#This Row],[Op. Hours]]),1)</f>
        <v>1</v>
      </c>
    </row>
    <row r="13" spans="1:26">
      <c r="A13" s="8">
        <f t="shared" si="0"/>
        <v>12</v>
      </c>
      <c r="B13" s="16"/>
      <c r="C13" s="26">
        <f>YEAR(Grid_BD[[#This Row],[Date]])+IF(MONTH(Grid_BD[[#This Row],[Date]])&gt;=4,1,0)</f>
        <v>1900</v>
      </c>
      <c r="D13" s="8">
        <f>YEAR(Grid_BD[[#This Row],[Date]])</f>
        <v>1900</v>
      </c>
      <c r="E13" s="8" t="s">
        <v>156</v>
      </c>
      <c r="G13" s="6" t="str">
        <f>IFERROR(_xlfn.XLOOKUP(Grid_BD[[#This Row],[Date]],RD[Date],RD[Operating Hours]),"")</f>
        <v/>
      </c>
      <c r="H13" s="4" t="str">
        <f>IFERROR(VLOOKUP(Grid_BD[[#This Row],[Affected Feeder ]],'Basic Data'!$AM$2:$AQ$42,3,0),"")</f>
        <v/>
      </c>
      <c r="I13" s="7" t="str">
        <f>IFERROR(VLOOKUP(Grid_BD[[#This Row],[Affected Feeder ]],'Basic Data'!$AM$2:$AQ$42,5,0),"")</f>
        <v/>
      </c>
      <c r="L13" s="18"/>
      <c r="M13" s="18"/>
      <c r="N13" s="18"/>
      <c r="O13" s="19">
        <f>(Grid_BD[[#This Row],[Work Start TimeStamp]]-Grid_BD[[#This Row],[Fault Start TimeStamp]])*24</f>
        <v>0</v>
      </c>
      <c r="P13" s="19">
        <f>(Grid_BD[[#This Row],[Fault Clearance time]]-Grid_BD[[#This Row],[Work Start TimeStamp]])*24</f>
        <v>0</v>
      </c>
      <c r="Q13" s="19">
        <f>(Grid_BD[[#This Row],[Fault Clearance time]]-Grid_BD[[#This Row],[Fault Start TimeStamp]])*24</f>
        <v>0</v>
      </c>
      <c r="R13" s="23"/>
      <c r="S13" s="4"/>
      <c r="T13" s="24" t="str">
        <f>IFERROR(Grid_BD[[#This Row],[Breakdown Time]]*Grid_BD[[#This Row],[Plant Equivalent Weightage]],"")</f>
        <v/>
      </c>
      <c r="U13" s="24"/>
      <c r="V13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3" s="3">
        <f>IF(K13="Curtailment Order",(((100%*(Grid_BD[[#This Row],[Op. Hours]]-T13))+(((W13)/'Basic Data'!$AC$4)*T13))/Grid_BD[[#This Row],[Op. Hours]]),1)</f>
        <v>1</v>
      </c>
    </row>
    <row r="14" spans="1:26">
      <c r="A14" s="8">
        <f t="shared" si="0"/>
        <v>13</v>
      </c>
      <c r="B14" s="16"/>
      <c r="C14" s="26">
        <f>YEAR(Grid_BD[[#This Row],[Date]])+IF(MONTH(Grid_BD[[#This Row],[Date]])&gt;=4,1,0)</f>
        <v>1900</v>
      </c>
      <c r="D14" s="8">
        <f>YEAR(Grid_BD[[#This Row],[Date]])</f>
        <v>1900</v>
      </c>
      <c r="E14" s="8" t="s">
        <v>156</v>
      </c>
      <c r="G14" s="6" t="str">
        <f>IFERROR(_xlfn.XLOOKUP(Grid_BD[[#This Row],[Date]],RD[Date],RD[Operating Hours]),"")</f>
        <v/>
      </c>
      <c r="H14" s="4" t="str">
        <f>IFERROR(VLOOKUP(Grid_BD[[#This Row],[Affected Feeder ]],'Basic Data'!$AM$2:$AQ$42,3,0),"")</f>
        <v/>
      </c>
      <c r="I14" s="7" t="str">
        <f>IFERROR(VLOOKUP(Grid_BD[[#This Row],[Affected Feeder ]],'Basic Data'!$AM$2:$AQ$42,5,0),"")</f>
        <v/>
      </c>
      <c r="L14" s="18"/>
      <c r="M14" s="18"/>
      <c r="N14" s="18"/>
      <c r="O14" s="19">
        <f>(Grid_BD[[#This Row],[Work Start TimeStamp]]-Grid_BD[[#This Row],[Fault Start TimeStamp]])*24</f>
        <v>0</v>
      </c>
      <c r="P14" s="19">
        <f>(Grid_BD[[#This Row],[Fault Clearance time]]-Grid_BD[[#This Row],[Work Start TimeStamp]])*24</f>
        <v>0</v>
      </c>
      <c r="Q14" s="19">
        <f>(Grid_BD[[#This Row],[Fault Clearance time]]-Grid_BD[[#This Row],[Fault Start TimeStamp]])*24</f>
        <v>0</v>
      </c>
      <c r="R14" s="23"/>
      <c r="S14" s="4"/>
      <c r="T14" s="24" t="str">
        <f>IFERROR(Grid_BD[[#This Row],[Breakdown Time]]*Grid_BD[[#This Row],[Plant Equivalent Weightage]],"")</f>
        <v/>
      </c>
      <c r="U14" s="24"/>
      <c r="V14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4" s="3">
        <f>IF(K14="Curtailment Order",(((100%*(Grid_BD[[#This Row],[Op. Hours]]-T14))+(((W14)/'Basic Data'!$AC$4)*T14))/Grid_BD[[#This Row],[Op. Hours]]),1)</f>
        <v>1</v>
      </c>
    </row>
    <row r="15" spans="1:26">
      <c r="A15" s="8">
        <f t="shared" si="0"/>
        <v>14</v>
      </c>
      <c r="B15" s="16"/>
      <c r="C15" s="26">
        <f>YEAR(Grid_BD[[#This Row],[Date]])+IF(MONTH(Grid_BD[[#This Row],[Date]])&gt;=4,1,0)</f>
        <v>1900</v>
      </c>
      <c r="D15" s="8">
        <f>YEAR(Grid_BD[[#This Row],[Date]])</f>
        <v>1900</v>
      </c>
      <c r="E15" s="8" t="s">
        <v>156</v>
      </c>
      <c r="G15" s="6" t="str">
        <f>IFERROR(_xlfn.XLOOKUP(Grid_BD[[#This Row],[Date]],RD[Date],RD[Operating Hours]),"")</f>
        <v/>
      </c>
      <c r="H15" s="4" t="str">
        <f>IFERROR(VLOOKUP(Grid_BD[[#This Row],[Affected Feeder ]],'Basic Data'!$AM$2:$AQ$42,3,0),"")</f>
        <v/>
      </c>
      <c r="I15" s="7" t="str">
        <f>IFERROR(VLOOKUP(Grid_BD[[#This Row],[Affected Feeder ]],'Basic Data'!$AM$2:$AQ$42,5,0),"")</f>
        <v/>
      </c>
      <c r="L15" s="18"/>
      <c r="M15" s="18"/>
      <c r="N15" s="18"/>
      <c r="O15" s="19">
        <f>(Grid_BD[[#This Row],[Work Start TimeStamp]]-Grid_BD[[#This Row],[Fault Start TimeStamp]])*24</f>
        <v>0</v>
      </c>
      <c r="P15" s="19">
        <f>(Grid_BD[[#This Row],[Fault Clearance time]]-Grid_BD[[#This Row],[Work Start TimeStamp]])*24</f>
        <v>0</v>
      </c>
      <c r="Q15" s="19">
        <f>(Grid_BD[[#This Row],[Fault Clearance time]]-Grid_BD[[#This Row],[Fault Start TimeStamp]])*24</f>
        <v>0</v>
      </c>
      <c r="R15" s="23"/>
      <c r="S15" s="4"/>
      <c r="T15" s="24" t="str">
        <f>IFERROR(Grid_BD[[#This Row],[Breakdown Time]]*Grid_BD[[#This Row],[Plant Equivalent Weightage]],"")</f>
        <v/>
      </c>
      <c r="U15" s="24"/>
      <c r="V15" s="7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5" s="3">
        <f>IF(K15="Curtailment Order",(((100%*(Grid_BD[[#This Row],[Op. Hours]]-T15))+(((W15)/'Basic Data'!$AC$4)*T15))/Grid_BD[[#This Row],[Op. Hours]]),1)</f>
        <v>1</v>
      </c>
    </row>
    <row r="16" spans="1:26">
      <c r="A16" s="8">
        <f t="shared" ref="A16:A33" si="1">A15+1</f>
        <v>15</v>
      </c>
      <c r="B16" s="16"/>
      <c r="C16" s="26">
        <f>YEAR(Grid_BD[[#This Row],[Date]])+IF(MONTH(Grid_BD[[#This Row],[Date]])&gt;=4,1,0)</f>
        <v>1900</v>
      </c>
      <c r="D16" s="8">
        <f>YEAR(Grid_BD[[#This Row],[Date]])</f>
        <v>1900</v>
      </c>
      <c r="E16" s="8" t="s">
        <v>156</v>
      </c>
      <c r="G16" s="6" t="str">
        <f>IFERROR(_xlfn.XLOOKUP(Grid_BD[[#This Row],[Date]],RD[Date],RD[Operating Hours]),"")</f>
        <v/>
      </c>
      <c r="H16" s="4" t="str">
        <f>IFERROR(VLOOKUP(Grid_BD[[#This Row],[Affected Feeder ]],'Basic Data'!$AM$2:$AQ$42,3,0),"")</f>
        <v/>
      </c>
      <c r="I16" s="7" t="str">
        <f>IFERROR(VLOOKUP(Grid_BD[[#This Row],[Affected Feeder ]],'Basic Data'!$AM$2:$AQ$42,5,0),"")</f>
        <v/>
      </c>
      <c r="L16" s="18"/>
      <c r="M16" s="18"/>
      <c r="N16" s="18"/>
      <c r="O16" s="19">
        <f>(Grid_BD[[#This Row],[Work Start TimeStamp]]-Grid_BD[[#This Row],[Fault Start TimeStamp]])*24</f>
        <v>0</v>
      </c>
      <c r="P16" s="19">
        <f>(Grid_BD[[#This Row],[Fault Clearance time]]-Grid_BD[[#This Row],[Work Start TimeStamp]])*24</f>
        <v>0</v>
      </c>
      <c r="Q16" s="19">
        <f>(Grid_BD[[#This Row],[Fault Clearance time]]-Grid_BD[[#This Row],[Fault Start TimeStamp]])*24</f>
        <v>0</v>
      </c>
      <c r="R16" s="23"/>
      <c r="S16" s="4"/>
      <c r="T16" s="24" t="str">
        <f>IFERROR(Grid_BD[[#This Row],[Breakdown Time]]*Grid_BD[[#This Row],[Plant Equivalent Weightage]],"")</f>
        <v/>
      </c>
      <c r="U16" s="24"/>
      <c r="V1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6" s="3">
        <f>IF(K16="Curtailment Order",(((100%*(Grid_BD[[#This Row],[Op. Hours]]-T16))+(((W16)/'Basic Data'!$AC$4)*T16))/Grid_BD[[#This Row],[Op. Hours]]),1)</f>
        <v>1</v>
      </c>
    </row>
    <row r="17" spans="1:24">
      <c r="A17" s="8">
        <f t="shared" si="1"/>
        <v>16</v>
      </c>
      <c r="B17" s="16"/>
      <c r="C17" s="26">
        <f>YEAR(Grid_BD[[#This Row],[Date]])+IF(MONTH(Grid_BD[[#This Row],[Date]])&gt;=4,1,0)</f>
        <v>1900</v>
      </c>
      <c r="D17" s="8">
        <f>YEAR(Grid_BD[[#This Row],[Date]])</f>
        <v>1900</v>
      </c>
      <c r="E17" s="8" t="s">
        <v>156</v>
      </c>
      <c r="G17" s="6" t="str">
        <f>IFERROR(_xlfn.XLOOKUP(Grid_BD[[#This Row],[Date]],RD[Date],RD[Operating Hours]),"")</f>
        <v/>
      </c>
      <c r="H17" s="4" t="str">
        <f>IFERROR(VLOOKUP(Grid_BD[[#This Row],[Affected Feeder ]],'Basic Data'!$AM$2:$AQ$42,3,0),"")</f>
        <v/>
      </c>
      <c r="I17" s="7" t="str">
        <f>IFERROR(VLOOKUP(Grid_BD[[#This Row],[Affected Feeder ]],'Basic Data'!$AM$2:$AQ$42,5,0),"")</f>
        <v/>
      </c>
      <c r="L17" s="18"/>
      <c r="M17" s="18"/>
      <c r="N17" s="18"/>
      <c r="O17" s="19">
        <f>(Grid_BD[[#This Row],[Work Start TimeStamp]]-Grid_BD[[#This Row],[Fault Start TimeStamp]])*24</f>
        <v>0</v>
      </c>
      <c r="P17" s="19">
        <f>(Grid_BD[[#This Row],[Fault Clearance time]]-Grid_BD[[#This Row],[Work Start TimeStamp]])*24</f>
        <v>0</v>
      </c>
      <c r="Q17" s="19">
        <f>(Grid_BD[[#This Row],[Fault Clearance time]]-Grid_BD[[#This Row],[Fault Start TimeStamp]])*24</f>
        <v>0</v>
      </c>
      <c r="R17" s="23"/>
      <c r="S17" s="4"/>
      <c r="T17" s="24" t="str">
        <f>IFERROR(Grid_BD[[#This Row],[Breakdown Time]]*Grid_BD[[#This Row],[Plant Equivalent Weightage]],"")</f>
        <v/>
      </c>
      <c r="U17" s="24"/>
      <c r="V17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7" s="3">
        <f>IF(K17="Curtailment Order",(((100%*(Grid_BD[[#This Row],[Op. Hours]]-T17))+(((W17)/'Basic Data'!$AC$4)*T17))/Grid_BD[[#This Row],[Op. Hours]]),1)</f>
        <v>1</v>
      </c>
    </row>
    <row r="18" spans="1:24">
      <c r="A18" s="164">
        <f t="shared" si="1"/>
        <v>17</v>
      </c>
      <c r="B18" s="172"/>
      <c r="C18" s="164">
        <f>YEAR(Grid_BD[[#This Row],[Date]])+IF(MONTH(Grid_BD[[#This Row],[Date]])&gt;=4,1,0)</f>
        <v>1900</v>
      </c>
      <c r="D18" s="164">
        <f>YEAR(Grid_BD[[#This Row],[Date]])</f>
        <v>1900</v>
      </c>
      <c r="E18" s="8" t="s">
        <v>156</v>
      </c>
      <c r="G18" s="6" t="str">
        <f>IFERROR(_xlfn.XLOOKUP(Grid_BD[[#This Row],[Date]],RD[Date],RD[Operating Hours]),"")</f>
        <v/>
      </c>
      <c r="H18" s="4" t="str">
        <f>IFERROR(VLOOKUP(Grid_BD[[#This Row],[Affected Feeder ]],'Basic Data'!$AM$2:$AQ$42,3,0),"")</f>
        <v/>
      </c>
      <c r="I18" s="7" t="str">
        <f>IFERROR(VLOOKUP(Grid_BD[[#This Row],[Affected Feeder ]],'Basic Data'!$AM$2:$AQ$42,5,0),"")</f>
        <v/>
      </c>
      <c r="L18" s="18"/>
      <c r="M18" s="20"/>
      <c r="N18" s="20"/>
      <c r="O18" s="19">
        <f>(Grid_BD[[#This Row],[Work Start TimeStamp]]-Grid_BD[[#This Row],[Fault Start TimeStamp]])*24</f>
        <v>0</v>
      </c>
      <c r="P18" s="19">
        <f>(Grid_BD[[#This Row],[Fault Clearance time]]-Grid_BD[[#This Row],[Work Start TimeStamp]])*24</f>
        <v>0</v>
      </c>
      <c r="Q18" s="19">
        <f>(Grid_BD[[#This Row],[Fault Clearance time]]-Grid_BD[[#This Row],[Fault Start TimeStamp]])*24</f>
        <v>0</v>
      </c>
      <c r="R18" s="23"/>
      <c r="S18" s="4"/>
      <c r="T18" s="24" t="str">
        <f>IFERROR(Grid_BD[[#This Row],[Breakdown Time]]*Grid_BD[[#This Row],[Plant Equivalent Weightage]],"")</f>
        <v/>
      </c>
      <c r="U18" s="24"/>
      <c r="V1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8" s="3">
        <f>IF(K18="Curtailment Order",(((100%*(Grid_BD[[#This Row],[Op. Hours]]-T18))+(((W18)/'Basic Data'!$AC$4)*T18))/Grid_BD[[#This Row],[Op. Hours]]),1)</f>
        <v>1</v>
      </c>
    </row>
    <row r="19" spans="1:24">
      <c r="A19" s="174">
        <f t="shared" si="1"/>
        <v>18</v>
      </c>
      <c r="B19" s="175"/>
      <c r="C19" s="174">
        <f>YEAR(Grid_BD[[#This Row],[Date]])+IF(MONTH(Grid_BD[[#This Row],[Date]])&gt;=4,1,0)</f>
        <v>1900</v>
      </c>
      <c r="D19" s="174">
        <f>YEAR(Grid_BD[[#This Row],[Date]])</f>
        <v>1900</v>
      </c>
      <c r="E19" s="8" t="s">
        <v>156</v>
      </c>
      <c r="G19" s="6" t="str">
        <f>IFERROR(_xlfn.XLOOKUP(Grid_BD[[#This Row],[Date]],RD[Date],RD[Operating Hours]),"")</f>
        <v/>
      </c>
      <c r="H19" s="4" t="str">
        <f>IFERROR(VLOOKUP(Grid_BD[[#This Row],[Affected Feeder ]],'Basic Data'!$AM$2:$AQ$42,3,0),"")</f>
        <v/>
      </c>
      <c r="I19" s="7" t="str">
        <f>IFERROR(VLOOKUP(Grid_BD[[#This Row],[Affected Feeder ]],'Basic Data'!$AM$2:$AQ$42,5,0),"")</f>
        <v/>
      </c>
      <c r="L19" s="18"/>
      <c r="M19" s="20"/>
      <c r="N19" s="20"/>
      <c r="O19" s="19">
        <f>(Grid_BD[[#This Row],[Work Start TimeStamp]]-Grid_BD[[#This Row],[Fault Start TimeStamp]])*24</f>
        <v>0</v>
      </c>
      <c r="P19" s="19">
        <f>(Grid_BD[[#This Row],[Fault Clearance time]]-Grid_BD[[#This Row],[Work Start TimeStamp]])*24</f>
        <v>0</v>
      </c>
      <c r="Q19" s="19">
        <f>(Grid_BD[[#This Row],[Fault Clearance time]]-Grid_BD[[#This Row],[Fault Start TimeStamp]])*24</f>
        <v>0</v>
      </c>
      <c r="R19" s="23"/>
      <c r="S19" s="4"/>
      <c r="T19" t="str">
        <f>IFERROR(Grid_BD[[#This Row],[Breakdown Time]]*Grid_BD[[#This Row],[Plant Equivalent Weightage]],"")</f>
        <v/>
      </c>
      <c r="U19" s="24"/>
      <c r="V19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19" s="3">
        <f>IF(K19="Curtailment Order",(((100%*(Grid_BD[[#This Row],[Op. Hours]]-T19))+(((W19)/'Basic Data'!$AC$4)*T19))/Grid_BD[[#This Row],[Op. Hours]]),1)</f>
        <v>1</v>
      </c>
    </row>
    <row r="20" spans="1:24">
      <c r="A20" s="164">
        <f t="shared" si="1"/>
        <v>19</v>
      </c>
      <c r="B20" s="172"/>
      <c r="C20" s="164">
        <f>YEAR(Grid_BD[[#This Row],[Date]])+IF(MONTH(Grid_BD[[#This Row],[Date]])&gt;=4,1,0)</f>
        <v>1900</v>
      </c>
      <c r="D20" s="164">
        <f>YEAR(Grid_BD[[#This Row],[Date]])</f>
        <v>1900</v>
      </c>
      <c r="E20" s="8" t="s">
        <v>156</v>
      </c>
      <c r="G20" s="6" t="str">
        <f>IFERROR(_xlfn.XLOOKUP(Grid_BD[[#This Row],[Date]],RD[Date],RD[Operating Hours]),"")</f>
        <v/>
      </c>
      <c r="H20" s="4" t="str">
        <f>IFERROR(VLOOKUP(Grid_BD[[#This Row],[Affected Feeder ]],'Basic Data'!$AM$2:$AQ$42,3,0),"")</f>
        <v/>
      </c>
      <c r="I20" s="7" t="str">
        <f>IFERROR(VLOOKUP(Grid_BD[[#This Row],[Affected Feeder ]],'Basic Data'!$AM$2:$AQ$42,5,0),"")</f>
        <v/>
      </c>
      <c r="L20" s="18"/>
      <c r="M20" s="20"/>
      <c r="N20" s="20"/>
      <c r="O20" s="19">
        <f>(Grid_BD[[#This Row],[Work Start TimeStamp]]-Grid_BD[[#This Row],[Fault Start TimeStamp]])*24</f>
        <v>0</v>
      </c>
      <c r="P20" s="19">
        <f>(Grid_BD[[#This Row],[Fault Clearance time]]-Grid_BD[[#This Row],[Work Start TimeStamp]])*24</f>
        <v>0</v>
      </c>
      <c r="Q20" s="19">
        <f>(Grid_BD[[#This Row],[Fault Clearance time]]-Grid_BD[[#This Row],[Fault Start TimeStamp]])*24</f>
        <v>0</v>
      </c>
      <c r="R20" s="23"/>
      <c r="S20" s="4"/>
      <c r="T20" s="140" t="str">
        <f>IFERROR(Grid_BD[[#This Row],[Breakdown Time]]*Grid_BD[[#This Row],[Plant Equivalent Weightage]],"")</f>
        <v/>
      </c>
      <c r="U20" s="24"/>
      <c r="V2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0" s="3">
        <f>IF(K20="Curtailment Order",(((100%*(Grid_BD[[#This Row],[Op. Hours]]-T20))+(((W20)/'Basic Data'!$AC$4)*T20))/Grid_BD[[#This Row],[Op. Hours]]),1)</f>
        <v>1</v>
      </c>
    </row>
    <row r="21" spans="1:24" s="179" customFormat="1">
      <c r="A21" s="174">
        <f t="shared" si="1"/>
        <v>20</v>
      </c>
      <c r="B21" s="175"/>
      <c r="C21" s="174">
        <f>YEAR(Grid_BD[[#This Row],[Date]])+IF(MONTH(Grid_BD[[#This Row],[Date]])&gt;=4,1,0)</f>
        <v>1900</v>
      </c>
      <c r="D21" s="174">
        <f>YEAR(Grid_BD[[#This Row],[Date]])</f>
        <v>1900</v>
      </c>
      <c r="E21" s="176" t="s">
        <v>156</v>
      </c>
      <c r="F21" s="177"/>
      <c r="G21" s="178" t="str">
        <f>IFERROR(_xlfn.XLOOKUP(Grid_BD[[#This Row],[Date]],RD[Date],RD[Operating Hours]),"")</f>
        <v/>
      </c>
      <c r="H21" s="4" t="str">
        <f>IFERROR(VLOOKUP(Grid_BD[[#This Row],[Affected Feeder ]],'Basic Data'!$AM$2:$AQ$42,3,0),"")</f>
        <v/>
      </c>
      <c r="I21" s="7" t="str">
        <f>IFERROR(VLOOKUP(Grid_BD[[#This Row],[Affected Feeder ]],'Basic Data'!$AM$2:$AQ$42,5,0),"")</f>
        <v/>
      </c>
      <c r="L21" s="180"/>
      <c r="M21" s="181"/>
      <c r="N21" s="181"/>
      <c r="O21" s="182">
        <f>(Grid_BD[[#This Row],[Work Start TimeStamp]]-Grid_BD[[#This Row],[Fault Start TimeStamp]])*24</f>
        <v>0</v>
      </c>
      <c r="P21" s="182">
        <f>(Grid_BD[[#This Row],[Fault Clearance time]]-Grid_BD[[#This Row],[Work Start TimeStamp]])*24</f>
        <v>0</v>
      </c>
      <c r="Q21" s="182">
        <f>(Grid_BD[[#This Row],[Fault Clearance time]]-Grid_BD[[#This Row],[Fault Start TimeStamp]])*24</f>
        <v>0</v>
      </c>
      <c r="R21" s="183"/>
      <c r="S21" s="177"/>
      <c r="T21" s="184" t="str">
        <f>IFERROR(Grid_BD[[#This Row],[Breakdown Time]]*Grid_BD[[#This Row],[Plant Equivalent Weightage]],"")</f>
        <v/>
      </c>
      <c r="U21" s="185"/>
      <c r="V21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1" s="187">
        <f>IF(K21="Curtailment Order",(((100%*(Grid_BD[[#This Row],[Op. Hours]]-T21))+(((W21)/'Basic Data'!$AC$4)*T21))/Grid_BD[[#This Row],[Op. Hours]]),1)</f>
        <v>1</v>
      </c>
    </row>
    <row r="22" spans="1:24">
      <c r="A22" s="164">
        <f t="shared" si="1"/>
        <v>21</v>
      </c>
      <c r="B22" s="172"/>
      <c r="C22" s="164">
        <f>YEAR(Grid_BD[[#This Row],[Date]])+IF(MONTH(Grid_BD[[#This Row],[Date]])&gt;=4,1,0)</f>
        <v>1900</v>
      </c>
      <c r="D22" s="164">
        <f>YEAR(Grid_BD[[#This Row],[Date]])</f>
        <v>1900</v>
      </c>
      <c r="E22" s="8" t="s">
        <v>156</v>
      </c>
      <c r="G22" s="6" t="str">
        <f>IFERROR(_xlfn.XLOOKUP(Grid_BD[[#This Row],[Date]],RD[Date],RD[Operating Hours]),"")</f>
        <v/>
      </c>
      <c r="H22" s="4" t="str">
        <f>IFERROR(VLOOKUP(Grid_BD[[#This Row],[Affected Feeder ]],'Basic Data'!$AM$2:$AQ$42,3,0),"")</f>
        <v/>
      </c>
      <c r="I22" s="7" t="str">
        <f>IFERROR(VLOOKUP(Grid_BD[[#This Row],[Affected Feeder ]],'Basic Data'!$AM$2:$AQ$42,5,0),"")</f>
        <v/>
      </c>
      <c r="L22" s="18"/>
      <c r="M22" s="20"/>
      <c r="N22" s="20"/>
      <c r="O22" s="19">
        <f>(Grid_BD[[#This Row],[Work Start TimeStamp]]-Grid_BD[[#This Row],[Fault Start TimeStamp]])*24</f>
        <v>0</v>
      </c>
      <c r="P22" s="19">
        <f>(Grid_BD[[#This Row],[Fault Clearance time]]-Grid_BD[[#This Row],[Work Start TimeStamp]])*24</f>
        <v>0</v>
      </c>
      <c r="Q22" s="19">
        <f>(Grid_BD[[#This Row],[Fault Clearance time]]-Grid_BD[[#This Row],[Fault Start TimeStamp]])*24</f>
        <v>0</v>
      </c>
      <c r="R22" s="23"/>
      <c r="S22" s="4"/>
      <c r="T22" s="173" t="str">
        <f>IFERROR(Grid_BD[[#This Row],[Breakdown Time]]*Grid_BD[[#This Row],[Plant Equivalent Weightage]],"")</f>
        <v/>
      </c>
      <c r="U22" s="24"/>
      <c r="V2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2" s="3">
        <f>IF(K22="Curtailment Order",(((100%*(Grid_BD[[#This Row],[Op. Hours]]-T22))+(((W22)/'Basic Data'!$AC$4)*T22))/Grid_BD[[#This Row],[Op. Hours]]),1)</f>
        <v>1</v>
      </c>
    </row>
    <row r="23" spans="1:24" s="179" customFormat="1">
      <c r="A23" s="174">
        <f t="shared" si="1"/>
        <v>22</v>
      </c>
      <c r="B23" s="175"/>
      <c r="C23" s="174">
        <f>YEAR(Grid_BD[[#This Row],[Date]])+IF(MONTH(Grid_BD[[#This Row],[Date]])&gt;=4,1,0)</f>
        <v>1900</v>
      </c>
      <c r="D23" s="174">
        <f>YEAR(Grid_BD[[#This Row],[Date]])</f>
        <v>1900</v>
      </c>
      <c r="E23" s="176" t="s">
        <v>156</v>
      </c>
      <c r="F23" s="177"/>
      <c r="G23" s="178" t="str">
        <f>IFERROR(_xlfn.XLOOKUP(Grid_BD[[#This Row],[Date]],RD[Date],RD[Operating Hours]),"")</f>
        <v/>
      </c>
      <c r="H23" s="4" t="str">
        <f>IFERROR(VLOOKUP(Grid_BD[[#This Row],[Affected Feeder ]],'Basic Data'!$AM$2:$AQ$42,3,0),"")</f>
        <v/>
      </c>
      <c r="I23" s="7" t="str">
        <f>IFERROR(VLOOKUP(Grid_BD[[#This Row],[Affected Feeder ]],'Basic Data'!$AM$2:$AQ$42,5,0),"")</f>
        <v/>
      </c>
      <c r="L23" s="180"/>
      <c r="M23" s="180"/>
      <c r="N23" s="181"/>
      <c r="O23" s="182">
        <f>(Grid_BD[[#This Row],[Work Start TimeStamp]]-Grid_BD[[#This Row],[Fault Start TimeStamp]])*24</f>
        <v>0</v>
      </c>
      <c r="P23" s="182">
        <f>(Grid_BD[[#This Row],[Fault Clearance time]]-Grid_BD[[#This Row],[Work Start TimeStamp]])*24</f>
        <v>0</v>
      </c>
      <c r="Q23" s="182">
        <f>(Grid_BD[[#This Row],[Fault Clearance time]]-Grid_BD[[#This Row],[Fault Start TimeStamp]])*24</f>
        <v>0</v>
      </c>
      <c r="S23" s="177"/>
      <c r="T23" s="184" t="str">
        <f>IFERROR(Grid_BD[[#This Row],[Breakdown Time]]*Grid_BD[[#This Row],[Plant Equivalent Weightage]],"")</f>
        <v/>
      </c>
      <c r="U23" s="185"/>
      <c r="V23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3" s="187">
        <f>IF(K23="Curtailment Order",(((100%*(Grid_BD[[#This Row],[Op. Hours]]-T23))+(((W23)/'Basic Data'!$AC$4)*T23))/Grid_BD[[#This Row],[Op. Hours]]),1)</f>
        <v>1</v>
      </c>
    </row>
    <row r="24" spans="1:24">
      <c r="A24" s="164">
        <f t="shared" si="1"/>
        <v>23</v>
      </c>
      <c r="B24" s="172"/>
      <c r="C24" s="164">
        <f>YEAR(Grid_BD[[#This Row],[Date]])+IF(MONTH(Grid_BD[[#This Row],[Date]])&gt;=4,1,0)</f>
        <v>1900</v>
      </c>
      <c r="D24" s="164">
        <f>YEAR(Grid_BD[[#This Row],[Date]])</f>
        <v>1900</v>
      </c>
      <c r="E24" s="8" t="s">
        <v>156</v>
      </c>
      <c r="G24" s="6" t="str">
        <f>IFERROR(_xlfn.XLOOKUP(Grid_BD[[#This Row],[Date]],RD[Date],RD[Operating Hours]),"")</f>
        <v/>
      </c>
      <c r="H24" s="4" t="str">
        <f>IFERROR(VLOOKUP(Grid_BD[[#This Row],[Affected Feeder ]],'Basic Data'!$AM$2:$AQ$42,3,0),"")</f>
        <v/>
      </c>
      <c r="I24" s="7" t="str">
        <f>IFERROR(VLOOKUP(Grid_BD[[#This Row],[Affected Feeder ]],'Basic Data'!$AM$2:$AQ$42,5,0),"")</f>
        <v/>
      </c>
      <c r="L24" s="18"/>
      <c r="M24" s="18"/>
      <c r="N24" s="20"/>
      <c r="O24" s="19">
        <f>(Grid_BD[[#This Row],[Work Start TimeStamp]]-Grid_BD[[#This Row],[Fault Start TimeStamp]])*24</f>
        <v>0</v>
      </c>
      <c r="P24" s="19">
        <f>(Grid_BD[[#This Row],[Fault Clearance time]]-Grid_BD[[#This Row],[Work Start TimeStamp]])*24</f>
        <v>0</v>
      </c>
      <c r="Q24" s="19">
        <f>(Grid_BD[[#This Row],[Fault Clearance time]]-Grid_BD[[#This Row],[Fault Start TimeStamp]])*24</f>
        <v>0</v>
      </c>
      <c r="S24" s="4"/>
      <c r="T24" s="173" t="str">
        <f>IFERROR(Grid_BD[[#This Row],[Breakdown Time]]*Grid_BD[[#This Row],[Plant Equivalent Weightage]],"")</f>
        <v/>
      </c>
      <c r="U24" s="24"/>
      <c r="V24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4" s="3">
        <f>IF(K24="Curtailment Order",(((100%*(Grid_BD[[#This Row],[Op. Hours]]-T24))+(((W24)/'Basic Data'!$AC$4)*T24))/Grid_BD[[#This Row],[Op. Hours]]),1)</f>
        <v>1</v>
      </c>
    </row>
    <row r="25" spans="1:24" s="179" customFormat="1">
      <c r="A25" s="174">
        <f t="shared" si="1"/>
        <v>24</v>
      </c>
      <c r="B25" s="175"/>
      <c r="C25" s="174">
        <f>YEAR(Grid_BD[[#This Row],[Date]])+IF(MONTH(Grid_BD[[#This Row],[Date]])&gt;=4,1,0)</f>
        <v>1900</v>
      </c>
      <c r="D25" s="174">
        <f>YEAR(Grid_BD[[#This Row],[Date]])</f>
        <v>1900</v>
      </c>
      <c r="E25" s="176" t="s">
        <v>156</v>
      </c>
      <c r="F25" s="177"/>
      <c r="G25" s="178" t="str">
        <f>IFERROR(_xlfn.XLOOKUP(Grid_BD[[#This Row],[Date]],RD[Date],RD[Operating Hours]),"")</f>
        <v/>
      </c>
      <c r="H25" s="4" t="str">
        <f>IFERROR(VLOOKUP(Grid_BD[[#This Row],[Affected Feeder ]],'Basic Data'!$AM$2:$AQ$42,3,0),"")</f>
        <v/>
      </c>
      <c r="I25" s="7" t="str">
        <f>IFERROR(VLOOKUP(Grid_BD[[#This Row],[Affected Feeder ]],'Basic Data'!$AM$2:$AQ$42,5,0),"")</f>
        <v/>
      </c>
      <c r="L25" s="180"/>
      <c r="M25" s="180"/>
      <c r="N25" s="181"/>
      <c r="O25" s="182">
        <f>(Grid_BD[[#This Row],[Work Start TimeStamp]]-Grid_BD[[#This Row],[Fault Start TimeStamp]])*24</f>
        <v>0</v>
      </c>
      <c r="P25" s="182">
        <f>(Grid_BD[[#This Row],[Fault Clearance time]]-Grid_BD[[#This Row],[Work Start TimeStamp]])*24</f>
        <v>0</v>
      </c>
      <c r="Q25" s="182">
        <f>(Grid_BD[[#This Row],[Fault Clearance time]]-Grid_BD[[#This Row],[Fault Start TimeStamp]])*24</f>
        <v>0</v>
      </c>
      <c r="S25" s="177"/>
      <c r="T25" s="184" t="str">
        <f>IFERROR(Grid_BD[[#This Row],[Breakdown Time]]*Grid_BD[[#This Row],[Plant Equivalent Weightage]],"")</f>
        <v/>
      </c>
      <c r="U25" s="185"/>
      <c r="V25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5" s="187">
        <f>IF(K25="Curtailment Order",(((100%*(Grid_BD[[#This Row],[Op. Hours]]-T25))+(((W25)/'Basic Data'!$AC$4)*T25))/Grid_BD[[#This Row],[Op. Hours]]),1)</f>
        <v>1</v>
      </c>
    </row>
    <row r="26" spans="1:24">
      <c r="A26" s="164">
        <f t="shared" si="1"/>
        <v>25</v>
      </c>
      <c r="B26" s="172"/>
      <c r="C26" s="164">
        <f>YEAR(Grid_BD[[#This Row],[Date]])+IF(MONTH(Grid_BD[[#This Row],[Date]])&gt;=4,1,0)</f>
        <v>1900</v>
      </c>
      <c r="D26" s="164">
        <f>YEAR(Grid_BD[[#This Row],[Date]])</f>
        <v>1900</v>
      </c>
      <c r="E26" s="8" t="s">
        <v>156</v>
      </c>
      <c r="G26" s="4" t="str">
        <f>IFERROR(_xlfn.XLOOKUP(Grid_BD[[#This Row],[Date]],RD[Date],RD[Operating Hours]),"")</f>
        <v/>
      </c>
      <c r="H26" s="4" t="str">
        <f>IFERROR(VLOOKUP(Grid_BD[[#This Row],[Affected Feeder ]],'Basic Data'!$AM$2:$AQ$42,3,0),"")</f>
        <v/>
      </c>
      <c r="I26" s="7" t="str">
        <f>IFERROR(VLOOKUP(Grid_BD[[#This Row],[Affected Feeder ]],'Basic Data'!$AM$2:$AQ$42,5,0),"")</f>
        <v/>
      </c>
      <c r="L26" s="18"/>
      <c r="M26" s="20"/>
      <c r="N26" s="20"/>
      <c r="O26" s="19">
        <f>(Grid_BD[[#This Row],[Work Start TimeStamp]]-Grid_BD[[#This Row],[Fault Start TimeStamp]])*24</f>
        <v>0</v>
      </c>
      <c r="P26" s="19">
        <f>(Grid_BD[[#This Row],[Fault Clearance time]]-Grid_BD[[#This Row],[Work Start TimeStamp]])*24</f>
        <v>0</v>
      </c>
      <c r="Q26" s="19">
        <f>(Grid_BD[[#This Row],[Fault Clearance time]]-Grid_BD[[#This Row],[Fault Start TimeStamp]])*24</f>
        <v>0</v>
      </c>
      <c r="R26" s="23"/>
      <c r="S26" s="4"/>
      <c r="T26" s="184" t="str">
        <f>IFERROR(Grid_BD[[#This Row],[Breakdown Time]]*Grid_BD[[#This Row],[Plant Equivalent Weightage]],"")</f>
        <v/>
      </c>
      <c r="U26" s="24"/>
      <c r="V26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6" s="3">
        <f>IF(K26="Curtailment Order",(((100%*(Grid_BD[[#This Row],[Op. Hours]]-T26))+(((W26)/'Basic Data'!$AC$4)*T26))/Grid_BD[[#This Row],[Op. Hours]]),1)</f>
        <v>1</v>
      </c>
    </row>
    <row r="27" spans="1:24" s="179" customFormat="1">
      <c r="A27" s="174">
        <f t="shared" si="1"/>
        <v>26</v>
      </c>
      <c r="B27" s="175"/>
      <c r="C27" s="174">
        <f>YEAR(Grid_BD[[#This Row],[Date]])+IF(MONTH(Grid_BD[[#This Row],[Date]])&gt;=4,1,0)</f>
        <v>1900</v>
      </c>
      <c r="D27" s="174">
        <f>YEAR(Grid_BD[[#This Row],[Date]])</f>
        <v>1900</v>
      </c>
      <c r="E27" s="176" t="s">
        <v>156</v>
      </c>
      <c r="F27" s="177"/>
      <c r="G27" s="177" t="str">
        <f>IFERROR(_xlfn.XLOOKUP(Grid_BD[[#This Row],[Date]],RD[Date],RD[Operating Hours]),"")</f>
        <v/>
      </c>
      <c r="H27" s="4" t="str">
        <f>IFERROR(VLOOKUP(Grid_BD[[#This Row],[Affected Feeder ]],'Basic Data'!$AM$2:$AQ$42,3,0),"")</f>
        <v/>
      </c>
      <c r="I27" s="7" t="str">
        <f>IFERROR(VLOOKUP(Grid_BD[[#This Row],[Affected Feeder ]],'Basic Data'!$AM$2:$AQ$42,5,0),"")</f>
        <v/>
      </c>
      <c r="J27"/>
      <c r="L27" s="18"/>
      <c r="M27" s="181"/>
      <c r="N27" s="181"/>
      <c r="O27" s="182">
        <f>(Grid_BD[[#This Row],[Work Start TimeStamp]]-Grid_BD[[#This Row],[Fault Start TimeStamp]])*24</f>
        <v>0</v>
      </c>
      <c r="P27" s="182">
        <f>(Grid_BD[[#This Row],[Fault Clearance time]]-Grid_BD[[#This Row],[Work Start TimeStamp]])*24</f>
        <v>0</v>
      </c>
      <c r="Q27" s="182">
        <f>(Grid_BD[[#This Row],[Fault Clearance time]]-Grid_BD[[#This Row],[Fault Start TimeStamp]])*24</f>
        <v>0</v>
      </c>
      <c r="R27" s="23"/>
      <c r="S27" s="177"/>
      <c r="T27" s="184" t="str">
        <f>IFERROR(Grid_BD[[#This Row],[Breakdown Time]]*Grid_BD[[#This Row],[Plant Equivalent Weightage]],"")</f>
        <v/>
      </c>
      <c r="U27" s="185"/>
      <c r="V27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7" s="187">
        <f>IF(K27="Curtailment Order",(((100%*(Grid_BD[[#This Row],[Op. Hours]]-T27))+(((W27)/'Basic Data'!$AC$4)*T27))/Grid_BD[[#This Row],[Op. Hours]]),1)</f>
        <v>1</v>
      </c>
    </row>
    <row r="28" spans="1:24">
      <c r="A28" s="164">
        <f t="shared" si="1"/>
        <v>27</v>
      </c>
      <c r="B28" s="172"/>
      <c r="C28" s="164">
        <f>YEAR(Grid_BD[[#This Row],[Date]])+IF(MONTH(Grid_BD[[#This Row],[Date]])&gt;=4,1,0)</f>
        <v>1900</v>
      </c>
      <c r="D28" s="164">
        <f>YEAR(Grid_BD[[#This Row],[Date]])</f>
        <v>1900</v>
      </c>
      <c r="E28" s="8" t="s">
        <v>156</v>
      </c>
      <c r="G28" s="4" t="str">
        <f>IFERROR(_xlfn.XLOOKUP(Grid_BD[[#This Row],[Date]],RD[Date],RD[Operating Hours]),"")</f>
        <v/>
      </c>
      <c r="H28" s="4" t="str">
        <f>IFERROR(VLOOKUP(Grid_BD[[#This Row],[Affected Feeder ]],'Basic Data'!$AM$2:$AQ$42,3,0),"")</f>
        <v/>
      </c>
      <c r="I28" s="7" t="str">
        <f>IFERROR(VLOOKUP(Grid_BD[[#This Row],[Affected Feeder ]],'Basic Data'!$AM$2:$AQ$42,5,0),"")</f>
        <v/>
      </c>
      <c r="L28" s="18"/>
      <c r="M28" s="20"/>
      <c r="N28" s="20"/>
      <c r="O28" s="19">
        <f>(Grid_BD[[#This Row],[Work Start TimeStamp]]-Grid_BD[[#This Row],[Fault Start TimeStamp]])*24</f>
        <v>0</v>
      </c>
      <c r="P28" s="19">
        <f>(Grid_BD[[#This Row],[Fault Clearance time]]-Grid_BD[[#This Row],[Work Start TimeStamp]])*24</f>
        <v>0</v>
      </c>
      <c r="Q28" s="19">
        <f>(Grid_BD[[#This Row],[Fault Clearance time]]-Grid_BD[[#This Row],[Fault Start TimeStamp]])*24</f>
        <v>0</v>
      </c>
      <c r="R28" s="23"/>
      <c r="S28" s="4"/>
      <c r="T28" s="184" t="str">
        <f>IFERROR(Grid_BD[[#This Row],[Breakdown Time]]*Grid_BD[[#This Row],[Plant Equivalent Weightage]],"")</f>
        <v/>
      </c>
      <c r="U28" s="24"/>
      <c r="V28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8" s="3">
        <f>IF(K28="Curtailment Order",(((100%*(Grid_BD[[#This Row],[Op. Hours]]-T28))+(((W28)/'Basic Data'!$AC$4)*T28))/Grid_BD[[#This Row],[Op. Hours]]),1)</f>
        <v>1</v>
      </c>
    </row>
    <row r="29" spans="1:24" s="179" customFormat="1">
      <c r="A29" s="174">
        <f t="shared" si="1"/>
        <v>28</v>
      </c>
      <c r="B29" s="175"/>
      <c r="C29" s="174">
        <f>YEAR(Grid_BD[[#This Row],[Date]])+IF(MONTH(Grid_BD[[#This Row],[Date]])&gt;=4,1,0)</f>
        <v>1900</v>
      </c>
      <c r="D29" s="174">
        <f>YEAR(Grid_BD[[#This Row],[Date]])</f>
        <v>1900</v>
      </c>
      <c r="E29" s="176" t="s">
        <v>156</v>
      </c>
      <c r="F29" s="177"/>
      <c r="G29" s="177" t="str">
        <f>IFERROR(_xlfn.XLOOKUP(Grid_BD[[#This Row],[Date]],RD[Date],RD[Operating Hours]),"")</f>
        <v/>
      </c>
      <c r="H29" s="4" t="str">
        <f>IFERROR(VLOOKUP(Grid_BD[[#This Row],[Affected Feeder ]],'Basic Data'!$AM$2:$AQ$42,3,0),"")</f>
        <v/>
      </c>
      <c r="I29" s="7" t="str">
        <f>IFERROR(VLOOKUP(Grid_BD[[#This Row],[Affected Feeder ]],'Basic Data'!$AM$2:$AQ$42,5,0),"")</f>
        <v/>
      </c>
      <c r="J29"/>
      <c r="L29" s="18"/>
      <c r="M29" s="181"/>
      <c r="N29" s="181"/>
      <c r="O29" s="182">
        <f>(Grid_BD[[#This Row],[Work Start TimeStamp]]-Grid_BD[[#This Row],[Fault Start TimeStamp]])*24</f>
        <v>0</v>
      </c>
      <c r="P29" s="182">
        <f>(Grid_BD[[#This Row],[Fault Clearance time]]-Grid_BD[[#This Row],[Work Start TimeStamp]])*24</f>
        <v>0</v>
      </c>
      <c r="Q29" s="182">
        <f>(Grid_BD[[#This Row],[Fault Clearance time]]-Grid_BD[[#This Row],[Fault Start TimeStamp]])*24</f>
        <v>0</v>
      </c>
      <c r="S29" s="4"/>
      <c r="T29" s="184" t="str">
        <f>IFERROR(Grid_BD[[#This Row],[Breakdown Time]]*Grid_BD[[#This Row],[Plant Equivalent Weightage]],"")</f>
        <v/>
      </c>
      <c r="U29" s="185"/>
      <c r="V29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29" s="187">
        <f>IF(K29="Curtailment Order",(((100%*(Grid_BD[[#This Row],[Op. Hours]]-T29))+(((W29)/'Basic Data'!$AC$4)*T29))/Grid_BD[[#This Row],[Op. Hours]]),1)</f>
        <v>1</v>
      </c>
    </row>
    <row r="30" spans="1:24">
      <c r="A30" s="164">
        <f t="shared" si="1"/>
        <v>29</v>
      </c>
      <c r="B30" s="172"/>
      <c r="C30" s="164">
        <f>YEAR(Grid_BD[[#This Row],[Date]])+IF(MONTH(Grid_BD[[#This Row],[Date]])&gt;=4,1,0)</f>
        <v>1900</v>
      </c>
      <c r="D30" s="164">
        <f>YEAR(Grid_BD[[#This Row],[Date]])</f>
        <v>1900</v>
      </c>
      <c r="E30" s="8" t="s">
        <v>156</v>
      </c>
      <c r="G30" s="6" t="str">
        <f>IFERROR(_xlfn.XLOOKUP(Grid_BD[[#This Row],[Date]],RD[Date],RD[Operating Hours]),"")</f>
        <v/>
      </c>
      <c r="H30" s="4" t="str">
        <f>IFERROR(VLOOKUP(Grid_BD[[#This Row],[Affected Feeder ]],'Basic Data'!$AM$2:$AQ$42,3,0),"")</f>
        <v/>
      </c>
      <c r="I30" s="7" t="str">
        <f>IFERROR(VLOOKUP(Grid_BD[[#This Row],[Affected Feeder ]],'Basic Data'!$AM$2:$AQ$42,5,0),"")</f>
        <v/>
      </c>
      <c r="L30" s="18"/>
      <c r="M30" s="20"/>
      <c r="N30" s="20"/>
      <c r="O30" s="19">
        <f>(Grid_BD[[#This Row],[Work Start TimeStamp]]-Grid_BD[[#This Row],[Fault Start TimeStamp]])*24</f>
        <v>0</v>
      </c>
      <c r="P30" s="19">
        <f>(Grid_BD[[#This Row],[Fault Clearance time]]-Grid_BD[[#This Row],[Work Start TimeStamp]])*24</f>
        <v>0</v>
      </c>
      <c r="Q30" s="19">
        <f>(Grid_BD[[#This Row],[Fault Clearance time]]-Grid_BD[[#This Row],[Fault Start TimeStamp]])*24</f>
        <v>0</v>
      </c>
      <c r="R30" s="23"/>
      <c r="S30" s="4"/>
      <c r="T30" s="184" t="str">
        <f>IFERROR(Grid_BD[[#This Row],[Breakdown Time]]*Grid_BD[[#This Row],[Plant Equivalent Weightage]],"")</f>
        <v/>
      </c>
      <c r="U30" s="24"/>
      <c r="V30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0" s="3">
        <f>IF(K30="Curtailment Order",(((100%*(Grid_BD[[#This Row],[Op. Hours]]-T30))+(((W30)/'Basic Data'!$AC$4)*T30))/Grid_BD[[#This Row],[Op. Hours]]),1)</f>
        <v>1</v>
      </c>
    </row>
    <row r="31" spans="1:24" s="179" customFormat="1">
      <c r="A31" s="174">
        <f t="shared" si="1"/>
        <v>30</v>
      </c>
      <c r="B31" s="175"/>
      <c r="C31" s="174">
        <f>YEAR(Grid_BD[[#This Row],[Date]])+IF(MONTH(Grid_BD[[#This Row],[Date]])&gt;=4,1,0)</f>
        <v>1900</v>
      </c>
      <c r="D31" s="174">
        <f>YEAR(Grid_BD[[#This Row],[Date]])</f>
        <v>1900</v>
      </c>
      <c r="E31" s="176" t="s">
        <v>156</v>
      </c>
      <c r="F31" s="177"/>
      <c r="G31" s="178" t="str">
        <f>IFERROR(_xlfn.XLOOKUP(Grid_BD[[#This Row],[Date]],RD[Date],RD[Operating Hours]),"")</f>
        <v/>
      </c>
      <c r="H31" s="4" t="str">
        <f>IFERROR(VLOOKUP(Grid_BD[[#This Row],[Affected Feeder ]],'Basic Data'!$AM$2:$AQ$42,3,0),"")</f>
        <v/>
      </c>
      <c r="I31" s="7" t="str">
        <f>IFERROR(VLOOKUP(Grid_BD[[#This Row],[Affected Feeder ]],'Basic Data'!$AM$2:$AQ$42,5,0),"")</f>
        <v/>
      </c>
      <c r="J31"/>
      <c r="L31" s="18"/>
      <c r="M31" s="18"/>
      <c r="N31" s="181"/>
      <c r="O31" s="182">
        <f>(Grid_BD[[#This Row],[Work Start TimeStamp]]-Grid_BD[[#This Row],[Fault Start TimeStamp]])*24</f>
        <v>0</v>
      </c>
      <c r="P31" s="182">
        <f>(Grid_BD[[#This Row],[Fault Clearance time]]-Grid_BD[[#This Row],[Work Start TimeStamp]])*24</f>
        <v>0</v>
      </c>
      <c r="Q31" s="182">
        <f>(Grid_BD[[#This Row],[Fault Clearance time]]-Grid_BD[[#This Row],[Fault Start TimeStamp]])*24</f>
        <v>0</v>
      </c>
      <c r="R31" s="23"/>
      <c r="S31" s="177"/>
      <c r="T31" s="184" t="str">
        <f>IFERROR(Grid_BD[[#This Row],[Breakdown Time]]*Grid_BD[[#This Row],[Plant Equivalent Weightage]],"")</f>
        <v/>
      </c>
      <c r="U31" s="185"/>
      <c r="V31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1" s="187">
        <f>IF(K31="Curtailment Order",(((100%*(Grid_BD[[#This Row],[Op. Hours]]-T31))+(((W31)/'Basic Data'!$AC$4)*T31))/Grid_BD[[#This Row],[Op. Hours]]),1)</f>
        <v>1</v>
      </c>
    </row>
    <row r="32" spans="1:24">
      <c r="A32" s="164">
        <f t="shared" si="1"/>
        <v>31</v>
      </c>
      <c r="B32" s="172"/>
      <c r="C32" s="164">
        <f>YEAR(Grid_BD[[#This Row],[Date]])+IF(MONTH(Grid_BD[[#This Row],[Date]])&gt;=4,1,0)</f>
        <v>1900</v>
      </c>
      <c r="D32" s="164">
        <f>YEAR(Grid_BD[[#This Row],[Date]])</f>
        <v>1900</v>
      </c>
      <c r="E32" s="8" t="s">
        <v>156</v>
      </c>
      <c r="G32" s="6" t="str">
        <f>IFERROR(_xlfn.XLOOKUP(Grid_BD[[#This Row],[Date]],RD[Date],RD[Operating Hours]),"")</f>
        <v/>
      </c>
      <c r="H32" s="4" t="str">
        <f>IFERROR(VLOOKUP(Grid_BD[[#This Row],[Affected Feeder ]],'Basic Data'!$AM$2:$AQ$42,3,0),"")</f>
        <v/>
      </c>
      <c r="I32" s="7" t="str">
        <f>IFERROR(VLOOKUP(Grid_BD[[#This Row],[Affected Feeder ]],'Basic Data'!$AM$2:$AQ$42,5,0),"")</f>
        <v/>
      </c>
      <c r="L32" s="18"/>
      <c r="M32" s="18"/>
      <c r="N32" s="20"/>
      <c r="O32" s="19">
        <f>(Grid_BD[[#This Row],[Work Start TimeStamp]]-Grid_BD[[#This Row],[Fault Start TimeStamp]])*24</f>
        <v>0</v>
      </c>
      <c r="P32" s="19">
        <f>(Grid_BD[[#This Row],[Fault Clearance time]]-Grid_BD[[#This Row],[Work Start TimeStamp]])*24</f>
        <v>0</v>
      </c>
      <c r="Q32" s="19">
        <f>(Grid_BD[[#This Row],[Fault Clearance time]]-Grid_BD[[#This Row],[Fault Start TimeStamp]])*24</f>
        <v>0</v>
      </c>
      <c r="R32" s="23"/>
      <c r="S32" s="4"/>
      <c r="T32" s="184" t="str">
        <f>IFERROR(Grid_BD[[#This Row],[Breakdown Time]]*Grid_BD[[#This Row],[Plant Equivalent Weightage]],"")</f>
        <v/>
      </c>
      <c r="U32" s="24"/>
      <c r="V32" s="13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2" s="3">
        <f>IF(K32="Curtailment Order",(((100%*(Grid_BD[[#This Row],[Op. Hours]]-T32))+(((W32)/'Basic Data'!$AC$4)*T32))/Grid_BD[[#This Row],[Op. Hours]]),1)</f>
        <v>1</v>
      </c>
    </row>
    <row r="33" spans="1:24" s="179" customFormat="1">
      <c r="A33" s="174">
        <f t="shared" si="1"/>
        <v>32</v>
      </c>
      <c r="B33" s="175"/>
      <c r="C33" s="174">
        <f>YEAR(Grid_BD[[#This Row],[Date]])+IF(MONTH(Grid_BD[[#This Row],[Date]])&gt;=4,1,0)</f>
        <v>1900</v>
      </c>
      <c r="D33" s="174">
        <f>YEAR(Grid_BD[[#This Row],[Date]])</f>
        <v>1900</v>
      </c>
      <c r="E33" s="8" t="s">
        <v>156</v>
      </c>
      <c r="F33" s="177"/>
      <c r="G33" s="178" t="str">
        <f>IFERROR(_xlfn.XLOOKUP(Grid_BD[[#This Row],[Date]],RD[Date],RD[Operating Hours]),"")</f>
        <v/>
      </c>
      <c r="H33" s="4" t="str">
        <f>IFERROR(VLOOKUP(Grid_BD[[#This Row],[Affected Feeder ]],'Basic Data'!$AM$2:$AQ$42,3,0),"")</f>
        <v/>
      </c>
      <c r="I33" s="7" t="str">
        <f>IFERROR(VLOOKUP(Grid_BD[[#This Row],[Affected Feeder ]],'Basic Data'!$AM$2:$AQ$42,5,0),"")</f>
        <v/>
      </c>
      <c r="J33"/>
      <c r="L33" s="18"/>
      <c r="M33" s="181"/>
      <c r="N33" s="181"/>
      <c r="O33" s="182">
        <f>(Grid_BD[[#This Row],[Work Start TimeStamp]]-Grid_BD[[#This Row],[Fault Start TimeStamp]])*24</f>
        <v>0</v>
      </c>
      <c r="P33" s="182">
        <f>(Grid_BD[[#This Row],[Fault Clearance time]]-Grid_BD[[#This Row],[Work Start TimeStamp]])*24</f>
        <v>0</v>
      </c>
      <c r="Q33" s="182">
        <f>(Grid_BD[[#This Row],[Fault Clearance time]]-Grid_BD[[#This Row],[Fault Start TimeStamp]])*24</f>
        <v>0</v>
      </c>
      <c r="R33" s="23"/>
      <c r="S33" s="177"/>
      <c r="T33" s="184" t="str">
        <f>IFERROR(Grid_BD[[#This Row],[Breakdown Time]]*Grid_BD[[#This Row],[Plant Equivalent Weightage]],"")</f>
        <v/>
      </c>
      <c r="U33" s="185"/>
      <c r="V33" s="186" t="str">
        <f>IFERROR(Grid_BD[[#This Row],[POA Lost (kWh/m2)]]*_xlfn.XLOOKUP(Grid_BD[[#This Row],[Date]],'Daily KPI'!$A:$A,'Daily KPI'!$AE:$AE)*_xlfn.XLOOKUP(Grid_BD[[#This Row],[Date]],RD[Date],RD[Connected DC Capcity (MWp)])*1000,"")</f>
        <v/>
      </c>
      <c r="X33" s="187">
        <f>IF(K33="Curtailment Order",(((100%*(Grid_BD[[#This Row],[Op. Hours]]-T33))+(((W33)/'Basic Data'!$AC$4)*T33))/Grid_BD[[#This Row],[Op. Hours]]),1)</f>
        <v>1</v>
      </c>
    </row>
    <row r="544" spans="7:7">
      <c r="G544" s="4" t="s">
        <v>328</v>
      </c>
    </row>
    <row r="604" spans="7:7">
      <c r="G604" s="4" t="s">
        <v>329</v>
      </c>
    </row>
  </sheetData>
  <phoneticPr fontId="57" type="noConversion"/>
  <dataValidations count="1">
    <dataValidation type="decimal" allowBlank="1" showInputMessage="1" showErrorMessage="1" sqref="W2:W33" xr:uid="{00000000-0002-0000-0800-000000000000}">
      <formula1>0</formula1>
      <formula2>50.6</formula2>
    </dataValidation>
  </dataValidations>
  <pageMargins left="0.7" right="0.7" top="0.75" bottom="0.75" header="0.3" footer="0.3"/>
  <pageSetup orientation="portrait" r:id="rId1"/>
  <headerFooter>
    <oddFooter>&amp;C&amp;1#&amp;"Calibri"&amp;8&amp;K000000Classification: Confidential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'Basic Data'!#REF!</xm:f>
          </x14:formula1>
          <xm:sqref>S2:S33 F2:F33 K2:K33 L34:L1048576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BB3DC3D7EEBD4E965C95B4B8FA3504" ma:contentTypeVersion="6" ma:contentTypeDescription="Create a new document." ma:contentTypeScope="" ma:versionID="8aa82a68bd214f7d3d0f7f88fc697f2b">
  <xsd:schema xmlns:xsd="http://www.w3.org/2001/XMLSchema" xmlns:xs="http://www.w3.org/2001/XMLSchema" xmlns:p="http://schemas.microsoft.com/office/2006/metadata/properties" xmlns:ns2="fc7a6a76-1c0e-42c8-b8bb-e7dae130d739" xmlns:ns3="d16c97b0-8c68-4a48-9e8f-dd7460dbc509" targetNamespace="http://schemas.microsoft.com/office/2006/metadata/properties" ma:root="true" ma:fieldsID="c7b3109e5368c8001190694a4a849b63" ns2:_="" ns3:_="">
    <xsd:import namespace="fc7a6a76-1c0e-42c8-b8bb-e7dae130d739"/>
    <xsd:import namespace="d16c97b0-8c68-4a48-9e8f-dd7460dbc5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7a6a76-1c0e-42c8-b8bb-e7dae130d7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c97b0-8c68-4a48-9e8f-dd7460dbc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allowEditUser xmlns="https://web.wps.cn/et/2018/main" xmlns:s="http://schemas.openxmlformats.org/spreadsheetml/2006/main" hasInvisiblePropRange="0">
  <rangeList sheetStid="9" master="">
    <arrUserId title="Range1_1" rangeCreator="" othersAccessPermission="edit"/>
    <arrUserId title="Range1_1_2" rangeCreator="" othersAccessPermission="edit"/>
  </rangeList>
  <rangeList sheetStid="8" master=""/>
  <rangeList sheetStid="7" master=""/>
  <rangeList sheetStid="25" master="">
    <arrUserId title="Range1" rangeCreator="" othersAccessPermission="edit"/>
  </rangeList>
  <rangeList sheetStid="6" master=""/>
  <rangeList sheetStid="20" master=""/>
  <rangeList sheetStid="17" master=""/>
  <rangeList sheetStid="27" master=""/>
  <rangeList sheetStid="29" master=""/>
  <rangeList sheetStid="23" master=""/>
  <rangeList sheetStid="24" master=""/>
  <rangeList sheetStid="26" master=""/>
  <rangeList sheetStid="22" master=""/>
  <rangeList sheetStid="15" master=""/>
  <rangeList sheetStid="28" master=""/>
</allowEditUser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5324F0-F75F-4C2D-BB97-9B1FE820A3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7a6a76-1c0e-42c8-b8bb-e7dae130d739"/>
    <ds:schemaRef ds:uri="d16c97b0-8c68-4a48-9e8f-dd7460dbc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CDFF9-3EC9-4963-90C2-FF6FAC10FA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CF464D8B-5073-456B-ABD6-85662900D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O2Summary</vt:lpstr>
      <vt:lpstr>AnnualKPI</vt:lpstr>
      <vt:lpstr>MonthlyKPI</vt:lpstr>
      <vt:lpstr>SPV_Summary</vt:lpstr>
      <vt:lpstr>Daily KPI</vt:lpstr>
      <vt:lpstr>Input_Raw</vt:lpstr>
      <vt:lpstr>Modelling New</vt:lpstr>
      <vt:lpstr>Plant_BD</vt:lpstr>
      <vt:lpstr>Grid_BD</vt:lpstr>
      <vt:lpstr>Curtailment Records</vt:lpstr>
      <vt:lpstr>Inv_SY_B</vt:lpstr>
      <vt:lpstr>Inv_SY_D</vt:lpstr>
      <vt:lpstr>Inv_PR</vt:lpstr>
      <vt:lpstr>MC</vt:lpstr>
      <vt:lpstr>Wet MC </vt:lpstr>
      <vt:lpstr>GC</vt:lpstr>
      <vt:lpstr>Basic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Lakshit Chawla</dc:creator>
  <cp:keywords/>
  <dc:description/>
  <cp:lastModifiedBy>Shweta Singh Rathore</cp:lastModifiedBy>
  <cp:revision/>
  <dcterms:created xsi:type="dcterms:W3CDTF">2022-12-28T09:03:00Z</dcterms:created>
  <dcterms:modified xsi:type="dcterms:W3CDTF">2025-07-14T10:20:04Z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0x01010052BB3DC3D7EEBD4E965C95B4B8FA3504</vt:lpwstr>
  </property>
  <property fmtid="{D5CDD505-2E9C-101B-9397-08002B2CF9AE}" pid="3" name="MSIP_Label_35c15001-c8e1-4e59-97bd-905e2080daab_Enabled">
    <vt:lpwstr>true</vt:lpwstr>
  </property>
  <property fmtid="{D5CDD505-2E9C-101B-9397-08002B2CF9AE}" pid="4" name="MSIP_Label_35c15001-c8e1-4e59-97bd-905e2080daab_SetDate">
    <vt:lpwstr>2023-08-01T20:28:29Z</vt:lpwstr>
  </property>
  <property fmtid="{D5CDD505-2E9C-101B-9397-08002B2CF9AE}" pid="5" name="MSIP_Label_35c15001-c8e1-4e59-97bd-905e2080daab_Method">
    <vt:lpwstr>Standard</vt:lpwstr>
  </property>
  <property fmtid="{D5CDD505-2E9C-101B-9397-08002B2CF9AE}" pid="6" name="MSIP_Label_35c15001-c8e1-4e59-97bd-905e2080daab_Name">
    <vt:lpwstr>Confidential</vt:lpwstr>
  </property>
  <property fmtid="{D5CDD505-2E9C-101B-9397-08002B2CF9AE}" pid="7" name="MSIP_Label_35c15001-c8e1-4e59-97bd-905e2080daab_SiteId">
    <vt:lpwstr>c0701940-7b3f-4116-a59f-159078bc3c63</vt:lpwstr>
  </property>
  <property fmtid="{D5CDD505-2E9C-101B-9397-08002B2CF9AE}" pid="8" name="MSIP_Label_35c15001-c8e1-4e59-97bd-905e2080daab_ActionId">
    <vt:lpwstr>bd99d9e1-a3c8-4420-8ac9-45d003a1d6f1</vt:lpwstr>
  </property>
  <property fmtid="{D5CDD505-2E9C-101B-9397-08002B2CF9AE}" pid="9" name="MSIP_Label_35c15001-c8e1-4e59-97bd-905e2080daab_ContentBits">
    <vt:lpwstr>2</vt:lpwstr>
  </property>
  <property fmtid="{D5CDD505-2E9C-101B-9397-08002B2CF9AE}" pid="10" name="ICV">
    <vt:lpwstr>79CAC4D3250F441193FE01FC13EBCD50_12</vt:lpwstr>
  </property>
  <property fmtid="{D5CDD505-2E9C-101B-9397-08002B2CF9AE}" pid="11" name="KSOProductBuildVer">
    <vt:lpwstr>1033-12.2.0.13359</vt:lpwstr>
  </property>
  <property fmtid="{D5CDD505-2E9C-101B-9397-08002B2CF9AE}" pid="12" name="MediaServiceImageTags">
    <vt:lpwstr/>
  </property>
</Properties>
</file>